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G:\Projekte\extern\Best Guess\0_Globale Dateien&amp;Daten\7_Historische Daten\3_Kapazitäten, Erzeugung, Preise\"/>
    </mc:Choice>
  </mc:AlternateContent>
  <xr:revisionPtr revIDLastSave="0" documentId="13_ncr:1_{708FC012-7A1B-469C-BB9C-D3A62F92E88D}" xr6:coauthVersionLast="36" xr6:coauthVersionMax="36" xr10:uidLastSave="{00000000-0000-0000-0000-000000000000}"/>
  <bookViews>
    <workbookView xWindow="20370" yWindow="-120" windowWidth="29040" windowHeight="15840" tabRatio="940" firstSheet="9" activeTab="10" xr2:uid="{00000000-000D-0000-FFFF-FFFF00000000}"/>
  </bookViews>
  <sheets>
    <sheet name="Capacity_Entsoe_SFS_2014" sheetId="21" r:id="rId1"/>
    <sheet name="Capacity_Entsoe_SFS_2015" sheetId="18" r:id="rId2"/>
    <sheet name="Capacity_Entsoe_SFS_2016" sheetId="12" r:id="rId3"/>
    <sheet name="Capacity_Entsoe_SFS_2017" sheetId="4" r:id="rId4"/>
    <sheet name="Capacity_Entsoe_SFS_2018" sheetId="14" r:id="rId5"/>
    <sheet name="Generation_Entsoe_SFS_2014" sheetId="20" r:id="rId6"/>
    <sheet name="Generation_Entsoe_SFS_2015" sheetId="19" r:id="rId7"/>
    <sheet name="Generation_Entsoe_SFS_2016" sheetId="11" r:id="rId8"/>
    <sheet name="Generation_Entsoe_SFS_2017" sheetId="1" r:id="rId9"/>
    <sheet name="Generation_Entsoe_SFS_2018" sheetId="13" r:id="rId10"/>
    <sheet name="Capacity_Gener_Entsoe_all years" sheetId="23" r:id="rId11"/>
    <sheet name="Capacity für Balkanabfrage" sheetId="27" r:id="rId12"/>
    <sheet name="Kohle_Kernenergieausstiege_Adva" sheetId="25" r:id="rId13"/>
    <sheet name="alte tabs --&gt;" sheetId="24" r:id="rId14"/>
    <sheet name="Tabelle1" sheetId="16" r:id="rId15"/>
    <sheet name="Tabelle2" sheetId="17" r:id="rId16"/>
    <sheet name="Abgleich Generation" sheetId="9" r:id="rId17"/>
    <sheet name="Abgleich Kapazität" sheetId="10" r:id="rId18"/>
    <sheet name="Modell Erzeugung" sheetId="6" r:id="rId19"/>
    <sheet name="Modell Kapazität" sheetId="7" r:id="rId20"/>
  </sheets>
  <externalReferences>
    <externalReference r:id="rId21"/>
  </externalReferences>
  <definedNames>
    <definedName name="_xlnm._FilterDatabase" localSheetId="4" hidden="1">Capacity_Entsoe_SFS_2018!$AY$1:$BA$39</definedName>
    <definedName name="_xlcn.WorksheetConnection_HistoricalCapacityGenerationEntsoeEUSR.xlsxCapacity_Entsoe_SFS_20141" hidden="1">Capacity_Entsoe_SFS_2014[]</definedName>
    <definedName name="ExterneDaten_1" localSheetId="11" hidden="1">'Capacity für Balkanabfrage'!$A$1:$E$2404</definedName>
  </definedNames>
  <calcPr calcId="191029" calcOnSave="0"/>
  <pivotCaches>
    <pivotCache cacheId="0" r:id="rId22"/>
    <pivotCache cacheId="1" r:id="rId23"/>
  </pivotCaches>
  <extLst>
    <ext xmlns:x15="http://schemas.microsoft.com/office/spreadsheetml/2010/11/main" uri="{FCE2AD5D-F65C-4FA6-A056-5C36A1767C68}">
      <x15:dataModel>
        <x15:modelTables>
          <x15:modelTable id="Capacity_Entsoe_SFS_2014" name="Capacity_Entsoe_SFS_2014" connection="WorksheetConnection_Historical Capacity &amp; Generation Entsoe EU - SR.xlsx!Capacity_Entsoe_SFS_2014"/>
        </x15:modelTables>
      </x15:dataModel>
    </ext>
  </extLst>
</workbook>
</file>

<file path=xl/calcChain.xml><?xml version="1.0" encoding="utf-8"?>
<calcChain xmlns="http://schemas.openxmlformats.org/spreadsheetml/2006/main">
  <c r="O49" i="11" l="1"/>
  <c r="AO5" i="13"/>
  <c r="AO6" i="13"/>
  <c r="AO7" i="13"/>
  <c r="AO8" i="13"/>
  <c r="AO9" i="13"/>
  <c r="AO10" i="13"/>
  <c r="AO11" i="13"/>
  <c r="AO12" i="13"/>
  <c r="AO4" i="13"/>
  <c r="O51" i="19"/>
  <c r="O49" i="13"/>
  <c r="N49" i="13"/>
  <c r="O51" i="20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R88" i="1"/>
  <c r="A88" i="1"/>
  <c r="D87" i="1"/>
  <c r="T88" i="1" l="1"/>
  <c r="U88" i="1"/>
  <c r="Q88" i="1"/>
  <c r="S88" i="1" s="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K49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I49" i="13"/>
  <c r="I50" i="13"/>
  <c r="I51" i="13"/>
  <c r="I52" i="13"/>
  <c r="I53" i="13"/>
  <c r="I54" i="13"/>
  <c r="AE54" i="13" s="1"/>
  <c r="I55" i="13"/>
  <c r="I56" i="13"/>
  <c r="I57" i="13"/>
  <c r="I58" i="13"/>
  <c r="I59" i="13"/>
  <c r="I60" i="13"/>
  <c r="I61" i="13"/>
  <c r="I62" i="13"/>
  <c r="I63" i="13"/>
  <c r="I64" i="13"/>
  <c r="I65" i="13"/>
  <c r="I66" i="13"/>
  <c r="AE66" i="13" s="1"/>
  <c r="I67" i="13"/>
  <c r="I68" i="13"/>
  <c r="I69" i="13"/>
  <c r="I70" i="13"/>
  <c r="I71" i="13"/>
  <c r="I72" i="13"/>
  <c r="I73" i="13"/>
  <c r="I74" i="13"/>
  <c r="I75" i="13"/>
  <c r="I76" i="13"/>
  <c r="I77" i="13"/>
  <c r="I78" i="13"/>
  <c r="AE78" i="13" s="1"/>
  <c r="I79" i="13"/>
  <c r="I80" i="13"/>
  <c r="I81" i="13"/>
  <c r="I82" i="13"/>
  <c r="I83" i="13"/>
  <c r="I84" i="13"/>
  <c r="I85" i="13"/>
  <c r="I86" i="13"/>
  <c r="AE86" i="13" s="1"/>
  <c r="AE62" i="13"/>
  <c r="AE57" i="13"/>
  <c r="AL70" i="13"/>
  <c r="AJ68" i="13"/>
  <c r="AH74" i="13"/>
  <c r="AF56" i="13"/>
  <c r="AC64" i="13"/>
  <c r="AF69" i="13"/>
  <c r="AF74" i="13"/>
  <c r="AF78" i="13"/>
  <c r="AA83" i="13"/>
  <c r="Z71" i="13"/>
  <c r="Z86" i="13"/>
  <c r="AG51" i="20"/>
  <c r="AL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83" i="20"/>
  <c r="AG84" i="20"/>
  <c r="AG85" i="20"/>
  <c r="AG86" i="20"/>
  <c r="AF51" i="19"/>
  <c r="AF52" i="19"/>
  <c r="AI52" i="19"/>
  <c r="AF53" i="19"/>
  <c r="AF54" i="19"/>
  <c r="AF55" i="19"/>
  <c r="AF56" i="19"/>
  <c r="AF57" i="19"/>
  <c r="AF58" i="19"/>
  <c r="AI58" i="19"/>
  <c r="AF59" i="19"/>
  <c r="AF60" i="19"/>
  <c r="AF61" i="19"/>
  <c r="AF62" i="19"/>
  <c r="AF63" i="19"/>
  <c r="AF64" i="19"/>
  <c r="AI64" i="19"/>
  <c r="AF65" i="19"/>
  <c r="AF66" i="19"/>
  <c r="AF67" i="19"/>
  <c r="AF68" i="19"/>
  <c r="AF69" i="19"/>
  <c r="AF70" i="19"/>
  <c r="AI70" i="19"/>
  <c r="AF71" i="19"/>
  <c r="AF72" i="19"/>
  <c r="AF73" i="19"/>
  <c r="AF74" i="19"/>
  <c r="AF75" i="19"/>
  <c r="AF76" i="19"/>
  <c r="AF77" i="19"/>
  <c r="AF78" i="19"/>
  <c r="AF79" i="19"/>
  <c r="AF80" i="19"/>
  <c r="AE81" i="19"/>
  <c r="AF81" i="19"/>
  <c r="AF82" i="19"/>
  <c r="AF83" i="19"/>
  <c r="AE84" i="19"/>
  <c r="AF84" i="19"/>
  <c r="AF85" i="19"/>
  <c r="AF86" i="19"/>
  <c r="Z59" i="19"/>
  <c r="AC59" i="11"/>
  <c r="AG66" i="11"/>
  <c r="AL77" i="11"/>
  <c r="AD81" i="11"/>
  <c r="AE84" i="11"/>
  <c r="Z61" i="11"/>
  <c r="AK74" i="1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6" i="20"/>
  <c r="X85" i="20"/>
  <c r="X84" i="20"/>
  <c r="X83" i="20"/>
  <c r="X82" i="20"/>
  <c r="X81" i="20"/>
  <c r="X80" i="20"/>
  <c r="X79" i="20"/>
  <c r="X78" i="20"/>
  <c r="X77" i="20"/>
  <c r="X76" i="20"/>
  <c r="X75" i="20"/>
  <c r="X74" i="20"/>
  <c r="X73" i="20"/>
  <c r="X72" i="20"/>
  <c r="X71" i="20"/>
  <c r="X70" i="20"/>
  <c r="X69" i="20"/>
  <c r="X68" i="20"/>
  <c r="X67" i="20"/>
  <c r="X66" i="20"/>
  <c r="X65" i="20"/>
  <c r="X64" i="20"/>
  <c r="X63" i="20"/>
  <c r="X62" i="20"/>
  <c r="X61" i="20"/>
  <c r="X60" i="20"/>
  <c r="X59" i="20"/>
  <c r="X58" i="20"/>
  <c r="X57" i="20"/>
  <c r="X56" i="20"/>
  <c r="X55" i="20"/>
  <c r="X54" i="20"/>
  <c r="X53" i="20"/>
  <c r="X52" i="20"/>
  <c r="X51" i="20"/>
  <c r="W86" i="19"/>
  <c r="W85" i="19"/>
  <c r="W84" i="19"/>
  <c r="W83" i="19"/>
  <c r="W82" i="19"/>
  <c r="W81" i="19"/>
  <c r="W80" i="19"/>
  <c r="W79" i="19"/>
  <c r="W78" i="19"/>
  <c r="W77" i="19"/>
  <c r="W76" i="19"/>
  <c r="W75" i="19"/>
  <c r="W74" i="19"/>
  <c r="W73" i="19"/>
  <c r="W72" i="19"/>
  <c r="W71" i="19"/>
  <c r="W70" i="19"/>
  <c r="W69" i="19"/>
  <c r="W68" i="19"/>
  <c r="W67" i="19"/>
  <c r="W6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O49" i="12"/>
  <c r="AK49" i="11" s="1"/>
  <c r="O50" i="12"/>
  <c r="O51" i="12"/>
  <c r="AK51" i="11" s="1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O49" i="18"/>
  <c r="AK51" i="19" s="1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49" i="13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D52" i="21"/>
  <c r="E52" i="21"/>
  <c r="F52" i="21"/>
  <c r="G52" i="21"/>
  <c r="H52" i="21"/>
  <c r="I52" i="21"/>
  <c r="K52" i="21"/>
  <c r="L52" i="21"/>
  <c r="M52" i="21"/>
  <c r="P52" i="21"/>
  <c r="D53" i="21"/>
  <c r="E53" i="21"/>
  <c r="F53" i="21"/>
  <c r="G53" i="21"/>
  <c r="H53" i="21"/>
  <c r="I53" i="21"/>
  <c r="K53" i="21"/>
  <c r="L53" i="21"/>
  <c r="M53" i="21"/>
  <c r="P53" i="21"/>
  <c r="D54" i="21"/>
  <c r="E54" i="21"/>
  <c r="F54" i="21"/>
  <c r="G54" i="21"/>
  <c r="H54" i="21"/>
  <c r="I54" i="21"/>
  <c r="K54" i="21"/>
  <c r="L54" i="21"/>
  <c r="M54" i="21"/>
  <c r="P54" i="21"/>
  <c r="D55" i="21"/>
  <c r="E55" i="21"/>
  <c r="F55" i="21"/>
  <c r="G55" i="21"/>
  <c r="H55" i="21"/>
  <c r="I55" i="21"/>
  <c r="K55" i="21"/>
  <c r="L55" i="21"/>
  <c r="M55" i="21"/>
  <c r="P55" i="21"/>
  <c r="D56" i="21"/>
  <c r="E56" i="21"/>
  <c r="F56" i="21"/>
  <c r="G56" i="21"/>
  <c r="H56" i="21"/>
  <c r="I56" i="21"/>
  <c r="K56" i="21"/>
  <c r="L56" i="21"/>
  <c r="M56" i="21"/>
  <c r="P56" i="21"/>
  <c r="D57" i="21"/>
  <c r="E57" i="21"/>
  <c r="F57" i="21"/>
  <c r="G57" i="21"/>
  <c r="H57" i="21"/>
  <c r="I57" i="21"/>
  <c r="K57" i="21"/>
  <c r="L57" i="21"/>
  <c r="M57" i="21"/>
  <c r="P57" i="21"/>
  <c r="D58" i="21"/>
  <c r="E58" i="21"/>
  <c r="F58" i="21"/>
  <c r="G58" i="21"/>
  <c r="H58" i="21"/>
  <c r="I58" i="21"/>
  <c r="K58" i="21"/>
  <c r="L58" i="21"/>
  <c r="M58" i="21"/>
  <c r="P58" i="21"/>
  <c r="D59" i="21"/>
  <c r="E59" i="21"/>
  <c r="F59" i="21"/>
  <c r="G59" i="21"/>
  <c r="H59" i="21"/>
  <c r="I59" i="21"/>
  <c r="K59" i="21"/>
  <c r="L59" i="21"/>
  <c r="M59" i="21"/>
  <c r="P59" i="21"/>
  <c r="D60" i="21"/>
  <c r="E60" i="21"/>
  <c r="F60" i="21"/>
  <c r="G60" i="21"/>
  <c r="H60" i="21"/>
  <c r="I60" i="21"/>
  <c r="K60" i="21"/>
  <c r="L60" i="21"/>
  <c r="M60" i="21"/>
  <c r="P60" i="21"/>
  <c r="D61" i="21"/>
  <c r="E61" i="21"/>
  <c r="F61" i="21"/>
  <c r="G61" i="21"/>
  <c r="H61" i="21"/>
  <c r="I61" i="21"/>
  <c r="K61" i="21"/>
  <c r="L61" i="21"/>
  <c r="M61" i="21"/>
  <c r="P61" i="21"/>
  <c r="D62" i="21"/>
  <c r="E62" i="21"/>
  <c r="F62" i="21"/>
  <c r="G62" i="21"/>
  <c r="H62" i="21"/>
  <c r="I62" i="21"/>
  <c r="K62" i="21"/>
  <c r="L62" i="21"/>
  <c r="M62" i="21"/>
  <c r="P62" i="21"/>
  <c r="D63" i="21"/>
  <c r="E63" i="21"/>
  <c r="F63" i="21"/>
  <c r="G63" i="21"/>
  <c r="H63" i="21"/>
  <c r="I63" i="21"/>
  <c r="K63" i="21"/>
  <c r="L63" i="21"/>
  <c r="M63" i="21"/>
  <c r="P63" i="21"/>
  <c r="D64" i="21"/>
  <c r="E64" i="21"/>
  <c r="F64" i="21"/>
  <c r="G64" i="21"/>
  <c r="H64" i="21"/>
  <c r="I64" i="21"/>
  <c r="K64" i="21"/>
  <c r="L64" i="21"/>
  <c r="M64" i="21"/>
  <c r="P64" i="21"/>
  <c r="D65" i="21"/>
  <c r="E65" i="21"/>
  <c r="F65" i="21"/>
  <c r="G65" i="21"/>
  <c r="H65" i="21"/>
  <c r="I65" i="21"/>
  <c r="K65" i="21"/>
  <c r="L65" i="21"/>
  <c r="M65" i="21"/>
  <c r="P65" i="21"/>
  <c r="D66" i="21"/>
  <c r="E66" i="21"/>
  <c r="F66" i="21"/>
  <c r="G66" i="21"/>
  <c r="H66" i="21"/>
  <c r="I66" i="21"/>
  <c r="K66" i="21"/>
  <c r="L66" i="21"/>
  <c r="M66" i="21"/>
  <c r="P66" i="21"/>
  <c r="D67" i="21"/>
  <c r="E67" i="21"/>
  <c r="F67" i="21"/>
  <c r="G67" i="21"/>
  <c r="H67" i="21"/>
  <c r="I67" i="21"/>
  <c r="K67" i="21"/>
  <c r="L67" i="21"/>
  <c r="M67" i="21"/>
  <c r="P67" i="21"/>
  <c r="D68" i="21"/>
  <c r="E68" i="21"/>
  <c r="F68" i="21"/>
  <c r="G68" i="21"/>
  <c r="H68" i="21"/>
  <c r="I68" i="21"/>
  <c r="K68" i="21"/>
  <c r="L68" i="21"/>
  <c r="M68" i="21"/>
  <c r="P68" i="21"/>
  <c r="D69" i="21"/>
  <c r="E69" i="21"/>
  <c r="F69" i="21"/>
  <c r="G69" i="21"/>
  <c r="H69" i="21"/>
  <c r="I69" i="21"/>
  <c r="K69" i="21"/>
  <c r="L69" i="21"/>
  <c r="M69" i="21"/>
  <c r="P69" i="21"/>
  <c r="D70" i="21"/>
  <c r="E70" i="21"/>
  <c r="F70" i="21"/>
  <c r="G70" i="21"/>
  <c r="H70" i="21"/>
  <c r="I70" i="21"/>
  <c r="K70" i="21"/>
  <c r="L70" i="21"/>
  <c r="M70" i="21"/>
  <c r="P70" i="21"/>
  <c r="D71" i="21"/>
  <c r="E71" i="21"/>
  <c r="F71" i="21"/>
  <c r="G71" i="21"/>
  <c r="H71" i="21"/>
  <c r="I71" i="21"/>
  <c r="K71" i="21"/>
  <c r="L71" i="21"/>
  <c r="M71" i="21"/>
  <c r="P71" i="21"/>
  <c r="D72" i="21"/>
  <c r="E72" i="21"/>
  <c r="F72" i="21"/>
  <c r="G72" i="21"/>
  <c r="H72" i="21"/>
  <c r="I72" i="21"/>
  <c r="K72" i="21"/>
  <c r="L72" i="21"/>
  <c r="M72" i="21"/>
  <c r="P72" i="21"/>
  <c r="D73" i="21"/>
  <c r="E73" i="21"/>
  <c r="F73" i="21"/>
  <c r="G73" i="21"/>
  <c r="H73" i="21"/>
  <c r="I73" i="21"/>
  <c r="K73" i="21"/>
  <c r="L73" i="21"/>
  <c r="M73" i="21"/>
  <c r="P73" i="21"/>
  <c r="D74" i="21"/>
  <c r="E74" i="21"/>
  <c r="F74" i="21"/>
  <c r="G74" i="21"/>
  <c r="H74" i="21"/>
  <c r="I74" i="21"/>
  <c r="K74" i="21"/>
  <c r="L74" i="21"/>
  <c r="M74" i="21"/>
  <c r="P74" i="21"/>
  <c r="D75" i="21"/>
  <c r="E75" i="21"/>
  <c r="F75" i="21"/>
  <c r="G75" i="21"/>
  <c r="H75" i="21"/>
  <c r="I75" i="21"/>
  <c r="K75" i="21"/>
  <c r="L75" i="21"/>
  <c r="M75" i="21"/>
  <c r="P75" i="21"/>
  <c r="D76" i="21"/>
  <c r="E76" i="21"/>
  <c r="F76" i="21"/>
  <c r="G76" i="21"/>
  <c r="H76" i="21"/>
  <c r="I76" i="21"/>
  <c r="K76" i="21"/>
  <c r="L76" i="21"/>
  <c r="M76" i="21"/>
  <c r="P76" i="21"/>
  <c r="D77" i="21"/>
  <c r="E77" i="21"/>
  <c r="F77" i="21"/>
  <c r="G77" i="21"/>
  <c r="H77" i="21"/>
  <c r="I77" i="21"/>
  <c r="K77" i="21"/>
  <c r="L77" i="21"/>
  <c r="M77" i="21"/>
  <c r="P77" i="21"/>
  <c r="D78" i="21"/>
  <c r="E78" i="21"/>
  <c r="F78" i="21"/>
  <c r="G78" i="21"/>
  <c r="H78" i="21"/>
  <c r="I78" i="21"/>
  <c r="K78" i="21"/>
  <c r="L78" i="21"/>
  <c r="M78" i="21"/>
  <c r="P78" i="21"/>
  <c r="D79" i="21"/>
  <c r="E79" i="21"/>
  <c r="F79" i="21"/>
  <c r="G79" i="21"/>
  <c r="H79" i="21"/>
  <c r="I79" i="21"/>
  <c r="K79" i="21"/>
  <c r="L79" i="21"/>
  <c r="M79" i="21"/>
  <c r="P79" i="21"/>
  <c r="D80" i="21"/>
  <c r="E80" i="21"/>
  <c r="F80" i="21"/>
  <c r="G80" i="21"/>
  <c r="H80" i="21"/>
  <c r="I80" i="21"/>
  <c r="K80" i="21"/>
  <c r="L80" i="21"/>
  <c r="M80" i="21"/>
  <c r="P80" i="21"/>
  <c r="D81" i="21"/>
  <c r="E81" i="21"/>
  <c r="F81" i="21"/>
  <c r="G81" i="21"/>
  <c r="H81" i="21"/>
  <c r="I81" i="21"/>
  <c r="K81" i="21"/>
  <c r="L81" i="21"/>
  <c r="M81" i="21"/>
  <c r="P81" i="21"/>
  <c r="D82" i="21"/>
  <c r="E82" i="21"/>
  <c r="F82" i="21"/>
  <c r="G82" i="21"/>
  <c r="H82" i="21"/>
  <c r="I82" i="21"/>
  <c r="K82" i="21"/>
  <c r="L82" i="21"/>
  <c r="M82" i="21"/>
  <c r="P82" i="21"/>
  <c r="D83" i="21"/>
  <c r="E83" i="21"/>
  <c r="F83" i="21"/>
  <c r="G83" i="21"/>
  <c r="H83" i="21"/>
  <c r="I83" i="21"/>
  <c r="K83" i="21"/>
  <c r="L83" i="21"/>
  <c r="M83" i="21"/>
  <c r="P83" i="21"/>
  <c r="D84" i="21"/>
  <c r="E84" i="21"/>
  <c r="F84" i="21"/>
  <c r="G84" i="21"/>
  <c r="H84" i="21"/>
  <c r="I84" i="21"/>
  <c r="K84" i="21"/>
  <c r="L84" i="21"/>
  <c r="M84" i="21"/>
  <c r="P84" i="21"/>
  <c r="D85" i="21"/>
  <c r="E85" i="21"/>
  <c r="F85" i="21"/>
  <c r="G85" i="21"/>
  <c r="H85" i="21"/>
  <c r="I85" i="21"/>
  <c r="K85" i="21"/>
  <c r="L85" i="21"/>
  <c r="M85" i="21"/>
  <c r="P85" i="21"/>
  <c r="D86" i="21"/>
  <c r="E86" i="21"/>
  <c r="F86" i="21"/>
  <c r="G86" i="21"/>
  <c r="H86" i="21"/>
  <c r="I86" i="21"/>
  <c r="K86" i="21"/>
  <c r="L86" i="21"/>
  <c r="M86" i="21"/>
  <c r="P86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T85" i="21" s="1"/>
  <c r="A86" i="21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D50" i="18"/>
  <c r="E50" i="18"/>
  <c r="F50" i="18"/>
  <c r="G50" i="18"/>
  <c r="H50" i="18"/>
  <c r="I50" i="18"/>
  <c r="K50" i="18"/>
  <c r="L50" i="18"/>
  <c r="M50" i="18"/>
  <c r="P50" i="18"/>
  <c r="D51" i="18"/>
  <c r="E51" i="18"/>
  <c r="F51" i="18"/>
  <c r="G51" i="18"/>
  <c r="H51" i="18"/>
  <c r="I51" i="18"/>
  <c r="K51" i="18"/>
  <c r="L51" i="18"/>
  <c r="M51" i="18"/>
  <c r="P51" i="18"/>
  <c r="D52" i="18"/>
  <c r="E52" i="18"/>
  <c r="F52" i="18"/>
  <c r="G52" i="18"/>
  <c r="H52" i="18"/>
  <c r="I52" i="18"/>
  <c r="K52" i="18"/>
  <c r="L52" i="18"/>
  <c r="M52" i="18"/>
  <c r="AI54" i="19" s="1"/>
  <c r="P52" i="18"/>
  <c r="D53" i="18"/>
  <c r="Z55" i="19" s="1"/>
  <c r="E53" i="18"/>
  <c r="F53" i="18"/>
  <c r="G53" i="18"/>
  <c r="H53" i="18"/>
  <c r="I53" i="18"/>
  <c r="K53" i="18"/>
  <c r="L53" i="18"/>
  <c r="M53" i="18"/>
  <c r="AI55" i="19" s="1"/>
  <c r="P53" i="18"/>
  <c r="D54" i="18"/>
  <c r="E54" i="18"/>
  <c r="F54" i="18"/>
  <c r="G54" i="18"/>
  <c r="H54" i="18"/>
  <c r="I54" i="18"/>
  <c r="K54" i="18"/>
  <c r="L54" i="18"/>
  <c r="M54" i="18"/>
  <c r="AI56" i="19" s="1"/>
  <c r="P54" i="18"/>
  <c r="D55" i="18"/>
  <c r="E55" i="18"/>
  <c r="F55" i="18"/>
  <c r="G55" i="18"/>
  <c r="H55" i="18"/>
  <c r="I55" i="18"/>
  <c r="K55" i="18"/>
  <c r="L55" i="18"/>
  <c r="M55" i="18"/>
  <c r="AI57" i="19" s="1"/>
  <c r="P55" i="18"/>
  <c r="D56" i="18"/>
  <c r="E56" i="18"/>
  <c r="F56" i="18"/>
  <c r="G56" i="18"/>
  <c r="H56" i="18"/>
  <c r="I56" i="18"/>
  <c r="K56" i="18"/>
  <c r="L56" i="18"/>
  <c r="M56" i="18"/>
  <c r="P56" i="18"/>
  <c r="D57" i="18"/>
  <c r="E57" i="18"/>
  <c r="F57" i="18"/>
  <c r="G57" i="18"/>
  <c r="H57" i="18"/>
  <c r="I57" i="18"/>
  <c r="K57" i="18"/>
  <c r="L57" i="18"/>
  <c r="M57" i="18"/>
  <c r="P57" i="18"/>
  <c r="D58" i="18"/>
  <c r="E58" i="18"/>
  <c r="F58" i="18"/>
  <c r="G58" i="18"/>
  <c r="H58" i="18"/>
  <c r="I58" i="18"/>
  <c r="K58" i="18"/>
  <c r="L58" i="18"/>
  <c r="M58" i="18"/>
  <c r="AI60" i="19" s="1"/>
  <c r="P58" i="18"/>
  <c r="D59" i="18"/>
  <c r="E59" i="18"/>
  <c r="F59" i="18"/>
  <c r="G59" i="18"/>
  <c r="H59" i="18"/>
  <c r="I59" i="18"/>
  <c r="K59" i="18"/>
  <c r="L59" i="18"/>
  <c r="M59" i="18"/>
  <c r="AI61" i="19" s="1"/>
  <c r="P59" i="18"/>
  <c r="D60" i="18"/>
  <c r="E60" i="18"/>
  <c r="F60" i="18"/>
  <c r="G60" i="18"/>
  <c r="H60" i="18"/>
  <c r="I60" i="18"/>
  <c r="K60" i="18"/>
  <c r="L60" i="18"/>
  <c r="M60" i="18"/>
  <c r="AI62" i="19" s="1"/>
  <c r="P60" i="18"/>
  <c r="D61" i="18"/>
  <c r="E61" i="18"/>
  <c r="F61" i="18"/>
  <c r="G61" i="18"/>
  <c r="H61" i="18"/>
  <c r="I61" i="18"/>
  <c r="K61" i="18"/>
  <c r="L61" i="18"/>
  <c r="M61" i="18"/>
  <c r="AI63" i="19" s="1"/>
  <c r="P61" i="18"/>
  <c r="D62" i="18"/>
  <c r="E62" i="18"/>
  <c r="F62" i="18"/>
  <c r="G62" i="18"/>
  <c r="H62" i="18"/>
  <c r="I62" i="18"/>
  <c r="K62" i="18"/>
  <c r="L62" i="18"/>
  <c r="M62" i="18"/>
  <c r="P62" i="18"/>
  <c r="D63" i="18"/>
  <c r="E63" i="18"/>
  <c r="F63" i="18"/>
  <c r="G63" i="18"/>
  <c r="H63" i="18"/>
  <c r="I63" i="18"/>
  <c r="K63" i="18"/>
  <c r="L63" i="18"/>
  <c r="M63" i="18"/>
  <c r="P63" i="18"/>
  <c r="D64" i="18"/>
  <c r="E64" i="18"/>
  <c r="F64" i="18"/>
  <c r="G64" i="18"/>
  <c r="H64" i="18"/>
  <c r="I64" i="18"/>
  <c r="K64" i="18"/>
  <c r="L64" i="18"/>
  <c r="M64" i="18"/>
  <c r="AI66" i="19" s="1"/>
  <c r="P64" i="18"/>
  <c r="D65" i="18"/>
  <c r="E65" i="18"/>
  <c r="F65" i="18"/>
  <c r="G65" i="18"/>
  <c r="H65" i="18"/>
  <c r="I65" i="18"/>
  <c r="K65" i="18"/>
  <c r="L65" i="18"/>
  <c r="M65" i="18"/>
  <c r="AI67" i="19" s="1"/>
  <c r="P65" i="18"/>
  <c r="D66" i="18"/>
  <c r="E66" i="18"/>
  <c r="F66" i="18"/>
  <c r="G66" i="18"/>
  <c r="H66" i="18"/>
  <c r="I66" i="18"/>
  <c r="K66" i="18"/>
  <c r="L66" i="18"/>
  <c r="M66" i="18"/>
  <c r="AI68" i="19" s="1"/>
  <c r="P66" i="18"/>
  <c r="D67" i="18"/>
  <c r="E67" i="18"/>
  <c r="F67" i="18"/>
  <c r="G67" i="18"/>
  <c r="H67" i="18"/>
  <c r="I67" i="18"/>
  <c r="K67" i="18"/>
  <c r="L67" i="18"/>
  <c r="M67" i="18"/>
  <c r="AI69" i="19" s="1"/>
  <c r="P67" i="18"/>
  <c r="D68" i="18"/>
  <c r="E68" i="18"/>
  <c r="F68" i="18"/>
  <c r="G68" i="18"/>
  <c r="H68" i="18"/>
  <c r="I68" i="18"/>
  <c r="K68" i="18"/>
  <c r="L68" i="18"/>
  <c r="M68" i="18"/>
  <c r="P68" i="18"/>
  <c r="D69" i="18"/>
  <c r="Z71" i="19" s="1"/>
  <c r="E69" i="18"/>
  <c r="F69" i="18"/>
  <c r="G69" i="18"/>
  <c r="H69" i="18"/>
  <c r="I69" i="18"/>
  <c r="K69" i="18"/>
  <c r="L69" i="18"/>
  <c r="M69" i="18"/>
  <c r="P69" i="18"/>
  <c r="D70" i="18"/>
  <c r="E70" i="18"/>
  <c r="F70" i="18"/>
  <c r="G70" i="18"/>
  <c r="H70" i="18"/>
  <c r="I70" i="18"/>
  <c r="K70" i="18"/>
  <c r="L70" i="18"/>
  <c r="M70" i="18"/>
  <c r="AI72" i="19" s="1"/>
  <c r="P70" i="18"/>
  <c r="D71" i="18"/>
  <c r="E71" i="18"/>
  <c r="F71" i="18"/>
  <c r="G71" i="18"/>
  <c r="H71" i="18"/>
  <c r="I71" i="18"/>
  <c r="K71" i="18"/>
  <c r="L71" i="18"/>
  <c r="M71" i="18"/>
  <c r="AI73" i="19" s="1"/>
  <c r="P71" i="18"/>
  <c r="D72" i="18"/>
  <c r="E72" i="18"/>
  <c r="F72" i="18"/>
  <c r="G72" i="18"/>
  <c r="H72" i="18"/>
  <c r="I72" i="18"/>
  <c r="K72" i="18"/>
  <c r="L72" i="18"/>
  <c r="M72" i="18"/>
  <c r="AI74" i="19" s="1"/>
  <c r="P72" i="18"/>
  <c r="D73" i="18"/>
  <c r="Z75" i="19" s="1"/>
  <c r="E73" i="18"/>
  <c r="F73" i="18"/>
  <c r="G73" i="18"/>
  <c r="H73" i="18"/>
  <c r="I73" i="18"/>
  <c r="K73" i="18"/>
  <c r="L73" i="18"/>
  <c r="M73" i="18"/>
  <c r="AI75" i="19" s="1"/>
  <c r="P73" i="18"/>
  <c r="D74" i="18"/>
  <c r="E74" i="18"/>
  <c r="F74" i="18"/>
  <c r="G74" i="18"/>
  <c r="H74" i="18"/>
  <c r="I74" i="18"/>
  <c r="AE76" i="19" s="1"/>
  <c r="K74" i="18"/>
  <c r="L74" i="18"/>
  <c r="M74" i="18"/>
  <c r="P74" i="18"/>
  <c r="D75" i="18"/>
  <c r="E75" i="18"/>
  <c r="F75" i="18"/>
  <c r="G75" i="18"/>
  <c r="H75" i="18"/>
  <c r="I75" i="18"/>
  <c r="K75" i="18"/>
  <c r="L75" i="18"/>
  <c r="M75" i="18"/>
  <c r="P75" i="18"/>
  <c r="D76" i="18"/>
  <c r="E76" i="18"/>
  <c r="AA78" i="19" s="1"/>
  <c r="F76" i="18"/>
  <c r="G76" i="18"/>
  <c r="H76" i="18"/>
  <c r="I76" i="18"/>
  <c r="K76" i="18"/>
  <c r="L76" i="18"/>
  <c r="M76" i="18"/>
  <c r="P76" i="18"/>
  <c r="D77" i="18"/>
  <c r="Z79" i="19" s="1"/>
  <c r="E77" i="18"/>
  <c r="F77" i="18"/>
  <c r="G77" i="18"/>
  <c r="H77" i="18"/>
  <c r="AD79" i="19" s="1"/>
  <c r="I77" i="18"/>
  <c r="K77" i="18"/>
  <c r="L77" i="18"/>
  <c r="M77" i="18"/>
  <c r="AI79" i="19" s="1"/>
  <c r="P77" i="18"/>
  <c r="D78" i="18"/>
  <c r="E78" i="18"/>
  <c r="AA80" i="19" s="1"/>
  <c r="F78" i="18"/>
  <c r="G78" i="18"/>
  <c r="H78" i="18"/>
  <c r="I78" i="18"/>
  <c r="AE80" i="19" s="1"/>
  <c r="K78" i="18"/>
  <c r="L78" i="18"/>
  <c r="M78" i="18"/>
  <c r="AI80" i="19" s="1"/>
  <c r="P78" i="18"/>
  <c r="D79" i="18"/>
  <c r="E79" i="18"/>
  <c r="AA81" i="19" s="1"/>
  <c r="F79" i="18"/>
  <c r="G79" i="18"/>
  <c r="H79" i="18"/>
  <c r="I79" i="18"/>
  <c r="K79" i="18"/>
  <c r="L79" i="18"/>
  <c r="M79" i="18"/>
  <c r="AI81" i="19" s="1"/>
  <c r="P79" i="18"/>
  <c r="D80" i="18"/>
  <c r="E80" i="18"/>
  <c r="AA82" i="19" s="1"/>
  <c r="F80" i="18"/>
  <c r="G80" i="18"/>
  <c r="H80" i="18"/>
  <c r="I80" i="18"/>
  <c r="AE82" i="19" s="1"/>
  <c r="K80" i="18"/>
  <c r="L80" i="18"/>
  <c r="M80" i="18"/>
  <c r="AI82" i="19" s="1"/>
  <c r="P80" i="18"/>
  <c r="D81" i="18"/>
  <c r="Z83" i="19" s="1"/>
  <c r="E81" i="18"/>
  <c r="AA83" i="19" s="1"/>
  <c r="F81" i="18"/>
  <c r="G81" i="18"/>
  <c r="H81" i="18"/>
  <c r="I81" i="18"/>
  <c r="AE83" i="19" s="1"/>
  <c r="K81" i="18"/>
  <c r="L81" i="18"/>
  <c r="M81" i="18"/>
  <c r="AI83" i="19" s="1"/>
  <c r="P81" i="18"/>
  <c r="D82" i="18"/>
  <c r="E82" i="18"/>
  <c r="AA84" i="19" s="1"/>
  <c r="F82" i="18"/>
  <c r="G82" i="18"/>
  <c r="H82" i="18"/>
  <c r="I82" i="18"/>
  <c r="K82" i="18"/>
  <c r="L82" i="18"/>
  <c r="M82" i="18"/>
  <c r="P82" i="18"/>
  <c r="D83" i="18"/>
  <c r="E83" i="18"/>
  <c r="AA85" i="19" s="1"/>
  <c r="F83" i="18"/>
  <c r="G83" i="18"/>
  <c r="H83" i="18"/>
  <c r="I83" i="18"/>
  <c r="AE85" i="19" s="1"/>
  <c r="K83" i="18"/>
  <c r="L83" i="18"/>
  <c r="M83" i="18"/>
  <c r="AI85" i="19" s="1"/>
  <c r="P83" i="18"/>
  <c r="D84" i="18"/>
  <c r="E84" i="18"/>
  <c r="AA86" i="19" s="1"/>
  <c r="F84" i="18"/>
  <c r="G84" i="18"/>
  <c r="H84" i="18"/>
  <c r="I84" i="18"/>
  <c r="AE86" i="19" s="1"/>
  <c r="K84" i="18"/>
  <c r="L84" i="18"/>
  <c r="M84" i="18"/>
  <c r="AI86" i="19" s="1"/>
  <c r="P84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D50" i="12"/>
  <c r="E50" i="12"/>
  <c r="F50" i="12"/>
  <c r="G50" i="12"/>
  <c r="H50" i="12"/>
  <c r="I50" i="12"/>
  <c r="J50" i="12"/>
  <c r="K50" i="12"/>
  <c r="L50" i="12"/>
  <c r="M50" i="12"/>
  <c r="P50" i="12"/>
  <c r="D51" i="12"/>
  <c r="E51" i="12"/>
  <c r="F51" i="12"/>
  <c r="G51" i="12"/>
  <c r="H51" i="12"/>
  <c r="I51" i="12"/>
  <c r="J51" i="12"/>
  <c r="K51" i="12"/>
  <c r="L51" i="12"/>
  <c r="M51" i="12"/>
  <c r="P51" i="12"/>
  <c r="D52" i="12"/>
  <c r="E52" i="12"/>
  <c r="F52" i="12"/>
  <c r="G52" i="12"/>
  <c r="H52" i="12"/>
  <c r="I52" i="12"/>
  <c r="J52" i="12"/>
  <c r="K52" i="12"/>
  <c r="L52" i="12"/>
  <c r="M52" i="12"/>
  <c r="P52" i="12"/>
  <c r="D53" i="12"/>
  <c r="E53" i="12"/>
  <c r="F53" i="12"/>
  <c r="G53" i="12"/>
  <c r="H53" i="12"/>
  <c r="I53" i="12"/>
  <c r="J53" i="12"/>
  <c r="K53" i="12"/>
  <c r="L53" i="12"/>
  <c r="M53" i="12"/>
  <c r="P53" i="12"/>
  <c r="D54" i="12"/>
  <c r="E54" i="12"/>
  <c r="F54" i="12"/>
  <c r="G54" i="12"/>
  <c r="H54" i="12"/>
  <c r="I54" i="12"/>
  <c r="J54" i="12"/>
  <c r="K54" i="12"/>
  <c r="L54" i="12"/>
  <c r="M54" i="12"/>
  <c r="P54" i="12"/>
  <c r="D55" i="12"/>
  <c r="E55" i="12"/>
  <c r="F55" i="12"/>
  <c r="G55" i="12"/>
  <c r="H55" i="12"/>
  <c r="I55" i="12"/>
  <c r="J55" i="12"/>
  <c r="K55" i="12"/>
  <c r="L55" i="12"/>
  <c r="M55" i="12"/>
  <c r="P55" i="12"/>
  <c r="D56" i="12"/>
  <c r="E56" i="12"/>
  <c r="F56" i="12"/>
  <c r="G56" i="12"/>
  <c r="H56" i="12"/>
  <c r="I56" i="12"/>
  <c r="J56" i="12"/>
  <c r="K56" i="12"/>
  <c r="L56" i="12"/>
  <c r="M56" i="12"/>
  <c r="P56" i="12"/>
  <c r="D57" i="12"/>
  <c r="E57" i="12"/>
  <c r="F57" i="12"/>
  <c r="G57" i="12"/>
  <c r="H57" i="12"/>
  <c r="I57" i="12"/>
  <c r="J57" i="12"/>
  <c r="K57" i="12"/>
  <c r="L57" i="12"/>
  <c r="M57" i="12"/>
  <c r="P57" i="12"/>
  <c r="D58" i="12"/>
  <c r="E58" i="12"/>
  <c r="F58" i="12"/>
  <c r="G58" i="12"/>
  <c r="H58" i="12"/>
  <c r="I58" i="12"/>
  <c r="J58" i="12"/>
  <c r="K58" i="12"/>
  <c r="L58" i="12"/>
  <c r="M58" i="12"/>
  <c r="P58" i="12"/>
  <c r="D59" i="12"/>
  <c r="E59" i="12"/>
  <c r="F59" i="12"/>
  <c r="G59" i="12"/>
  <c r="H59" i="12"/>
  <c r="I59" i="12"/>
  <c r="J59" i="12"/>
  <c r="K59" i="12"/>
  <c r="L59" i="12"/>
  <c r="M59" i="12"/>
  <c r="P59" i="12"/>
  <c r="D60" i="12"/>
  <c r="E60" i="12"/>
  <c r="F60" i="12"/>
  <c r="G60" i="12"/>
  <c r="H60" i="12"/>
  <c r="I60" i="12"/>
  <c r="J60" i="12"/>
  <c r="K60" i="12"/>
  <c r="L60" i="12"/>
  <c r="M60" i="12"/>
  <c r="P60" i="12"/>
  <c r="D61" i="12"/>
  <c r="E61" i="12"/>
  <c r="F61" i="12"/>
  <c r="G61" i="12"/>
  <c r="H61" i="12"/>
  <c r="I61" i="12"/>
  <c r="J61" i="12"/>
  <c r="K61" i="12"/>
  <c r="L61" i="12"/>
  <c r="M61" i="12"/>
  <c r="P61" i="12"/>
  <c r="D62" i="12"/>
  <c r="E62" i="12"/>
  <c r="F62" i="12"/>
  <c r="G62" i="12"/>
  <c r="H62" i="12"/>
  <c r="I62" i="12"/>
  <c r="J62" i="12"/>
  <c r="K62" i="12"/>
  <c r="L62" i="12"/>
  <c r="M62" i="12"/>
  <c r="P62" i="12"/>
  <c r="D63" i="12"/>
  <c r="E63" i="12"/>
  <c r="F63" i="12"/>
  <c r="G63" i="12"/>
  <c r="H63" i="12"/>
  <c r="I63" i="12"/>
  <c r="J63" i="12"/>
  <c r="K63" i="12"/>
  <c r="L63" i="12"/>
  <c r="M63" i="12"/>
  <c r="P63" i="12"/>
  <c r="D64" i="12"/>
  <c r="E64" i="12"/>
  <c r="F64" i="12"/>
  <c r="G64" i="12"/>
  <c r="H64" i="12"/>
  <c r="I64" i="12"/>
  <c r="J64" i="12"/>
  <c r="K64" i="12"/>
  <c r="L64" i="12"/>
  <c r="M64" i="12"/>
  <c r="P64" i="12"/>
  <c r="D65" i="12"/>
  <c r="E65" i="12"/>
  <c r="F65" i="12"/>
  <c r="G65" i="12"/>
  <c r="H65" i="12"/>
  <c r="I65" i="12"/>
  <c r="J65" i="12"/>
  <c r="K65" i="12"/>
  <c r="L65" i="12"/>
  <c r="M65" i="12"/>
  <c r="P65" i="12"/>
  <c r="D66" i="12"/>
  <c r="E66" i="12"/>
  <c r="F66" i="12"/>
  <c r="G66" i="12"/>
  <c r="H66" i="12"/>
  <c r="I66" i="12"/>
  <c r="J66" i="12"/>
  <c r="K66" i="12"/>
  <c r="L66" i="12"/>
  <c r="M66" i="12"/>
  <c r="P66" i="12"/>
  <c r="D67" i="12"/>
  <c r="E67" i="12"/>
  <c r="F67" i="12"/>
  <c r="G67" i="12"/>
  <c r="H67" i="12"/>
  <c r="I67" i="12"/>
  <c r="J67" i="12"/>
  <c r="K67" i="12"/>
  <c r="L67" i="12"/>
  <c r="M67" i="12"/>
  <c r="P67" i="12"/>
  <c r="D68" i="12"/>
  <c r="E68" i="12"/>
  <c r="F68" i="12"/>
  <c r="G68" i="12"/>
  <c r="H68" i="12"/>
  <c r="I68" i="12"/>
  <c r="J68" i="12"/>
  <c r="K68" i="12"/>
  <c r="L68" i="12"/>
  <c r="M68" i="12"/>
  <c r="P68" i="12"/>
  <c r="D69" i="12"/>
  <c r="E69" i="12"/>
  <c r="F69" i="12"/>
  <c r="G69" i="12"/>
  <c r="H69" i="12"/>
  <c r="I69" i="12"/>
  <c r="J69" i="12"/>
  <c r="K69" i="12"/>
  <c r="L69" i="12"/>
  <c r="M69" i="12"/>
  <c r="P69" i="12"/>
  <c r="D70" i="12"/>
  <c r="E70" i="12"/>
  <c r="F70" i="12"/>
  <c r="G70" i="12"/>
  <c r="H70" i="12"/>
  <c r="I70" i="12"/>
  <c r="J70" i="12"/>
  <c r="K70" i="12"/>
  <c r="L70" i="12"/>
  <c r="M70" i="12"/>
  <c r="P70" i="12"/>
  <c r="D71" i="12"/>
  <c r="E71" i="12"/>
  <c r="F71" i="12"/>
  <c r="G71" i="12"/>
  <c r="H71" i="12"/>
  <c r="I71" i="12"/>
  <c r="J71" i="12"/>
  <c r="K71" i="12"/>
  <c r="L71" i="12"/>
  <c r="M71" i="12"/>
  <c r="P71" i="12"/>
  <c r="D72" i="12"/>
  <c r="E72" i="12"/>
  <c r="F72" i="12"/>
  <c r="G72" i="12"/>
  <c r="H72" i="12"/>
  <c r="I72" i="12"/>
  <c r="J72" i="12"/>
  <c r="K72" i="12"/>
  <c r="L72" i="12"/>
  <c r="M72" i="12"/>
  <c r="P72" i="12"/>
  <c r="D73" i="12"/>
  <c r="E73" i="12"/>
  <c r="F73" i="12"/>
  <c r="G73" i="12"/>
  <c r="H73" i="12"/>
  <c r="I73" i="12"/>
  <c r="J73" i="12"/>
  <c r="K73" i="12"/>
  <c r="L73" i="12"/>
  <c r="M73" i="12"/>
  <c r="P73" i="12"/>
  <c r="D74" i="12"/>
  <c r="E74" i="12"/>
  <c r="F74" i="12"/>
  <c r="G74" i="12"/>
  <c r="H74" i="12"/>
  <c r="I74" i="12"/>
  <c r="J74" i="12"/>
  <c r="K74" i="12"/>
  <c r="L74" i="12"/>
  <c r="M74" i="12"/>
  <c r="P74" i="12"/>
  <c r="D75" i="12"/>
  <c r="E75" i="12"/>
  <c r="F75" i="12"/>
  <c r="G75" i="12"/>
  <c r="H75" i="12"/>
  <c r="I75" i="12"/>
  <c r="J75" i="12"/>
  <c r="K75" i="12"/>
  <c r="L75" i="12"/>
  <c r="M75" i="12"/>
  <c r="P75" i="12"/>
  <c r="D76" i="12"/>
  <c r="E76" i="12"/>
  <c r="F76" i="12"/>
  <c r="G76" i="12"/>
  <c r="H76" i="12"/>
  <c r="I76" i="12"/>
  <c r="J76" i="12"/>
  <c r="K76" i="12"/>
  <c r="L76" i="12"/>
  <c r="M76" i="12"/>
  <c r="P76" i="12"/>
  <c r="D77" i="12"/>
  <c r="E77" i="12"/>
  <c r="F77" i="12"/>
  <c r="G77" i="12"/>
  <c r="H77" i="12"/>
  <c r="I77" i="12"/>
  <c r="J77" i="12"/>
  <c r="K77" i="12"/>
  <c r="L77" i="12"/>
  <c r="M77" i="12"/>
  <c r="P77" i="12"/>
  <c r="D78" i="12"/>
  <c r="E78" i="12"/>
  <c r="F78" i="12"/>
  <c r="G78" i="12"/>
  <c r="H78" i="12"/>
  <c r="I78" i="12"/>
  <c r="J78" i="12"/>
  <c r="K78" i="12"/>
  <c r="L78" i="12"/>
  <c r="M78" i="12"/>
  <c r="P78" i="12"/>
  <c r="D79" i="12"/>
  <c r="E79" i="12"/>
  <c r="F79" i="12"/>
  <c r="G79" i="12"/>
  <c r="H79" i="12"/>
  <c r="I79" i="12"/>
  <c r="J79" i="12"/>
  <c r="K79" i="12"/>
  <c r="L79" i="12"/>
  <c r="M79" i="12"/>
  <c r="P79" i="12"/>
  <c r="D80" i="12"/>
  <c r="E80" i="12"/>
  <c r="F80" i="12"/>
  <c r="G80" i="12"/>
  <c r="H80" i="12"/>
  <c r="I80" i="12"/>
  <c r="J80" i="12"/>
  <c r="K80" i="12"/>
  <c r="L80" i="12"/>
  <c r="M80" i="12"/>
  <c r="P80" i="12"/>
  <c r="D81" i="12"/>
  <c r="E81" i="12"/>
  <c r="F81" i="12"/>
  <c r="G81" i="12"/>
  <c r="H81" i="12"/>
  <c r="I81" i="12"/>
  <c r="J81" i="12"/>
  <c r="K81" i="12"/>
  <c r="L81" i="12"/>
  <c r="M81" i="12"/>
  <c r="P81" i="12"/>
  <c r="D82" i="12"/>
  <c r="E82" i="12"/>
  <c r="F82" i="12"/>
  <c r="G82" i="12"/>
  <c r="H82" i="12"/>
  <c r="I82" i="12"/>
  <c r="J82" i="12"/>
  <c r="K82" i="12"/>
  <c r="L82" i="12"/>
  <c r="M82" i="12"/>
  <c r="P82" i="12"/>
  <c r="D83" i="12"/>
  <c r="E83" i="12"/>
  <c r="F83" i="12"/>
  <c r="G83" i="12"/>
  <c r="H83" i="12"/>
  <c r="I83" i="12"/>
  <c r="J83" i="12"/>
  <c r="K83" i="12"/>
  <c r="L83" i="12"/>
  <c r="M83" i="12"/>
  <c r="P83" i="12"/>
  <c r="D84" i="12"/>
  <c r="E84" i="12"/>
  <c r="F84" i="12"/>
  <c r="G84" i="12"/>
  <c r="H84" i="12"/>
  <c r="I84" i="12"/>
  <c r="J84" i="12"/>
  <c r="K84" i="12"/>
  <c r="L84" i="12"/>
  <c r="M84" i="12"/>
  <c r="P84" i="12"/>
  <c r="D85" i="12"/>
  <c r="E85" i="12"/>
  <c r="F85" i="12"/>
  <c r="G85" i="12"/>
  <c r="H85" i="12"/>
  <c r="I85" i="12"/>
  <c r="J85" i="12"/>
  <c r="K85" i="12"/>
  <c r="L85" i="12"/>
  <c r="M85" i="12"/>
  <c r="P85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51" i="14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49" i="13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49" i="1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51" i="1"/>
  <c r="D52" i="1"/>
  <c r="E52" i="1"/>
  <c r="F52" i="1"/>
  <c r="AB52" i="1" s="1"/>
  <c r="G52" i="1"/>
  <c r="AC52" i="1" s="1"/>
  <c r="H52" i="1"/>
  <c r="AD52" i="1" s="1"/>
  <c r="I52" i="1"/>
  <c r="J52" i="1"/>
  <c r="K52" i="1"/>
  <c r="L52" i="1"/>
  <c r="M52" i="1"/>
  <c r="N52" i="1"/>
  <c r="AJ52" i="1" s="1"/>
  <c r="O52" i="1"/>
  <c r="AK52" i="1" s="1"/>
  <c r="P52" i="1"/>
  <c r="D53" i="1"/>
  <c r="E53" i="1"/>
  <c r="AA53" i="1" s="1"/>
  <c r="F53" i="1"/>
  <c r="G53" i="1"/>
  <c r="H53" i="1"/>
  <c r="I53" i="1"/>
  <c r="J53" i="1"/>
  <c r="K53" i="1"/>
  <c r="L53" i="1"/>
  <c r="M53" i="1"/>
  <c r="N53" i="1"/>
  <c r="AJ53" i="1" s="1"/>
  <c r="O53" i="1"/>
  <c r="AK53" i="1" s="1"/>
  <c r="P53" i="1"/>
  <c r="D54" i="1"/>
  <c r="Z54" i="1" s="1"/>
  <c r="E54" i="1"/>
  <c r="AA54" i="1" s="1"/>
  <c r="F54" i="1"/>
  <c r="G54" i="1"/>
  <c r="H54" i="1"/>
  <c r="I54" i="1"/>
  <c r="J54" i="1"/>
  <c r="K54" i="1"/>
  <c r="L54" i="1"/>
  <c r="M54" i="1"/>
  <c r="N54" i="1"/>
  <c r="AJ54" i="1" s="1"/>
  <c r="O54" i="1"/>
  <c r="AK54" i="1" s="1"/>
  <c r="P54" i="1"/>
  <c r="AL54" i="1" s="1"/>
  <c r="D55" i="1"/>
  <c r="Z55" i="1" s="1"/>
  <c r="E55" i="1"/>
  <c r="AA55" i="1" s="1"/>
  <c r="F55" i="1"/>
  <c r="G55" i="1"/>
  <c r="H55" i="1"/>
  <c r="I55" i="1"/>
  <c r="J55" i="1"/>
  <c r="K55" i="1"/>
  <c r="L55" i="1"/>
  <c r="M55" i="1"/>
  <c r="N55" i="1"/>
  <c r="O55" i="1"/>
  <c r="AK55" i="1" s="1"/>
  <c r="P55" i="1"/>
  <c r="AL55" i="1" s="1"/>
  <c r="D56" i="1"/>
  <c r="Z56" i="1" s="1"/>
  <c r="E56" i="1"/>
  <c r="F56" i="1"/>
  <c r="G56" i="1"/>
  <c r="H56" i="1"/>
  <c r="I56" i="1"/>
  <c r="J56" i="1"/>
  <c r="K56" i="1"/>
  <c r="L56" i="1"/>
  <c r="M56" i="1"/>
  <c r="N56" i="1"/>
  <c r="AJ56" i="1" s="1"/>
  <c r="O56" i="1"/>
  <c r="AK56" i="1" s="1"/>
  <c r="P56" i="1"/>
  <c r="AL56" i="1" s="1"/>
  <c r="D57" i="1"/>
  <c r="E57" i="1"/>
  <c r="F57" i="1"/>
  <c r="G57" i="1"/>
  <c r="H57" i="1"/>
  <c r="I57" i="1"/>
  <c r="J57" i="1"/>
  <c r="K57" i="1"/>
  <c r="L57" i="1"/>
  <c r="M57" i="1"/>
  <c r="AI57" i="1" s="1"/>
  <c r="N57" i="1"/>
  <c r="AJ57" i="1" s="1"/>
  <c r="O57" i="1"/>
  <c r="P57" i="1"/>
  <c r="D58" i="1"/>
  <c r="E58" i="1"/>
  <c r="F58" i="1"/>
  <c r="G58" i="1"/>
  <c r="H58" i="1"/>
  <c r="I58" i="1"/>
  <c r="J58" i="1"/>
  <c r="K58" i="1"/>
  <c r="L58" i="1"/>
  <c r="AH58" i="1" s="1"/>
  <c r="M58" i="1"/>
  <c r="AI58" i="1" s="1"/>
  <c r="N58" i="1"/>
  <c r="AJ58" i="1" s="1"/>
  <c r="O58" i="1"/>
  <c r="P58" i="1"/>
  <c r="D59" i="1"/>
  <c r="E59" i="1"/>
  <c r="F59" i="1"/>
  <c r="G59" i="1"/>
  <c r="H59" i="1"/>
  <c r="I59" i="1"/>
  <c r="J59" i="1"/>
  <c r="K59" i="1"/>
  <c r="AG59" i="1" s="1"/>
  <c r="L59" i="1"/>
  <c r="M59" i="1"/>
  <c r="N59" i="1"/>
  <c r="AJ59" i="1" s="1"/>
  <c r="O59" i="1"/>
  <c r="P59" i="1"/>
  <c r="D60" i="1"/>
  <c r="E60" i="1"/>
  <c r="F60" i="1"/>
  <c r="G60" i="1"/>
  <c r="H60" i="1"/>
  <c r="I60" i="1"/>
  <c r="J60" i="1"/>
  <c r="AF60" i="1" s="1"/>
  <c r="K60" i="1"/>
  <c r="AG60" i="1" s="1"/>
  <c r="L60" i="1"/>
  <c r="M60" i="1"/>
  <c r="N60" i="1"/>
  <c r="AJ60" i="1" s="1"/>
  <c r="O60" i="1"/>
  <c r="AK60" i="1" s="1"/>
  <c r="P60" i="1"/>
  <c r="D61" i="1"/>
  <c r="E61" i="1"/>
  <c r="F61" i="1"/>
  <c r="G61" i="1"/>
  <c r="H61" i="1"/>
  <c r="I61" i="1"/>
  <c r="AE61" i="1" s="1"/>
  <c r="J61" i="1"/>
  <c r="AF61" i="1" s="1"/>
  <c r="K61" i="1"/>
  <c r="AG61" i="1" s="1"/>
  <c r="L61" i="1"/>
  <c r="M61" i="1"/>
  <c r="N61" i="1"/>
  <c r="AJ61" i="1" s="1"/>
  <c r="O61" i="1"/>
  <c r="AK61" i="1" s="1"/>
  <c r="P61" i="1"/>
  <c r="D62" i="1"/>
  <c r="E62" i="1"/>
  <c r="F62" i="1"/>
  <c r="G62" i="1"/>
  <c r="H62" i="1"/>
  <c r="AD62" i="1" s="1"/>
  <c r="I62" i="1"/>
  <c r="AE62" i="1" s="1"/>
  <c r="J62" i="1"/>
  <c r="AF62" i="1" s="1"/>
  <c r="K62" i="1"/>
  <c r="L62" i="1"/>
  <c r="M62" i="1"/>
  <c r="N62" i="1"/>
  <c r="AJ62" i="1" s="1"/>
  <c r="O62" i="1"/>
  <c r="AK62" i="1" s="1"/>
  <c r="P62" i="1"/>
  <c r="D63" i="1"/>
  <c r="E63" i="1"/>
  <c r="F63" i="1"/>
  <c r="G63" i="1"/>
  <c r="AC63" i="1" s="1"/>
  <c r="H63" i="1"/>
  <c r="AD63" i="1" s="1"/>
  <c r="I63" i="1"/>
  <c r="AE63" i="1" s="1"/>
  <c r="J63" i="1"/>
  <c r="K63" i="1"/>
  <c r="L63" i="1"/>
  <c r="M63" i="1"/>
  <c r="N63" i="1"/>
  <c r="AJ63" i="1" s="1"/>
  <c r="O63" i="1"/>
  <c r="AK63" i="1" s="1"/>
  <c r="P63" i="1"/>
  <c r="D64" i="1"/>
  <c r="E64" i="1"/>
  <c r="F64" i="1"/>
  <c r="AB64" i="1" s="1"/>
  <c r="G64" i="1"/>
  <c r="AC64" i="1" s="1"/>
  <c r="H64" i="1"/>
  <c r="AD64" i="1" s="1"/>
  <c r="I64" i="1"/>
  <c r="J64" i="1"/>
  <c r="K64" i="1"/>
  <c r="L64" i="1"/>
  <c r="M64" i="1"/>
  <c r="N64" i="1"/>
  <c r="AJ64" i="1" s="1"/>
  <c r="O64" i="1"/>
  <c r="AK64" i="1" s="1"/>
  <c r="P64" i="1"/>
  <c r="D65" i="1"/>
  <c r="E65" i="1"/>
  <c r="AA65" i="1" s="1"/>
  <c r="F65" i="1"/>
  <c r="G65" i="1"/>
  <c r="H65" i="1"/>
  <c r="I65" i="1"/>
  <c r="J65" i="1"/>
  <c r="K65" i="1"/>
  <c r="L65" i="1"/>
  <c r="M65" i="1"/>
  <c r="N65" i="1"/>
  <c r="AJ65" i="1" s="1"/>
  <c r="O65" i="1"/>
  <c r="AK65" i="1" s="1"/>
  <c r="P65" i="1"/>
  <c r="D66" i="1"/>
  <c r="Z66" i="1" s="1"/>
  <c r="E66" i="1"/>
  <c r="AA66" i="1" s="1"/>
  <c r="F66" i="1"/>
  <c r="G66" i="1"/>
  <c r="H66" i="1"/>
  <c r="I66" i="1"/>
  <c r="J66" i="1"/>
  <c r="K66" i="1"/>
  <c r="L66" i="1"/>
  <c r="M66" i="1"/>
  <c r="N66" i="1"/>
  <c r="AJ66" i="1" s="1"/>
  <c r="O66" i="1"/>
  <c r="AK66" i="1" s="1"/>
  <c r="P66" i="1"/>
  <c r="AL66" i="1" s="1"/>
  <c r="D67" i="1"/>
  <c r="Z67" i="1" s="1"/>
  <c r="E67" i="1"/>
  <c r="AA67" i="1" s="1"/>
  <c r="F67" i="1"/>
  <c r="G67" i="1"/>
  <c r="H67" i="1"/>
  <c r="I67" i="1"/>
  <c r="J67" i="1"/>
  <c r="K67" i="1"/>
  <c r="L67" i="1"/>
  <c r="M67" i="1"/>
  <c r="N67" i="1"/>
  <c r="O67" i="1"/>
  <c r="AK67" i="1" s="1"/>
  <c r="P67" i="1"/>
  <c r="AL67" i="1" s="1"/>
  <c r="D68" i="1"/>
  <c r="Z68" i="1" s="1"/>
  <c r="E68" i="1"/>
  <c r="F68" i="1"/>
  <c r="G68" i="1"/>
  <c r="H68" i="1"/>
  <c r="I68" i="1"/>
  <c r="J68" i="1"/>
  <c r="K68" i="1"/>
  <c r="L68" i="1"/>
  <c r="M68" i="1"/>
  <c r="N68" i="1"/>
  <c r="AJ68" i="1" s="1"/>
  <c r="O68" i="1"/>
  <c r="AK68" i="1" s="1"/>
  <c r="P68" i="1"/>
  <c r="AL68" i="1" s="1"/>
  <c r="D69" i="1"/>
  <c r="E69" i="1"/>
  <c r="F69" i="1"/>
  <c r="G69" i="1"/>
  <c r="H69" i="1"/>
  <c r="I69" i="1"/>
  <c r="J69" i="1"/>
  <c r="K69" i="1"/>
  <c r="L69" i="1"/>
  <c r="M69" i="1"/>
  <c r="AI69" i="1" s="1"/>
  <c r="N69" i="1"/>
  <c r="AJ69" i="1" s="1"/>
  <c r="O69" i="1"/>
  <c r="P69" i="1"/>
  <c r="D70" i="1"/>
  <c r="E70" i="1"/>
  <c r="F70" i="1"/>
  <c r="G70" i="1"/>
  <c r="H70" i="1"/>
  <c r="I70" i="1"/>
  <c r="J70" i="1"/>
  <c r="K70" i="1"/>
  <c r="L70" i="1"/>
  <c r="AH70" i="1" s="1"/>
  <c r="M70" i="1"/>
  <c r="AI70" i="1" s="1"/>
  <c r="N70" i="1"/>
  <c r="AJ70" i="1" s="1"/>
  <c r="O70" i="1"/>
  <c r="AK70" i="1" s="1"/>
  <c r="P70" i="1"/>
  <c r="D71" i="1"/>
  <c r="E71" i="1"/>
  <c r="F71" i="1"/>
  <c r="G71" i="1"/>
  <c r="H71" i="1"/>
  <c r="I71" i="1"/>
  <c r="J71" i="1"/>
  <c r="K71" i="1"/>
  <c r="AG71" i="1" s="1"/>
  <c r="L71" i="1"/>
  <c r="M71" i="1"/>
  <c r="N71" i="1"/>
  <c r="AJ71" i="1" s="1"/>
  <c r="O71" i="1"/>
  <c r="AK71" i="1" s="1"/>
  <c r="P71" i="1"/>
  <c r="D72" i="1"/>
  <c r="E72" i="1"/>
  <c r="F72" i="1"/>
  <c r="G72" i="1"/>
  <c r="H72" i="1"/>
  <c r="I72" i="1"/>
  <c r="J72" i="1"/>
  <c r="AF72" i="1" s="1"/>
  <c r="K72" i="1"/>
  <c r="AG72" i="1" s="1"/>
  <c r="L72" i="1"/>
  <c r="M72" i="1"/>
  <c r="N72" i="1"/>
  <c r="AJ72" i="1" s="1"/>
  <c r="O72" i="1"/>
  <c r="AK72" i="1" s="1"/>
  <c r="P72" i="1"/>
  <c r="D73" i="1"/>
  <c r="E73" i="1"/>
  <c r="F73" i="1"/>
  <c r="G73" i="1"/>
  <c r="H73" i="1"/>
  <c r="I73" i="1"/>
  <c r="AE73" i="1" s="1"/>
  <c r="J73" i="1"/>
  <c r="AF73" i="1" s="1"/>
  <c r="K73" i="1"/>
  <c r="AG73" i="1" s="1"/>
  <c r="L73" i="1"/>
  <c r="M73" i="1"/>
  <c r="N73" i="1"/>
  <c r="AJ73" i="1" s="1"/>
  <c r="O73" i="1"/>
  <c r="AK73" i="1" s="1"/>
  <c r="P73" i="1"/>
  <c r="D74" i="1"/>
  <c r="E74" i="1"/>
  <c r="F74" i="1"/>
  <c r="G74" i="1"/>
  <c r="H74" i="1"/>
  <c r="AD74" i="1" s="1"/>
  <c r="I74" i="1"/>
  <c r="AE74" i="1" s="1"/>
  <c r="J74" i="1"/>
  <c r="AF74" i="1" s="1"/>
  <c r="K74" i="1"/>
  <c r="L74" i="1"/>
  <c r="M74" i="1"/>
  <c r="N74" i="1"/>
  <c r="AJ74" i="1" s="1"/>
  <c r="O74" i="1"/>
  <c r="P74" i="1"/>
  <c r="D75" i="1"/>
  <c r="E75" i="1"/>
  <c r="F75" i="1"/>
  <c r="G75" i="1"/>
  <c r="AC75" i="1" s="1"/>
  <c r="H75" i="1"/>
  <c r="AD75" i="1" s="1"/>
  <c r="I75" i="1"/>
  <c r="AE75" i="1" s="1"/>
  <c r="J75" i="1"/>
  <c r="K75" i="1"/>
  <c r="L75" i="1"/>
  <c r="M75" i="1"/>
  <c r="N75" i="1"/>
  <c r="AJ75" i="1" s="1"/>
  <c r="O75" i="1"/>
  <c r="AK75" i="1" s="1"/>
  <c r="P75" i="1"/>
  <c r="D76" i="1"/>
  <c r="E76" i="1"/>
  <c r="F76" i="1"/>
  <c r="AB76" i="1" s="1"/>
  <c r="G76" i="1"/>
  <c r="AC76" i="1" s="1"/>
  <c r="H76" i="1"/>
  <c r="AD76" i="1" s="1"/>
  <c r="I76" i="1"/>
  <c r="J76" i="1"/>
  <c r="K76" i="1"/>
  <c r="L76" i="1"/>
  <c r="M76" i="1"/>
  <c r="N76" i="1"/>
  <c r="AJ76" i="1" s="1"/>
  <c r="O76" i="1"/>
  <c r="AK76" i="1" s="1"/>
  <c r="P76" i="1"/>
  <c r="D77" i="1"/>
  <c r="E77" i="1"/>
  <c r="AA77" i="1" s="1"/>
  <c r="F77" i="1"/>
  <c r="G77" i="1"/>
  <c r="H77" i="1"/>
  <c r="I77" i="1"/>
  <c r="J77" i="1"/>
  <c r="K77" i="1"/>
  <c r="L77" i="1"/>
  <c r="M77" i="1"/>
  <c r="N77" i="1"/>
  <c r="AJ77" i="1" s="1"/>
  <c r="O77" i="1"/>
  <c r="AK77" i="1" s="1"/>
  <c r="P77" i="1"/>
  <c r="AL77" i="1" s="1"/>
  <c r="D78" i="1"/>
  <c r="Z78" i="1" s="1"/>
  <c r="E78" i="1"/>
  <c r="AA78" i="1" s="1"/>
  <c r="F78" i="1"/>
  <c r="G78" i="1"/>
  <c r="H78" i="1"/>
  <c r="I78" i="1"/>
  <c r="J78" i="1"/>
  <c r="K78" i="1"/>
  <c r="L78" i="1"/>
  <c r="M78" i="1"/>
  <c r="N78" i="1"/>
  <c r="AJ78" i="1" s="1"/>
  <c r="O78" i="1"/>
  <c r="AK78" i="1" s="1"/>
  <c r="P78" i="1"/>
  <c r="AL78" i="1" s="1"/>
  <c r="D79" i="1"/>
  <c r="Z79" i="1" s="1"/>
  <c r="E79" i="1"/>
  <c r="AA79" i="1" s="1"/>
  <c r="F79" i="1"/>
  <c r="G79" i="1"/>
  <c r="H79" i="1"/>
  <c r="I79" i="1"/>
  <c r="J79" i="1"/>
  <c r="K79" i="1"/>
  <c r="L79" i="1"/>
  <c r="M79" i="1"/>
  <c r="N79" i="1"/>
  <c r="O79" i="1"/>
  <c r="AK79" i="1" s="1"/>
  <c r="P79" i="1"/>
  <c r="AL79" i="1" s="1"/>
  <c r="D80" i="1"/>
  <c r="Z80" i="1" s="1"/>
  <c r="E80" i="1"/>
  <c r="F80" i="1"/>
  <c r="G80" i="1"/>
  <c r="H80" i="1"/>
  <c r="I80" i="1"/>
  <c r="J80" i="1"/>
  <c r="K80" i="1"/>
  <c r="L80" i="1"/>
  <c r="M80" i="1"/>
  <c r="N80" i="1"/>
  <c r="AJ80" i="1" s="1"/>
  <c r="O80" i="1"/>
  <c r="AK80" i="1" s="1"/>
  <c r="P80" i="1"/>
  <c r="AL80" i="1" s="1"/>
  <c r="D81" i="1"/>
  <c r="E81" i="1"/>
  <c r="F81" i="1"/>
  <c r="G81" i="1"/>
  <c r="H81" i="1"/>
  <c r="I81" i="1"/>
  <c r="J81" i="1"/>
  <c r="K81" i="1"/>
  <c r="L81" i="1"/>
  <c r="M81" i="1"/>
  <c r="AI81" i="1" s="1"/>
  <c r="N81" i="1"/>
  <c r="AJ81" i="1" s="1"/>
  <c r="O81" i="1"/>
  <c r="P81" i="1"/>
  <c r="D82" i="1"/>
  <c r="E82" i="1"/>
  <c r="F82" i="1"/>
  <c r="G82" i="1"/>
  <c r="H82" i="1"/>
  <c r="I82" i="1"/>
  <c r="J82" i="1"/>
  <c r="K82" i="1"/>
  <c r="L82" i="1"/>
  <c r="AH82" i="1" s="1"/>
  <c r="M82" i="1"/>
  <c r="AI82" i="1" s="1"/>
  <c r="N82" i="1"/>
  <c r="AJ82" i="1" s="1"/>
  <c r="O82" i="1"/>
  <c r="AK82" i="1" s="1"/>
  <c r="P82" i="1"/>
  <c r="D83" i="1"/>
  <c r="E83" i="1"/>
  <c r="F83" i="1"/>
  <c r="G83" i="1"/>
  <c r="H83" i="1"/>
  <c r="I83" i="1"/>
  <c r="J83" i="1"/>
  <c r="K83" i="1"/>
  <c r="AG83" i="1" s="1"/>
  <c r="L83" i="1"/>
  <c r="M83" i="1"/>
  <c r="N83" i="1"/>
  <c r="AJ83" i="1" s="1"/>
  <c r="O83" i="1"/>
  <c r="AK83" i="1" s="1"/>
  <c r="P83" i="1"/>
  <c r="D84" i="1"/>
  <c r="E84" i="1"/>
  <c r="F84" i="1"/>
  <c r="G84" i="1"/>
  <c r="H84" i="1"/>
  <c r="I84" i="1"/>
  <c r="J84" i="1"/>
  <c r="AF84" i="1" s="1"/>
  <c r="K84" i="1"/>
  <c r="AG84" i="1" s="1"/>
  <c r="L84" i="1"/>
  <c r="M84" i="1"/>
  <c r="N84" i="1"/>
  <c r="AJ84" i="1" s="1"/>
  <c r="O84" i="1"/>
  <c r="AK84" i="1" s="1"/>
  <c r="P84" i="1"/>
  <c r="D85" i="1"/>
  <c r="E85" i="1"/>
  <c r="F85" i="1"/>
  <c r="G85" i="1"/>
  <c r="H85" i="1"/>
  <c r="I85" i="1"/>
  <c r="AE85" i="1" s="1"/>
  <c r="J85" i="1"/>
  <c r="AF85" i="1" s="1"/>
  <c r="K85" i="1"/>
  <c r="AG85" i="1" s="1"/>
  <c r="L85" i="1"/>
  <c r="M85" i="1"/>
  <c r="N85" i="1"/>
  <c r="AJ85" i="1" s="1"/>
  <c r="O85" i="1"/>
  <c r="AK85" i="1" s="1"/>
  <c r="P85" i="1"/>
  <c r="D86" i="1"/>
  <c r="E86" i="1"/>
  <c r="F86" i="1"/>
  <c r="G86" i="1"/>
  <c r="H86" i="1"/>
  <c r="AD86" i="1" s="1"/>
  <c r="I86" i="1"/>
  <c r="AE86" i="1" s="1"/>
  <c r="J86" i="1"/>
  <c r="AF86" i="1" s="1"/>
  <c r="K86" i="1"/>
  <c r="L86" i="1"/>
  <c r="M86" i="1"/>
  <c r="N86" i="1"/>
  <c r="AJ86" i="1" s="1"/>
  <c r="O86" i="1"/>
  <c r="AK86" i="1" s="1"/>
  <c r="P86" i="1"/>
  <c r="E87" i="1"/>
  <c r="F87" i="1"/>
  <c r="G87" i="1"/>
  <c r="AC87" i="1" s="1"/>
  <c r="H87" i="1"/>
  <c r="AD87" i="1" s="1"/>
  <c r="I87" i="1"/>
  <c r="AE87" i="1" s="1"/>
  <c r="J87" i="1"/>
  <c r="K87" i="1"/>
  <c r="L87" i="1"/>
  <c r="M87" i="1"/>
  <c r="N87" i="1"/>
  <c r="AJ87" i="1" s="1"/>
  <c r="O87" i="1"/>
  <c r="AK87" i="1" s="1"/>
  <c r="P87" i="1"/>
  <c r="P51" i="1"/>
  <c r="O51" i="1"/>
  <c r="AK51" i="1" s="1"/>
  <c r="N51" i="1"/>
  <c r="AJ51" i="1" s="1"/>
  <c r="M51" i="1"/>
  <c r="L51" i="1"/>
  <c r="K51" i="1"/>
  <c r="J51" i="1"/>
  <c r="I51" i="1"/>
  <c r="H51" i="1"/>
  <c r="G51" i="1"/>
  <c r="F51" i="1"/>
  <c r="E51" i="1"/>
  <c r="D51" i="1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D52" i="4"/>
  <c r="E52" i="4"/>
  <c r="F52" i="4"/>
  <c r="G52" i="4"/>
  <c r="H52" i="4"/>
  <c r="I52" i="4"/>
  <c r="J52" i="4"/>
  <c r="K52" i="4"/>
  <c r="L52" i="4"/>
  <c r="M52" i="4"/>
  <c r="P52" i="4"/>
  <c r="D53" i="4"/>
  <c r="E53" i="4"/>
  <c r="F53" i="4"/>
  <c r="G53" i="4"/>
  <c r="H53" i="4"/>
  <c r="I53" i="4"/>
  <c r="J53" i="4"/>
  <c r="K53" i="4"/>
  <c r="L53" i="4"/>
  <c r="M53" i="4"/>
  <c r="P53" i="4"/>
  <c r="D54" i="4"/>
  <c r="E54" i="4"/>
  <c r="F54" i="4"/>
  <c r="G54" i="4"/>
  <c r="H54" i="4"/>
  <c r="I54" i="4"/>
  <c r="J54" i="4"/>
  <c r="K54" i="4"/>
  <c r="L54" i="4"/>
  <c r="M54" i="4"/>
  <c r="P54" i="4"/>
  <c r="D55" i="4"/>
  <c r="E55" i="4"/>
  <c r="F55" i="4"/>
  <c r="G55" i="4"/>
  <c r="H55" i="4"/>
  <c r="I55" i="4"/>
  <c r="J55" i="4"/>
  <c r="K55" i="4"/>
  <c r="L55" i="4"/>
  <c r="M55" i="4"/>
  <c r="P55" i="4"/>
  <c r="D56" i="4"/>
  <c r="E56" i="4"/>
  <c r="F56" i="4"/>
  <c r="G56" i="4"/>
  <c r="H56" i="4"/>
  <c r="I56" i="4"/>
  <c r="J56" i="4"/>
  <c r="K56" i="4"/>
  <c r="L56" i="4"/>
  <c r="M56" i="4"/>
  <c r="P56" i="4"/>
  <c r="D57" i="4"/>
  <c r="E57" i="4"/>
  <c r="F57" i="4"/>
  <c r="G57" i="4"/>
  <c r="H57" i="4"/>
  <c r="I57" i="4"/>
  <c r="J57" i="4"/>
  <c r="K57" i="4"/>
  <c r="L57" i="4"/>
  <c r="M57" i="4"/>
  <c r="P57" i="4"/>
  <c r="D58" i="4"/>
  <c r="E58" i="4"/>
  <c r="F58" i="4"/>
  <c r="G58" i="4"/>
  <c r="H58" i="4"/>
  <c r="I58" i="4"/>
  <c r="J58" i="4"/>
  <c r="K58" i="4"/>
  <c r="L58" i="4"/>
  <c r="M58" i="4"/>
  <c r="P58" i="4"/>
  <c r="D59" i="4"/>
  <c r="E59" i="4"/>
  <c r="F59" i="4"/>
  <c r="G59" i="4"/>
  <c r="H59" i="4"/>
  <c r="I59" i="4"/>
  <c r="J59" i="4"/>
  <c r="K59" i="4"/>
  <c r="L59" i="4"/>
  <c r="M59" i="4"/>
  <c r="P59" i="4"/>
  <c r="D60" i="4"/>
  <c r="E60" i="4"/>
  <c r="F60" i="4"/>
  <c r="G60" i="4"/>
  <c r="H60" i="4"/>
  <c r="I60" i="4"/>
  <c r="J60" i="4"/>
  <c r="K60" i="4"/>
  <c r="L60" i="4"/>
  <c r="M60" i="4"/>
  <c r="P60" i="4"/>
  <c r="D61" i="4"/>
  <c r="E61" i="4"/>
  <c r="F61" i="4"/>
  <c r="G61" i="4"/>
  <c r="H61" i="4"/>
  <c r="I61" i="4"/>
  <c r="J61" i="4"/>
  <c r="K61" i="4"/>
  <c r="L61" i="4"/>
  <c r="M61" i="4"/>
  <c r="P61" i="4"/>
  <c r="D62" i="4"/>
  <c r="E62" i="4"/>
  <c r="F62" i="4"/>
  <c r="G62" i="4"/>
  <c r="H62" i="4"/>
  <c r="I62" i="4"/>
  <c r="J62" i="4"/>
  <c r="K62" i="4"/>
  <c r="L62" i="4"/>
  <c r="M62" i="4"/>
  <c r="P62" i="4"/>
  <c r="D63" i="4"/>
  <c r="E63" i="4"/>
  <c r="F63" i="4"/>
  <c r="G63" i="4"/>
  <c r="H63" i="4"/>
  <c r="I63" i="4"/>
  <c r="J63" i="4"/>
  <c r="K63" i="4"/>
  <c r="L63" i="4"/>
  <c r="M63" i="4"/>
  <c r="P63" i="4"/>
  <c r="D64" i="4"/>
  <c r="E64" i="4"/>
  <c r="F64" i="4"/>
  <c r="G64" i="4"/>
  <c r="H64" i="4"/>
  <c r="I64" i="4"/>
  <c r="J64" i="4"/>
  <c r="K64" i="4"/>
  <c r="L64" i="4"/>
  <c r="M64" i="4"/>
  <c r="P64" i="4"/>
  <c r="D65" i="4"/>
  <c r="E65" i="4"/>
  <c r="F65" i="4"/>
  <c r="G65" i="4"/>
  <c r="H65" i="4"/>
  <c r="I65" i="4"/>
  <c r="J65" i="4"/>
  <c r="K65" i="4"/>
  <c r="L65" i="4"/>
  <c r="M65" i="4"/>
  <c r="P65" i="4"/>
  <c r="D66" i="4"/>
  <c r="E66" i="4"/>
  <c r="F66" i="4"/>
  <c r="G66" i="4"/>
  <c r="H66" i="4"/>
  <c r="I66" i="4"/>
  <c r="J66" i="4"/>
  <c r="K66" i="4"/>
  <c r="L66" i="4"/>
  <c r="M66" i="4"/>
  <c r="P66" i="4"/>
  <c r="D67" i="4"/>
  <c r="E67" i="4"/>
  <c r="F67" i="4"/>
  <c r="G67" i="4"/>
  <c r="H67" i="4"/>
  <c r="I67" i="4"/>
  <c r="J67" i="4"/>
  <c r="K67" i="4"/>
  <c r="L67" i="4"/>
  <c r="M67" i="4"/>
  <c r="P67" i="4"/>
  <c r="D68" i="4"/>
  <c r="E68" i="4"/>
  <c r="F68" i="4"/>
  <c r="G68" i="4"/>
  <c r="H68" i="4"/>
  <c r="I68" i="4"/>
  <c r="J68" i="4"/>
  <c r="K68" i="4"/>
  <c r="L68" i="4"/>
  <c r="M68" i="4"/>
  <c r="P68" i="4"/>
  <c r="D69" i="4"/>
  <c r="E69" i="4"/>
  <c r="F69" i="4"/>
  <c r="G69" i="4"/>
  <c r="H69" i="4"/>
  <c r="I69" i="4"/>
  <c r="J69" i="4"/>
  <c r="K69" i="4"/>
  <c r="L69" i="4"/>
  <c r="M69" i="4"/>
  <c r="P69" i="4"/>
  <c r="D70" i="4"/>
  <c r="E70" i="4"/>
  <c r="F70" i="4"/>
  <c r="G70" i="4"/>
  <c r="H70" i="4"/>
  <c r="I70" i="4"/>
  <c r="J70" i="4"/>
  <c r="K70" i="4"/>
  <c r="L70" i="4"/>
  <c r="M70" i="4"/>
  <c r="P70" i="4"/>
  <c r="D71" i="4"/>
  <c r="E71" i="4"/>
  <c r="F71" i="4"/>
  <c r="G71" i="4"/>
  <c r="H71" i="4"/>
  <c r="I71" i="4"/>
  <c r="J71" i="4"/>
  <c r="K71" i="4"/>
  <c r="L71" i="4"/>
  <c r="M71" i="4"/>
  <c r="P71" i="4"/>
  <c r="D72" i="4"/>
  <c r="E72" i="4"/>
  <c r="F72" i="4"/>
  <c r="G72" i="4"/>
  <c r="H72" i="4"/>
  <c r="I72" i="4"/>
  <c r="J72" i="4"/>
  <c r="K72" i="4"/>
  <c r="L72" i="4"/>
  <c r="M72" i="4"/>
  <c r="P72" i="4"/>
  <c r="D73" i="4"/>
  <c r="E73" i="4"/>
  <c r="F73" i="4"/>
  <c r="G73" i="4"/>
  <c r="H73" i="4"/>
  <c r="I73" i="4"/>
  <c r="J73" i="4"/>
  <c r="K73" i="4"/>
  <c r="L73" i="4"/>
  <c r="M73" i="4"/>
  <c r="P73" i="4"/>
  <c r="D74" i="4"/>
  <c r="E74" i="4"/>
  <c r="F74" i="4"/>
  <c r="G74" i="4"/>
  <c r="H74" i="4"/>
  <c r="I74" i="4"/>
  <c r="J74" i="4"/>
  <c r="K74" i="4"/>
  <c r="L74" i="4"/>
  <c r="M74" i="4"/>
  <c r="P74" i="4"/>
  <c r="D75" i="4"/>
  <c r="E75" i="4"/>
  <c r="F75" i="4"/>
  <c r="G75" i="4"/>
  <c r="H75" i="4"/>
  <c r="I75" i="4"/>
  <c r="J75" i="4"/>
  <c r="K75" i="4"/>
  <c r="L75" i="4"/>
  <c r="M75" i="4"/>
  <c r="P75" i="4"/>
  <c r="D76" i="4"/>
  <c r="E76" i="4"/>
  <c r="F76" i="4"/>
  <c r="G76" i="4"/>
  <c r="H76" i="4"/>
  <c r="I76" i="4"/>
  <c r="J76" i="4"/>
  <c r="K76" i="4"/>
  <c r="L76" i="4"/>
  <c r="M76" i="4"/>
  <c r="P76" i="4"/>
  <c r="D77" i="4"/>
  <c r="E77" i="4"/>
  <c r="F77" i="4"/>
  <c r="G77" i="4"/>
  <c r="H77" i="4"/>
  <c r="I77" i="4"/>
  <c r="J77" i="4"/>
  <c r="K77" i="4"/>
  <c r="L77" i="4"/>
  <c r="M77" i="4"/>
  <c r="P77" i="4"/>
  <c r="D78" i="4"/>
  <c r="E78" i="4"/>
  <c r="F78" i="4"/>
  <c r="G78" i="4"/>
  <c r="H78" i="4"/>
  <c r="I78" i="4"/>
  <c r="J78" i="4"/>
  <c r="K78" i="4"/>
  <c r="L78" i="4"/>
  <c r="M78" i="4"/>
  <c r="P78" i="4"/>
  <c r="D79" i="4"/>
  <c r="E79" i="4"/>
  <c r="F79" i="4"/>
  <c r="G79" i="4"/>
  <c r="H79" i="4"/>
  <c r="I79" i="4"/>
  <c r="J79" i="4"/>
  <c r="K79" i="4"/>
  <c r="L79" i="4"/>
  <c r="M79" i="4"/>
  <c r="P79" i="4"/>
  <c r="D80" i="4"/>
  <c r="E80" i="4"/>
  <c r="F80" i="4"/>
  <c r="G80" i="4"/>
  <c r="H80" i="4"/>
  <c r="I80" i="4"/>
  <c r="J80" i="4"/>
  <c r="K80" i="4"/>
  <c r="L80" i="4"/>
  <c r="M80" i="4"/>
  <c r="P80" i="4"/>
  <c r="D81" i="4"/>
  <c r="E81" i="4"/>
  <c r="F81" i="4"/>
  <c r="G81" i="4"/>
  <c r="H81" i="4"/>
  <c r="I81" i="4"/>
  <c r="J81" i="4"/>
  <c r="K81" i="4"/>
  <c r="L81" i="4"/>
  <c r="M81" i="4"/>
  <c r="P81" i="4"/>
  <c r="D82" i="4"/>
  <c r="E82" i="4"/>
  <c r="F82" i="4"/>
  <c r="G82" i="4"/>
  <c r="H82" i="4"/>
  <c r="I82" i="4"/>
  <c r="J82" i="4"/>
  <c r="K82" i="4"/>
  <c r="L82" i="4"/>
  <c r="M82" i="4"/>
  <c r="P82" i="4"/>
  <c r="D83" i="4"/>
  <c r="E83" i="4"/>
  <c r="F83" i="4"/>
  <c r="G83" i="4"/>
  <c r="H83" i="4"/>
  <c r="I83" i="4"/>
  <c r="J83" i="4"/>
  <c r="K83" i="4"/>
  <c r="L83" i="4"/>
  <c r="M83" i="4"/>
  <c r="P83" i="4"/>
  <c r="D84" i="4"/>
  <c r="E84" i="4"/>
  <c r="F84" i="4"/>
  <c r="G84" i="4"/>
  <c r="H84" i="4"/>
  <c r="I84" i="4"/>
  <c r="J84" i="4"/>
  <c r="K84" i="4"/>
  <c r="L84" i="4"/>
  <c r="M84" i="4"/>
  <c r="P84" i="4"/>
  <c r="D85" i="4"/>
  <c r="E85" i="4"/>
  <c r="F85" i="4"/>
  <c r="G85" i="4"/>
  <c r="H85" i="4"/>
  <c r="I85" i="4"/>
  <c r="J85" i="4"/>
  <c r="K85" i="4"/>
  <c r="L85" i="4"/>
  <c r="M85" i="4"/>
  <c r="P85" i="4"/>
  <c r="D86" i="4"/>
  <c r="E86" i="4"/>
  <c r="F86" i="4"/>
  <c r="G86" i="4"/>
  <c r="H86" i="4"/>
  <c r="I86" i="4"/>
  <c r="J86" i="4"/>
  <c r="K86" i="4"/>
  <c r="L86" i="4"/>
  <c r="M86" i="4"/>
  <c r="P86" i="4"/>
  <c r="D87" i="4"/>
  <c r="E87" i="4"/>
  <c r="F87" i="4"/>
  <c r="G87" i="4"/>
  <c r="H87" i="4"/>
  <c r="I87" i="4"/>
  <c r="J87" i="4"/>
  <c r="K87" i="4"/>
  <c r="L87" i="4"/>
  <c r="M87" i="4"/>
  <c r="P87" i="4"/>
  <c r="D88" i="4"/>
  <c r="Z87" i="1" s="1"/>
  <c r="E88" i="4"/>
  <c r="F88" i="4"/>
  <c r="G88" i="4"/>
  <c r="H88" i="4"/>
  <c r="I88" i="4"/>
  <c r="J88" i="4"/>
  <c r="K88" i="4"/>
  <c r="L88" i="4"/>
  <c r="M88" i="4"/>
  <c r="P88" i="4"/>
  <c r="R51" i="4"/>
  <c r="P51" i="4"/>
  <c r="M51" i="4"/>
  <c r="L51" i="4"/>
  <c r="K51" i="4"/>
  <c r="J51" i="4"/>
  <c r="I51" i="4"/>
  <c r="H51" i="4"/>
  <c r="G51" i="4"/>
  <c r="F51" i="4"/>
  <c r="E51" i="4"/>
  <c r="D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51" i="4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D52" i="14"/>
  <c r="E52" i="14"/>
  <c r="F52" i="14"/>
  <c r="G52" i="14"/>
  <c r="H52" i="14"/>
  <c r="I52" i="14"/>
  <c r="AE50" i="13" s="1"/>
  <c r="J52" i="14"/>
  <c r="AF50" i="13" s="1"/>
  <c r="K52" i="14"/>
  <c r="L52" i="14"/>
  <c r="M52" i="14"/>
  <c r="N52" i="14"/>
  <c r="O52" i="14"/>
  <c r="P52" i="14"/>
  <c r="D53" i="14"/>
  <c r="E53" i="14"/>
  <c r="F53" i="14"/>
  <c r="AB51" i="13" s="1"/>
  <c r="G53" i="14"/>
  <c r="H53" i="14"/>
  <c r="I53" i="14"/>
  <c r="AE51" i="13" s="1"/>
  <c r="J53" i="14"/>
  <c r="AF51" i="13" s="1"/>
  <c r="K53" i="14"/>
  <c r="L53" i="14"/>
  <c r="M53" i="14"/>
  <c r="N53" i="14"/>
  <c r="O53" i="14"/>
  <c r="P53" i="14"/>
  <c r="D54" i="14"/>
  <c r="Z52" i="13" s="1"/>
  <c r="E54" i="14"/>
  <c r="F54" i="14"/>
  <c r="G54" i="14"/>
  <c r="H54" i="14"/>
  <c r="I54" i="14"/>
  <c r="AE52" i="13" s="1"/>
  <c r="J54" i="14"/>
  <c r="AF52" i="13" s="1"/>
  <c r="K54" i="14"/>
  <c r="L54" i="14"/>
  <c r="M54" i="14"/>
  <c r="AI52" i="13" s="1"/>
  <c r="N54" i="14"/>
  <c r="AJ52" i="13" s="1"/>
  <c r="O54" i="14"/>
  <c r="AK52" i="13" s="1"/>
  <c r="P54" i="14"/>
  <c r="D55" i="14"/>
  <c r="E55" i="14"/>
  <c r="F55" i="14"/>
  <c r="G55" i="14"/>
  <c r="AC53" i="13" s="1"/>
  <c r="H55" i="14"/>
  <c r="I55" i="14"/>
  <c r="AE53" i="13" s="1"/>
  <c r="J55" i="14"/>
  <c r="K55" i="14"/>
  <c r="L55" i="14"/>
  <c r="M55" i="14"/>
  <c r="N55" i="14"/>
  <c r="O55" i="14"/>
  <c r="P55" i="14"/>
  <c r="D56" i="14"/>
  <c r="E56" i="14"/>
  <c r="F56" i="14"/>
  <c r="G56" i="14"/>
  <c r="H56" i="14"/>
  <c r="I56" i="14"/>
  <c r="J56" i="14"/>
  <c r="AF54" i="13" s="1"/>
  <c r="K56" i="14"/>
  <c r="L56" i="14"/>
  <c r="AH54" i="13" s="1"/>
  <c r="M56" i="14"/>
  <c r="N56" i="14"/>
  <c r="O56" i="14"/>
  <c r="P56" i="14"/>
  <c r="D57" i="14"/>
  <c r="E57" i="14"/>
  <c r="F57" i="14"/>
  <c r="G57" i="14"/>
  <c r="H57" i="14"/>
  <c r="I57" i="14"/>
  <c r="J57" i="14"/>
  <c r="AF55" i="13" s="1"/>
  <c r="K57" i="14"/>
  <c r="AG55" i="13" s="1"/>
  <c r="L57" i="14"/>
  <c r="M57" i="14"/>
  <c r="N57" i="14"/>
  <c r="O57" i="14"/>
  <c r="P57" i="14"/>
  <c r="AL55" i="13" s="1"/>
  <c r="D58" i="14"/>
  <c r="E58" i="14"/>
  <c r="F58" i="14"/>
  <c r="G58" i="14"/>
  <c r="H58" i="14"/>
  <c r="I58" i="14"/>
  <c r="AE56" i="13" s="1"/>
  <c r="J58" i="14"/>
  <c r="K58" i="14"/>
  <c r="L58" i="14"/>
  <c r="M58" i="14"/>
  <c r="N58" i="14"/>
  <c r="O58" i="14"/>
  <c r="P58" i="14"/>
  <c r="D59" i="14"/>
  <c r="E59" i="14"/>
  <c r="F59" i="14"/>
  <c r="G59" i="14"/>
  <c r="H59" i="14"/>
  <c r="I59" i="14"/>
  <c r="J59" i="14"/>
  <c r="K59" i="14"/>
  <c r="L59" i="14"/>
  <c r="AH57" i="13" s="1"/>
  <c r="M59" i="14"/>
  <c r="N59" i="14"/>
  <c r="O59" i="14"/>
  <c r="P59" i="14"/>
  <c r="D60" i="14"/>
  <c r="E60" i="14"/>
  <c r="F60" i="14"/>
  <c r="G60" i="14"/>
  <c r="H60" i="14"/>
  <c r="I60" i="14"/>
  <c r="J60" i="14"/>
  <c r="AF58" i="13" s="1"/>
  <c r="K60" i="14"/>
  <c r="L60" i="14"/>
  <c r="M60" i="14"/>
  <c r="N60" i="14"/>
  <c r="O60" i="14"/>
  <c r="P60" i="14"/>
  <c r="D61" i="14"/>
  <c r="Z59" i="13" s="1"/>
  <c r="E61" i="14"/>
  <c r="F61" i="14"/>
  <c r="G61" i="14"/>
  <c r="AC59" i="13" s="1"/>
  <c r="H61" i="14"/>
  <c r="I61" i="14"/>
  <c r="J61" i="14"/>
  <c r="AF59" i="13" s="1"/>
  <c r="K61" i="14"/>
  <c r="L61" i="14"/>
  <c r="M61" i="14"/>
  <c r="N61" i="14"/>
  <c r="O61" i="14"/>
  <c r="P61" i="14"/>
  <c r="D62" i="14"/>
  <c r="Z60" i="13" s="1"/>
  <c r="E62" i="14"/>
  <c r="F62" i="14"/>
  <c r="G62" i="14"/>
  <c r="H62" i="14"/>
  <c r="AD60" i="13" s="1"/>
  <c r="I62" i="14"/>
  <c r="AE60" i="13" s="1"/>
  <c r="J62" i="14"/>
  <c r="AF60" i="13" s="1"/>
  <c r="K62" i="14"/>
  <c r="L62" i="14"/>
  <c r="M62" i="14"/>
  <c r="N62" i="14"/>
  <c r="AJ60" i="13" s="1"/>
  <c r="O62" i="14"/>
  <c r="AK60" i="13" s="1"/>
  <c r="P62" i="14"/>
  <c r="D63" i="14"/>
  <c r="E63" i="14"/>
  <c r="F63" i="14"/>
  <c r="G63" i="14"/>
  <c r="H63" i="14"/>
  <c r="I63" i="14"/>
  <c r="AE61" i="13" s="1"/>
  <c r="J63" i="14"/>
  <c r="AF61" i="13" s="1"/>
  <c r="K63" i="14"/>
  <c r="L63" i="14"/>
  <c r="M63" i="14"/>
  <c r="N63" i="14"/>
  <c r="O63" i="14"/>
  <c r="P63" i="14"/>
  <c r="D64" i="14"/>
  <c r="E64" i="14"/>
  <c r="F64" i="14"/>
  <c r="G64" i="14"/>
  <c r="AC62" i="13" s="1"/>
  <c r="H64" i="14"/>
  <c r="I64" i="14"/>
  <c r="J64" i="14"/>
  <c r="AF62" i="13" s="1"/>
  <c r="K64" i="14"/>
  <c r="L64" i="14"/>
  <c r="AH62" i="13" s="1"/>
  <c r="M64" i="14"/>
  <c r="N64" i="14"/>
  <c r="O64" i="14"/>
  <c r="P64" i="14"/>
  <c r="AL62" i="13" s="1"/>
  <c r="D65" i="14"/>
  <c r="Z63" i="13" s="1"/>
  <c r="E65" i="14"/>
  <c r="F65" i="14"/>
  <c r="G65" i="14"/>
  <c r="AC63" i="13" s="1"/>
  <c r="H65" i="14"/>
  <c r="I65" i="14"/>
  <c r="AE63" i="13" s="1"/>
  <c r="J65" i="14"/>
  <c r="AF63" i="13" s="1"/>
  <c r="K65" i="14"/>
  <c r="L65" i="14"/>
  <c r="M65" i="14"/>
  <c r="N65" i="14"/>
  <c r="O65" i="14"/>
  <c r="P65" i="14"/>
  <c r="D66" i="14"/>
  <c r="Z64" i="13" s="1"/>
  <c r="E66" i="14"/>
  <c r="AA64" i="13" s="1"/>
  <c r="F66" i="14"/>
  <c r="G66" i="14"/>
  <c r="H66" i="14"/>
  <c r="I66" i="14"/>
  <c r="AE64" i="13" s="1"/>
  <c r="J66" i="14"/>
  <c r="AF64" i="13" s="1"/>
  <c r="K66" i="14"/>
  <c r="L66" i="14"/>
  <c r="M66" i="14"/>
  <c r="N66" i="14"/>
  <c r="O66" i="14"/>
  <c r="P66" i="14"/>
  <c r="D67" i="14"/>
  <c r="E67" i="14"/>
  <c r="AA65" i="13" s="1"/>
  <c r="F67" i="14"/>
  <c r="AB65" i="13" s="1"/>
  <c r="G67" i="14"/>
  <c r="H67" i="14"/>
  <c r="I67" i="14"/>
  <c r="AE65" i="13" s="1"/>
  <c r="J67" i="14"/>
  <c r="K67" i="14"/>
  <c r="AG65" i="13" s="1"/>
  <c r="L67" i="14"/>
  <c r="M67" i="14"/>
  <c r="N67" i="14"/>
  <c r="O67" i="14"/>
  <c r="P67" i="14"/>
  <c r="D68" i="14"/>
  <c r="E68" i="14"/>
  <c r="F68" i="14"/>
  <c r="G68" i="14"/>
  <c r="H68" i="14"/>
  <c r="I68" i="14"/>
  <c r="J68" i="14"/>
  <c r="AF66" i="13" s="1"/>
  <c r="K68" i="14"/>
  <c r="L68" i="14"/>
  <c r="AH66" i="13" s="1"/>
  <c r="M68" i="14"/>
  <c r="N68" i="14"/>
  <c r="O68" i="14"/>
  <c r="P68" i="14"/>
  <c r="D69" i="14"/>
  <c r="E69" i="14"/>
  <c r="F69" i="14"/>
  <c r="G69" i="14"/>
  <c r="H69" i="14"/>
  <c r="I69" i="14"/>
  <c r="J69" i="14"/>
  <c r="AF67" i="13" s="1"/>
  <c r="K69" i="14"/>
  <c r="AG67" i="13" s="1"/>
  <c r="L69" i="14"/>
  <c r="M69" i="14"/>
  <c r="N69" i="14"/>
  <c r="O69" i="14"/>
  <c r="P69" i="14"/>
  <c r="D70" i="14"/>
  <c r="Z68" i="13" s="1"/>
  <c r="E70" i="14"/>
  <c r="F70" i="14"/>
  <c r="G70" i="14"/>
  <c r="H70" i="14"/>
  <c r="AD68" i="13" s="1"/>
  <c r="I70" i="14"/>
  <c r="AE68" i="13" s="1"/>
  <c r="J70" i="14"/>
  <c r="AF68" i="13" s="1"/>
  <c r="K70" i="14"/>
  <c r="L70" i="14"/>
  <c r="M70" i="14"/>
  <c r="AI68" i="13" s="1"/>
  <c r="N70" i="14"/>
  <c r="O70" i="14"/>
  <c r="AK68" i="13" s="1"/>
  <c r="P70" i="14"/>
  <c r="D71" i="14"/>
  <c r="E71" i="14"/>
  <c r="F71" i="14"/>
  <c r="G71" i="14"/>
  <c r="H71" i="14"/>
  <c r="I71" i="14"/>
  <c r="AE69" i="13" s="1"/>
  <c r="J71" i="14"/>
  <c r="K71" i="14"/>
  <c r="L71" i="14"/>
  <c r="M71" i="14"/>
  <c r="N71" i="14"/>
  <c r="O71" i="14"/>
  <c r="P71" i="14"/>
  <c r="D72" i="14"/>
  <c r="E72" i="14"/>
  <c r="F72" i="14"/>
  <c r="G72" i="14"/>
  <c r="H72" i="14"/>
  <c r="I72" i="14"/>
  <c r="AE70" i="13" s="1"/>
  <c r="J72" i="14"/>
  <c r="AF70" i="13" s="1"/>
  <c r="K72" i="14"/>
  <c r="L72" i="14"/>
  <c r="M72" i="14"/>
  <c r="N72" i="14"/>
  <c r="O72" i="14"/>
  <c r="P72" i="14"/>
  <c r="D73" i="14"/>
  <c r="E73" i="14"/>
  <c r="F73" i="14"/>
  <c r="AB71" i="13" s="1"/>
  <c r="G73" i="14"/>
  <c r="AC71" i="13" s="1"/>
  <c r="H73" i="14"/>
  <c r="I73" i="14"/>
  <c r="AE71" i="13" s="1"/>
  <c r="J73" i="14"/>
  <c r="AF71" i="13" s="1"/>
  <c r="K73" i="14"/>
  <c r="L73" i="14"/>
  <c r="M73" i="14"/>
  <c r="N73" i="14"/>
  <c r="AJ71" i="13" s="1"/>
  <c r="O73" i="14"/>
  <c r="P73" i="14"/>
  <c r="AL71" i="13" s="1"/>
  <c r="D74" i="14"/>
  <c r="Z72" i="13" s="1"/>
  <c r="E74" i="14"/>
  <c r="AA72" i="13" s="1"/>
  <c r="F74" i="14"/>
  <c r="G74" i="14"/>
  <c r="AC72" i="13" s="1"/>
  <c r="H74" i="14"/>
  <c r="I74" i="14"/>
  <c r="AE72" i="13" s="1"/>
  <c r="J74" i="14"/>
  <c r="AF72" i="13" s="1"/>
  <c r="K74" i="14"/>
  <c r="L74" i="14"/>
  <c r="M74" i="14"/>
  <c r="N74" i="14"/>
  <c r="O74" i="14"/>
  <c r="P74" i="14"/>
  <c r="D75" i="14"/>
  <c r="E75" i="14"/>
  <c r="AA73" i="13" s="1"/>
  <c r="F75" i="14"/>
  <c r="AB73" i="13" s="1"/>
  <c r="G75" i="14"/>
  <c r="H75" i="14"/>
  <c r="I75" i="14"/>
  <c r="AE73" i="13" s="1"/>
  <c r="J75" i="14"/>
  <c r="K75" i="14"/>
  <c r="AG73" i="13" s="1"/>
  <c r="L75" i="14"/>
  <c r="M75" i="14"/>
  <c r="N75" i="14"/>
  <c r="O75" i="14"/>
  <c r="P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D77" i="14"/>
  <c r="Z75" i="13" s="1"/>
  <c r="E77" i="14"/>
  <c r="AA75" i="13" s="1"/>
  <c r="F77" i="14"/>
  <c r="G77" i="14"/>
  <c r="H77" i="14"/>
  <c r="AD75" i="13" s="1"/>
  <c r="I77" i="14"/>
  <c r="J77" i="14"/>
  <c r="AF75" i="13" s="1"/>
  <c r="K77" i="14"/>
  <c r="L77" i="14"/>
  <c r="M77" i="14"/>
  <c r="N77" i="14"/>
  <c r="O77" i="14"/>
  <c r="P77" i="14"/>
  <c r="D78" i="14"/>
  <c r="Z76" i="13" s="1"/>
  <c r="E78" i="14"/>
  <c r="F78" i="14"/>
  <c r="G78" i="14"/>
  <c r="AC76" i="13" s="1"/>
  <c r="H78" i="14"/>
  <c r="I78" i="14"/>
  <c r="AE76" i="13" s="1"/>
  <c r="J78" i="14"/>
  <c r="AF76" i="13" s="1"/>
  <c r="K78" i="14"/>
  <c r="AG76" i="13" s="1"/>
  <c r="L78" i="14"/>
  <c r="M78" i="14"/>
  <c r="N78" i="14"/>
  <c r="AJ76" i="13" s="1"/>
  <c r="O78" i="14"/>
  <c r="AK76" i="13" s="1"/>
  <c r="P78" i="14"/>
  <c r="D79" i="14"/>
  <c r="E79" i="14"/>
  <c r="AA77" i="13" s="1"/>
  <c r="F79" i="14"/>
  <c r="G79" i="14"/>
  <c r="H79" i="14"/>
  <c r="AD77" i="13" s="1"/>
  <c r="I79" i="14"/>
  <c r="AE77" i="13" s="1"/>
  <c r="J79" i="14"/>
  <c r="AF77" i="13" s="1"/>
  <c r="K79" i="14"/>
  <c r="L79" i="14"/>
  <c r="M79" i="14"/>
  <c r="N79" i="14"/>
  <c r="O79" i="14"/>
  <c r="P79" i="14"/>
  <c r="D80" i="14"/>
  <c r="E80" i="14"/>
  <c r="F80" i="14"/>
  <c r="AB78" i="13" s="1"/>
  <c r="G80" i="14"/>
  <c r="AC78" i="13" s="1"/>
  <c r="H80" i="14"/>
  <c r="I80" i="14"/>
  <c r="J80" i="14"/>
  <c r="K80" i="14"/>
  <c r="AG78" i="13" s="1"/>
  <c r="L80" i="14"/>
  <c r="M80" i="14"/>
  <c r="N80" i="14"/>
  <c r="O80" i="14"/>
  <c r="P80" i="14"/>
  <c r="AL78" i="13" s="1"/>
  <c r="D81" i="14"/>
  <c r="E81" i="14"/>
  <c r="F81" i="14"/>
  <c r="G81" i="14"/>
  <c r="H81" i="14"/>
  <c r="AD79" i="13" s="1"/>
  <c r="I81" i="14"/>
  <c r="J81" i="14"/>
  <c r="AF79" i="13" s="1"/>
  <c r="K81" i="14"/>
  <c r="L81" i="14"/>
  <c r="M81" i="14"/>
  <c r="N81" i="14"/>
  <c r="AJ79" i="13" s="1"/>
  <c r="O81" i="14"/>
  <c r="P81" i="14"/>
  <c r="D82" i="14"/>
  <c r="Z80" i="13" s="1"/>
  <c r="E82" i="14"/>
  <c r="F82" i="14"/>
  <c r="G82" i="14"/>
  <c r="H82" i="14"/>
  <c r="I82" i="14"/>
  <c r="AE80" i="13" s="1"/>
  <c r="J82" i="14"/>
  <c r="AF80" i="13" s="1"/>
  <c r="K82" i="14"/>
  <c r="AG80" i="13" s="1"/>
  <c r="L82" i="14"/>
  <c r="M82" i="14"/>
  <c r="N82" i="14"/>
  <c r="O82" i="14"/>
  <c r="P82" i="14"/>
  <c r="D83" i="14"/>
  <c r="E83" i="14"/>
  <c r="AA81" i="13" s="1"/>
  <c r="F83" i="14"/>
  <c r="G83" i="14"/>
  <c r="H83" i="14"/>
  <c r="I83" i="14"/>
  <c r="AE81" i="13" s="1"/>
  <c r="J83" i="14"/>
  <c r="AF81" i="13" s="1"/>
  <c r="K83" i="14"/>
  <c r="L83" i="14"/>
  <c r="M83" i="14"/>
  <c r="N83" i="14"/>
  <c r="O83" i="14"/>
  <c r="P83" i="14"/>
  <c r="D84" i="14"/>
  <c r="E84" i="14"/>
  <c r="F84" i="14"/>
  <c r="AB82" i="13" s="1"/>
  <c r="G84" i="14"/>
  <c r="H84" i="14"/>
  <c r="I84" i="14"/>
  <c r="J84" i="14"/>
  <c r="AF82" i="13" s="1"/>
  <c r="K84" i="14"/>
  <c r="L84" i="14"/>
  <c r="AH82" i="13" s="1"/>
  <c r="M84" i="14"/>
  <c r="N84" i="14"/>
  <c r="O84" i="14"/>
  <c r="P84" i="14"/>
  <c r="D85" i="14"/>
  <c r="Z83" i="13" s="1"/>
  <c r="E85" i="14"/>
  <c r="F85" i="14"/>
  <c r="G85" i="14"/>
  <c r="H85" i="14"/>
  <c r="AD83" i="13" s="1"/>
  <c r="I85" i="14"/>
  <c r="AE83" i="13" s="1"/>
  <c r="J85" i="14"/>
  <c r="AF83" i="13" s="1"/>
  <c r="K85" i="14"/>
  <c r="L85" i="14"/>
  <c r="M85" i="14"/>
  <c r="N85" i="14"/>
  <c r="O85" i="14"/>
  <c r="P85" i="14"/>
  <c r="D86" i="14"/>
  <c r="E86" i="14"/>
  <c r="F86" i="14"/>
  <c r="G86" i="14"/>
  <c r="H86" i="14"/>
  <c r="I86" i="14"/>
  <c r="J86" i="14"/>
  <c r="AF86" i="13" s="1"/>
  <c r="K86" i="14"/>
  <c r="L86" i="14"/>
  <c r="M86" i="14"/>
  <c r="N86" i="14"/>
  <c r="O86" i="14"/>
  <c r="P86" i="14"/>
  <c r="D87" i="14"/>
  <c r="E87" i="14"/>
  <c r="F87" i="14"/>
  <c r="G87" i="14"/>
  <c r="AC84" i="13" s="1"/>
  <c r="H87" i="14"/>
  <c r="AD84" i="13" s="1"/>
  <c r="I87" i="14"/>
  <c r="AE84" i="13" s="1"/>
  <c r="J87" i="14"/>
  <c r="AF84" i="13" s="1"/>
  <c r="K87" i="14"/>
  <c r="L87" i="14"/>
  <c r="M87" i="14"/>
  <c r="N87" i="14"/>
  <c r="O87" i="14"/>
  <c r="AK84" i="13" s="1"/>
  <c r="P87" i="14"/>
  <c r="D88" i="14"/>
  <c r="E88" i="14"/>
  <c r="AA85" i="13" s="1"/>
  <c r="F88" i="14"/>
  <c r="G88" i="14"/>
  <c r="H88" i="14"/>
  <c r="AD85" i="13" s="1"/>
  <c r="I88" i="14"/>
  <c r="AE85" i="13" s="1"/>
  <c r="J88" i="14"/>
  <c r="K88" i="14"/>
  <c r="L88" i="14"/>
  <c r="M88" i="14"/>
  <c r="N88" i="14"/>
  <c r="O88" i="14"/>
  <c r="P88" i="14"/>
  <c r="AL85" i="13" s="1"/>
  <c r="P51" i="14"/>
  <c r="O51" i="14"/>
  <c r="AK49" i="13" s="1"/>
  <c r="N51" i="14"/>
  <c r="AJ49" i="13" s="1"/>
  <c r="M51" i="14"/>
  <c r="L51" i="14"/>
  <c r="K51" i="14"/>
  <c r="AG49" i="13" s="1"/>
  <c r="J51" i="14"/>
  <c r="I51" i="14"/>
  <c r="AE49" i="13" s="1"/>
  <c r="H51" i="14"/>
  <c r="G51" i="14"/>
  <c r="AC49" i="13" s="1"/>
  <c r="F51" i="14"/>
  <c r="E51" i="14"/>
  <c r="D51" i="14"/>
  <c r="Z49" i="13" s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51" i="14"/>
  <c r="D52" i="20"/>
  <c r="AA52" i="20" s="1"/>
  <c r="E52" i="20"/>
  <c r="AB52" i="20" s="1"/>
  <c r="F52" i="20"/>
  <c r="AC52" i="20" s="1"/>
  <c r="G52" i="20"/>
  <c r="AD52" i="20" s="1"/>
  <c r="H52" i="20"/>
  <c r="AE52" i="20" s="1"/>
  <c r="I52" i="20"/>
  <c r="AF52" i="20" s="1"/>
  <c r="K52" i="20"/>
  <c r="AH52" i="20" s="1"/>
  <c r="L52" i="20"/>
  <c r="AI52" i="20" s="1"/>
  <c r="M52" i="20"/>
  <c r="AJ52" i="20" s="1"/>
  <c r="N52" i="20"/>
  <c r="AK52" i="20" s="1"/>
  <c r="O52" i="20"/>
  <c r="AL52" i="20" s="1"/>
  <c r="P52" i="20"/>
  <c r="D53" i="20"/>
  <c r="AA53" i="20" s="1"/>
  <c r="E53" i="20"/>
  <c r="AB53" i="20" s="1"/>
  <c r="F53" i="20"/>
  <c r="AC53" i="20" s="1"/>
  <c r="G53" i="20"/>
  <c r="AD53" i="20" s="1"/>
  <c r="H53" i="20"/>
  <c r="AE53" i="20" s="1"/>
  <c r="I53" i="20"/>
  <c r="AF53" i="20" s="1"/>
  <c r="K53" i="20"/>
  <c r="AH53" i="20" s="1"/>
  <c r="L53" i="20"/>
  <c r="AI53" i="20" s="1"/>
  <c r="M53" i="20"/>
  <c r="AJ53" i="20" s="1"/>
  <c r="N53" i="20"/>
  <c r="AK53" i="20" s="1"/>
  <c r="O53" i="20"/>
  <c r="AL53" i="20" s="1"/>
  <c r="P53" i="20"/>
  <c r="AM53" i="20" s="1"/>
  <c r="D54" i="20"/>
  <c r="AA54" i="20" s="1"/>
  <c r="E54" i="20"/>
  <c r="F54" i="20"/>
  <c r="AC54" i="20" s="1"/>
  <c r="G54" i="20"/>
  <c r="AD54" i="20" s="1"/>
  <c r="H54" i="20"/>
  <c r="AE54" i="20" s="1"/>
  <c r="I54" i="20"/>
  <c r="AF54" i="20" s="1"/>
  <c r="K54" i="20"/>
  <c r="AH54" i="20" s="1"/>
  <c r="L54" i="20"/>
  <c r="AI54" i="20" s="1"/>
  <c r="M54" i="20"/>
  <c r="AJ54" i="20" s="1"/>
  <c r="N54" i="20"/>
  <c r="AK54" i="20" s="1"/>
  <c r="O54" i="20"/>
  <c r="P54" i="20"/>
  <c r="AM54" i="20" s="1"/>
  <c r="D55" i="20"/>
  <c r="AA55" i="20" s="1"/>
  <c r="E55" i="20"/>
  <c r="AB55" i="20" s="1"/>
  <c r="F55" i="20"/>
  <c r="AC55" i="20" s="1"/>
  <c r="G55" i="20"/>
  <c r="H55" i="20"/>
  <c r="AE55" i="20" s="1"/>
  <c r="I55" i="20"/>
  <c r="AF55" i="20" s="1"/>
  <c r="K55" i="20"/>
  <c r="AH55" i="20" s="1"/>
  <c r="L55" i="20"/>
  <c r="AI55" i="20" s="1"/>
  <c r="M55" i="20"/>
  <c r="AJ55" i="20" s="1"/>
  <c r="N55" i="20"/>
  <c r="AK55" i="20" s="1"/>
  <c r="O55" i="20"/>
  <c r="AL55" i="20" s="1"/>
  <c r="P55" i="20"/>
  <c r="AM55" i="20" s="1"/>
  <c r="D56" i="20"/>
  <c r="AA56" i="20" s="1"/>
  <c r="E56" i="20"/>
  <c r="AB56" i="20" s="1"/>
  <c r="F56" i="20"/>
  <c r="AC56" i="20" s="1"/>
  <c r="G56" i="20"/>
  <c r="AD56" i="20" s="1"/>
  <c r="H56" i="20"/>
  <c r="AE56" i="20" s="1"/>
  <c r="I56" i="20"/>
  <c r="K56" i="20"/>
  <c r="AH56" i="20" s="1"/>
  <c r="L56" i="20"/>
  <c r="AI56" i="20" s="1"/>
  <c r="M56" i="20"/>
  <c r="AJ56" i="20" s="1"/>
  <c r="N56" i="20"/>
  <c r="AK56" i="20" s="1"/>
  <c r="O56" i="20"/>
  <c r="AL56" i="20" s="1"/>
  <c r="P56" i="20"/>
  <c r="AM56" i="20" s="1"/>
  <c r="D57" i="20"/>
  <c r="AA57" i="20" s="1"/>
  <c r="E57" i="20"/>
  <c r="AB57" i="20" s="1"/>
  <c r="F57" i="20"/>
  <c r="AC57" i="20" s="1"/>
  <c r="G57" i="20"/>
  <c r="AD57" i="20" s="1"/>
  <c r="H57" i="20"/>
  <c r="AE57" i="20" s="1"/>
  <c r="I57" i="20"/>
  <c r="AF57" i="20" s="1"/>
  <c r="K57" i="20"/>
  <c r="AH57" i="20" s="1"/>
  <c r="L57" i="20"/>
  <c r="AI57" i="20" s="1"/>
  <c r="M57" i="20"/>
  <c r="AJ57" i="20" s="1"/>
  <c r="N57" i="20"/>
  <c r="AK57" i="20" s="1"/>
  <c r="O57" i="20"/>
  <c r="AL57" i="20" s="1"/>
  <c r="P57" i="20"/>
  <c r="AM57" i="20" s="1"/>
  <c r="D58" i="20"/>
  <c r="AA58" i="20" s="1"/>
  <c r="E58" i="20"/>
  <c r="AB58" i="20" s="1"/>
  <c r="F58" i="20"/>
  <c r="AC58" i="20" s="1"/>
  <c r="G58" i="20"/>
  <c r="AD58" i="20" s="1"/>
  <c r="H58" i="20"/>
  <c r="AE58" i="20" s="1"/>
  <c r="I58" i="20"/>
  <c r="AF58" i="20" s="1"/>
  <c r="K58" i="20"/>
  <c r="AH58" i="20" s="1"/>
  <c r="L58" i="20"/>
  <c r="AI58" i="20" s="1"/>
  <c r="M58" i="20"/>
  <c r="AJ58" i="20" s="1"/>
  <c r="N58" i="20"/>
  <c r="AK58" i="20" s="1"/>
  <c r="O58" i="20"/>
  <c r="P58" i="20"/>
  <c r="D59" i="20"/>
  <c r="AA59" i="20" s="1"/>
  <c r="E59" i="20"/>
  <c r="AB59" i="20" s="1"/>
  <c r="F59" i="20"/>
  <c r="AC59" i="20" s="1"/>
  <c r="G59" i="20"/>
  <c r="AD59" i="20" s="1"/>
  <c r="H59" i="20"/>
  <c r="AE59" i="20" s="1"/>
  <c r="I59" i="20"/>
  <c r="AF59" i="20" s="1"/>
  <c r="K59" i="20"/>
  <c r="AH59" i="20" s="1"/>
  <c r="L59" i="20"/>
  <c r="AI59" i="20" s="1"/>
  <c r="M59" i="20"/>
  <c r="AJ59" i="20" s="1"/>
  <c r="N59" i="20"/>
  <c r="AK59" i="20" s="1"/>
  <c r="O59" i="20"/>
  <c r="AL59" i="20" s="1"/>
  <c r="P59" i="20"/>
  <c r="AM59" i="20" s="1"/>
  <c r="D60" i="20"/>
  <c r="AA60" i="20" s="1"/>
  <c r="E60" i="20"/>
  <c r="F60" i="20"/>
  <c r="AC60" i="20" s="1"/>
  <c r="G60" i="20"/>
  <c r="AD60" i="20" s="1"/>
  <c r="H60" i="20"/>
  <c r="AE60" i="20" s="1"/>
  <c r="I60" i="20"/>
  <c r="AF60" i="20" s="1"/>
  <c r="K60" i="20"/>
  <c r="AH60" i="20" s="1"/>
  <c r="L60" i="20"/>
  <c r="AI60" i="20" s="1"/>
  <c r="M60" i="20"/>
  <c r="AJ60" i="20" s="1"/>
  <c r="N60" i="20"/>
  <c r="AK60" i="20" s="1"/>
  <c r="O60" i="20"/>
  <c r="AL60" i="20" s="1"/>
  <c r="P60" i="20"/>
  <c r="AM60" i="20" s="1"/>
  <c r="D61" i="20"/>
  <c r="AA61" i="20" s="1"/>
  <c r="E61" i="20"/>
  <c r="AB61" i="20" s="1"/>
  <c r="F61" i="20"/>
  <c r="AC61" i="20" s="1"/>
  <c r="G61" i="20"/>
  <c r="H61" i="20"/>
  <c r="AE61" i="20" s="1"/>
  <c r="I61" i="20"/>
  <c r="AF61" i="20" s="1"/>
  <c r="K61" i="20"/>
  <c r="AH61" i="20" s="1"/>
  <c r="L61" i="20"/>
  <c r="AI61" i="20" s="1"/>
  <c r="M61" i="20"/>
  <c r="AJ61" i="20" s="1"/>
  <c r="N61" i="20"/>
  <c r="AK61" i="20" s="1"/>
  <c r="O61" i="20"/>
  <c r="AL61" i="20" s="1"/>
  <c r="P61" i="20"/>
  <c r="AM61" i="20" s="1"/>
  <c r="D62" i="20"/>
  <c r="AA62" i="20" s="1"/>
  <c r="E62" i="20"/>
  <c r="AB62" i="20" s="1"/>
  <c r="F62" i="20"/>
  <c r="AC62" i="20" s="1"/>
  <c r="G62" i="20"/>
  <c r="AD62" i="20" s="1"/>
  <c r="H62" i="20"/>
  <c r="AE62" i="20" s="1"/>
  <c r="I62" i="20"/>
  <c r="K62" i="20"/>
  <c r="AH62" i="20" s="1"/>
  <c r="L62" i="20"/>
  <c r="AI62" i="20" s="1"/>
  <c r="M62" i="20"/>
  <c r="AJ62" i="20" s="1"/>
  <c r="N62" i="20"/>
  <c r="AK62" i="20" s="1"/>
  <c r="O62" i="20"/>
  <c r="P62" i="20"/>
  <c r="AM62" i="20" s="1"/>
  <c r="D63" i="20"/>
  <c r="AA63" i="20" s="1"/>
  <c r="E63" i="20"/>
  <c r="AB63" i="20" s="1"/>
  <c r="F63" i="20"/>
  <c r="AC63" i="20" s="1"/>
  <c r="G63" i="20"/>
  <c r="AD63" i="20" s="1"/>
  <c r="H63" i="20"/>
  <c r="AE63" i="20" s="1"/>
  <c r="I63" i="20"/>
  <c r="AF63" i="20" s="1"/>
  <c r="K63" i="20"/>
  <c r="AH63" i="20" s="1"/>
  <c r="L63" i="20"/>
  <c r="AI63" i="20" s="1"/>
  <c r="M63" i="20"/>
  <c r="AJ63" i="20" s="1"/>
  <c r="N63" i="20"/>
  <c r="O63" i="20"/>
  <c r="AL63" i="20" s="1"/>
  <c r="P63" i="20"/>
  <c r="AM63" i="20" s="1"/>
  <c r="D64" i="20"/>
  <c r="AA64" i="20" s="1"/>
  <c r="E64" i="20"/>
  <c r="AB64" i="20" s="1"/>
  <c r="F64" i="20"/>
  <c r="AC64" i="20" s="1"/>
  <c r="G64" i="20"/>
  <c r="AD64" i="20" s="1"/>
  <c r="I64" i="20"/>
  <c r="AF64" i="20" s="1"/>
  <c r="K64" i="20"/>
  <c r="AH64" i="20" s="1"/>
  <c r="L64" i="20"/>
  <c r="AI64" i="20" s="1"/>
  <c r="N64" i="20"/>
  <c r="AK64" i="20" s="1"/>
  <c r="O64" i="20"/>
  <c r="AL64" i="20" s="1"/>
  <c r="D65" i="20"/>
  <c r="AA65" i="20" s="1"/>
  <c r="E65" i="20"/>
  <c r="AB65" i="20" s="1"/>
  <c r="F65" i="20"/>
  <c r="AC65" i="20" s="1"/>
  <c r="G65" i="20"/>
  <c r="AD65" i="20" s="1"/>
  <c r="H65" i="20"/>
  <c r="AE65" i="20" s="1"/>
  <c r="I65" i="20"/>
  <c r="AF65" i="20" s="1"/>
  <c r="K65" i="20"/>
  <c r="AH65" i="20" s="1"/>
  <c r="L65" i="20"/>
  <c r="AI65" i="20" s="1"/>
  <c r="M65" i="20"/>
  <c r="AJ65" i="20" s="1"/>
  <c r="N65" i="20"/>
  <c r="AK65" i="20" s="1"/>
  <c r="O65" i="20"/>
  <c r="AL65" i="20" s="1"/>
  <c r="P65" i="20"/>
  <c r="AM65" i="20" s="1"/>
  <c r="D66" i="20"/>
  <c r="AA66" i="20" s="1"/>
  <c r="E66" i="20"/>
  <c r="F66" i="20"/>
  <c r="AC66" i="20" s="1"/>
  <c r="G66" i="20"/>
  <c r="AD66" i="20" s="1"/>
  <c r="H66" i="20"/>
  <c r="AE66" i="20" s="1"/>
  <c r="I66" i="20"/>
  <c r="AF66" i="20" s="1"/>
  <c r="K66" i="20"/>
  <c r="AH66" i="20" s="1"/>
  <c r="L66" i="20"/>
  <c r="AI66" i="20" s="1"/>
  <c r="M66" i="20"/>
  <c r="AJ66" i="20" s="1"/>
  <c r="N66" i="20"/>
  <c r="AK66" i="20" s="1"/>
  <c r="O66" i="20"/>
  <c r="P66" i="20"/>
  <c r="AM66" i="20" s="1"/>
  <c r="D67" i="20"/>
  <c r="AA67" i="20" s="1"/>
  <c r="E67" i="20"/>
  <c r="AB67" i="20" s="1"/>
  <c r="F67" i="20"/>
  <c r="AC67" i="20" s="1"/>
  <c r="G67" i="20"/>
  <c r="H67" i="20"/>
  <c r="AE67" i="20" s="1"/>
  <c r="I67" i="20"/>
  <c r="AF67" i="20" s="1"/>
  <c r="K67" i="20"/>
  <c r="AH67" i="20" s="1"/>
  <c r="L67" i="20"/>
  <c r="AI67" i="20" s="1"/>
  <c r="M67" i="20"/>
  <c r="AJ67" i="20" s="1"/>
  <c r="N67" i="20"/>
  <c r="AK67" i="20" s="1"/>
  <c r="O67" i="20"/>
  <c r="AL67" i="20" s="1"/>
  <c r="P67" i="20"/>
  <c r="AM67" i="20" s="1"/>
  <c r="D68" i="20"/>
  <c r="AA68" i="20" s="1"/>
  <c r="E68" i="20"/>
  <c r="AB68" i="20" s="1"/>
  <c r="F68" i="20"/>
  <c r="AC68" i="20" s="1"/>
  <c r="G68" i="20"/>
  <c r="AD68" i="20" s="1"/>
  <c r="H68" i="20"/>
  <c r="AE68" i="20" s="1"/>
  <c r="I68" i="20"/>
  <c r="K68" i="20"/>
  <c r="AH68" i="20" s="1"/>
  <c r="L68" i="20"/>
  <c r="AI68" i="20" s="1"/>
  <c r="M68" i="20"/>
  <c r="AJ68" i="20" s="1"/>
  <c r="N68" i="20"/>
  <c r="AK68" i="20" s="1"/>
  <c r="O68" i="20"/>
  <c r="AL68" i="20" s="1"/>
  <c r="P68" i="20"/>
  <c r="AM68" i="20" s="1"/>
  <c r="D69" i="20"/>
  <c r="AA69" i="20" s="1"/>
  <c r="E69" i="20"/>
  <c r="AB69" i="20" s="1"/>
  <c r="F69" i="20"/>
  <c r="AC69" i="20" s="1"/>
  <c r="G69" i="20"/>
  <c r="AD69" i="20" s="1"/>
  <c r="H69" i="20"/>
  <c r="AE69" i="20" s="1"/>
  <c r="I69" i="20"/>
  <c r="AF69" i="20" s="1"/>
  <c r="K69" i="20"/>
  <c r="AH69" i="20" s="1"/>
  <c r="L69" i="20"/>
  <c r="M69" i="20"/>
  <c r="AJ69" i="20" s="1"/>
  <c r="N69" i="20"/>
  <c r="AK69" i="20" s="1"/>
  <c r="O69" i="20"/>
  <c r="AL69" i="20" s="1"/>
  <c r="P69" i="20"/>
  <c r="AM69" i="20" s="1"/>
  <c r="D70" i="20"/>
  <c r="AA70" i="20" s="1"/>
  <c r="E70" i="20"/>
  <c r="AB70" i="20" s="1"/>
  <c r="F70" i="20"/>
  <c r="AC70" i="20" s="1"/>
  <c r="G70" i="20"/>
  <c r="AD70" i="20" s="1"/>
  <c r="H70" i="20"/>
  <c r="AE70" i="20" s="1"/>
  <c r="I70" i="20"/>
  <c r="AF70" i="20" s="1"/>
  <c r="K70" i="20"/>
  <c r="AH70" i="20" s="1"/>
  <c r="L70" i="20"/>
  <c r="AI70" i="20" s="1"/>
  <c r="M70" i="20"/>
  <c r="AJ70" i="20" s="1"/>
  <c r="N70" i="20"/>
  <c r="AK70" i="20" s="1"/>
  <c r="O70" i="20"/>
  <c r="P70" i="20"/>
  <c r="D71" i="20"/>
  <c r="AA71" i="20" s="1"/>
  <c r="E71" i="20"/>
  <c r="AB71" i="20" s="1"/>
  <c r="F71" i="20"/>
  <c r="AC71" i="20" s="1"/>
  <c r="G71" i="20"/>
  <c r="AD71" i="20" s="1"/>
  <c r="H71" i="20"/>
  <c r="AE71" i="20" s="1"/>
  <c r="I71" i="20"/>
  <c r="AF71" i="20" s="1"/>
  <c r="K71" i="20"/>
  <c r="AH71" i="20" s="1"/>
  <c r="L71" i="20"/>
  <c r="AI71" i="20" s="1"/>
  <c r="M71" i="20"/>
  <c r="AJ71" i="20" s="1"/>
  <c r="N71" i="20"/>
  <c r="AK71" i="20" s="1"/>
  <c r="O71" i="20"/>
  <c r="AL71" i="20" s="1"/>
  <c r="P71" i="20"/>
  <c r="AM71" i="20" s="1"/>
  <c r="D72" i="20"/>
  <c r="AA72" i="20" s="1"/>
  <c r="E72" i="20"/>
  <c r="F72" i="20"/>
  <c r="AC72" i="20" s="1"/>
  <c r="G72" i="20"/>
  <c r="AD72" i="20" s="1"/>
  <c r="H72" i="20"/>
  <c r="AE72" i="20" s="1"/>
  <c r="I72" i="20"/>
  <c r="AF72" i="20" s="1"/>
  <c r="K72" i="20"/>
  <c r="AH72" i="20" s="1"/>
  <c r="L72" i="20"/>
  <c r="AI72" i="20" s="1"/>
  <c r="M72" i="20"/>
  <c r="AJ72" i="20" s="1"/>
  <c r="N72" i="20"/>
  <c r="AK72" i="20" s="1"/>
  <c r="O72" i="20"/>
  <c r="AL72" i="20" s="1"/>
  <c r="P72" i="20"/>
  <c r="AM72" i="20" s="1"/>
  <c r="D73" i="20"/>
  <c r="AA73" i="20" s="1"/>
  <c r="E73" i="20"/>
  <c r="AB73" i="20" s="1"/>
  <c r="F73" i="20"/>
  <c r="AC73" i="20" s="1"/>
  <c r="G73" i="20"/>
  <c r="H73" i="20"/>
  <c r="AE73" i="20" s="1"/>
  <c r="I73" i="20"/>
  <c r="AF73" i="20" s="1"/>
  <c r="K73" i="20"/>
  <c r="AH73" i="20" s="1"/>
  <c r="L73" i="20"/>
  <c r="AI73" i="20" s="1"/>
  <c r="M73" i="20"/>
  <c r="AJ73" i="20" s="1"/>
  <c r="N73" i="20"/>
  <c r="AK73" i="20" s="1"/>
  <c r="O73" i="20"/>
  <c r="AL73" i="20" s="1"/>
  <c r="P73" i="20"/>
  <c r="AM73" i="20" s="1"/>
  <c r="D74" i="20"/>
  <c r="AA74" i="20" s="1"/>
  <c r="E74" i="20"/>
  <c r="AB74" i="20" s="1"/>
  <c r="F74" i="20"/>
  <c r="AC74" i="20" s="1"/>
  <c r="G74" i="20"/>
  <c r="AD74" i="20" s="1"/>
  <c r="H74" i="20"/>
  <c r="AE74" i="20" s="1"/>
  <c r="I74" i="20"/>
  <c r="K74" i="20"/>
  <c r="AH74" i="20" s="1"/>
  <c r="L74" i="20"/>
  <c r="AI74" i="20" s="1"/>
  <c r="M74" i="20"/>
  <c r="AJ74" i="20" s="1"/>
  <c r="N74" i="20"/>
  <c r="AK74" i="20" s="1"/>
  <c r="O74" i="20"/>
  <c r="P74" i="20"/>
  <c r="AM74" i="20" s="1"/>
  <c r="D75" i="20"/>
  <c r="AA75" i="20" s="1"/>
  <c r="E75" i="20"/>
  <c r="AB75" i="20" s="1"/>
  <c r="F75" i="20"/>
  <c r="AC75" i="20" s="1"/>
  <c r="G75" i="20"/>
  <c r="AD75" i="20" s="1"/>
  <c r="H75" i="20"/>
  <c r="AE75" i="20" s="1"/>
  <c r="I75" i="20"/>
  <c r="AF75" i="20" s="1"/>
  <c r="K75" i="20"/>
  <c r="AH75" i="20" s="1"/>
  <c r="L75" i="20"/>
  <c r="M75" i="20"/>
  <c r="AJ75" i="20" s="1"/>
  <c r="N75" i="20"/>
  <c r="O75" i="20"/>
  <c r="AL75" i="20" s="1"/>
  <c r="P75" i="20"/>
  <c r="AM75" i="20" s="1"/>
  <c r="D76" i="20"/>
  <c r="AA76" i="20" s="1"/>
  <c r="E76" i="20"/>
  <c r="AB76" i="20" s="1"/>
  <c r="F76" i="20"/>
  <c r="AC76" i="20" s="1"/>
  <c r="G76" i="20"/>
  <c r="AD76" i="20" s="1"/>
  <c r="H76" i="20"/>
  <c r="AE76" i="20" s="1"/>
  <c r="I76" i="20"/>
  <c r="AF76" i="20" s="1"/>
  <c r="K76" i="20"/>
  <c r="AH76" i="20" s="1"/>
  <c r="L76" i="20"/>
  <c r="AI76" i="20" s="1"/>
  <c r="M76" i="20"/>
  <c r="AJ76" i="20" s="1"/>
  <c r="N76" i="20"/>
  <c r="AK76" i="20" s="1"/>
  <c r="O76" i="20"/>
  <c r="AL76" i="20" s="1"/>
  <c r="P76" i="20"/>
  <c r="D77" i="20"/>
  <c r="AA77" i="20" s="1"/>
  <c r="E77" i="20"/>
  <c r="AB77" i="20" s="1"/>
  <c r="F77" i="20"/>
  <c r="AC77" i="20" s="1"/>
  <c r="G77" i="20"/>
  <c r="AD77" i="20" s="1"/>
  <c r="H77" i="20"/>
  <c r="AE77" i="20" s="1"/>
  <c r="I77" i="20"/>
  <c r="AF77" i="20" s="1"/>
  <c r="K77" i="20"/>
  <c r="AH77" i="20" s="1"/>
  <c r="L77" i="20"/>
  <c r="AI77" i="20" s="1"/>
  <c r="M77" i="20"/>
  <c r="AJ77" i="20" s="1"/>
  <c r="N77" i="20"/>
  <c r="AK77" i="20" s="1"/>
  <c r="O77" i="20"/>
  <c r="AL77" i="20" s="1"/>
  <c r="P77" i="20"/>
  <c r="AM77" i="20" s="1"/>
  <c r="D78" i="20"/>
  <c r="AA78" i="20" s="1"/>
  <c r="E78" i="20"/>
  <c r="F78" i="20"/>
  <c r="AC78" i="20" s="1"/>
  <c r="G78" i="20"/>
  <c r="AD78" i="20" s="1"/>
  <c r="H78" i="20"/>
  <c r="AE78" i="20" s="1"/>
  <c r="I78" i="20"/>
  <c r="AF78" i="20" s="1"/>
  <c r="K78" i="20"/>
  <c r="AH78" i="20" s="1"/>
  <c r="L78" i="20"/>
  <c r="AI78" i="20" s="1"/>
  <c r="M78" i="20"/>
  <c r="AJ78" i="20" s="1"/>
  <c r="N78" i="20"/>
  <c r="AK78" i="20" s="1"/>
  <c r="O78" i="20"/>
  <c r="P78" i="20"/>
  <c r="AM78" i="20" s="1"/>
  <c r="D79" i="20"/>
  <c r="AA79" i="20" s="1"/>
  <c r="E79" i="20"/>
  <c r="AB79" i="20" s="1"/>
  <c r="F79" i="20"/>
  <c r="AC79" i="20" s="1"/>
  <c r="G79" i="20"/>
  <c r="H79" i="20"/>
  <c r="AE79" i="20" s="1"/>
  <c r="I79" i="20"/>
  <c r="AF79" i="20" s="1"/>
  <c r="K79" i="20"/>
  <c r="AH79" i="20" s="1"/>
  <c r="L79" i="20"/>
  <c r="AI79" i="20" s="1"/>
  <c r="M79" i="20"/>
  <c r="AJ79" i="20" s="1"/>
  <c r="N79" i="20"/>
  <c r="AK79" i="20" s="1"/>
  <c r="O79" i="20"/>
  <c r="AL79" i="20" s="1"/>
  <c r="P79" i="20"/>
  <c r="AM79" i="20" s="1"/>
  <c r="D80" i="20"/>
  <c r="AA80" i="20" s="1"/>
  <c r="E80" i="20"/>
  <c r="AB80" i="20" s="1"/>
  <c r="F80" i="20"/>
  <c r="AC80" i="20" s="1"/>
  <c r="G80" i="20"/>
  <c r="AD80" i="20" s="1"/>
  <c r="H80" i="20"/>
  <c r="AE80" i="20" s="1"/>
  <c r="I80" i="20"/>
  <c r="K80" i="20"/>
  <c r="AH80" i="20" s="1"/>
  <c r="L80" i="20"/>
  <c r="AI80" i="20" s="1"/>
  <c r="M80" i="20"/>
  <c r="AJ80" i="20" s="1"/>
  <c r="N80" i="20"/>
  <c r="AK80" i="20" s="1"/>
  <c r="O80" i="20"/>
  <c r="AL80" i="20" s="1"/>
  <c r="P80" i="20"/>
  <c r="AM80" i="20" s="1"/>
  <c r="D81" i="20"/>
  <c r="AA81" i="20" s="1"/>
  <c r="E81" i="20"/>
  <c r="AB81" i="20" s="1"/>
  <c r="F81" i="20"/>
  <c r="AC81" i="20" s="1"/>
  <c r="G81" i="20"/>
  <c r="AD81" i="20" s="1"/>
  <c r="H81" i="20"/>
  <c r="AE81" i="20" s="1"/>
  <c r="I81" i="20"/>
  <c r="AF81" i="20" s="1"/>
  <c r="K81" i="20"/>
  <c r="AH81" i="20" s="1"/>
  <c r="L81" i="20"/>
  <c r="M81" i="20"/>
  <c r="AJ81" i="20" s="1"/>
  <c r="N81" i="20"/>
  <c r="AK81" i="20" s="1"/>
  <c r="O81" i="20"/>
  <c r="AL81" i="20" s="1"/>
  <c r="P81" i="20"/>
  <c r="AM81" i="20" s="1"/>
  <c r="D82" i="20"/>
  <c r="AA82" i="20" s="1"/>
  <c r="E82" i="20"/>
  <c r="AB82" i="20" s="1"/>
  <c r="F82" i="20"/>
  <c r="AC82" i="20" s="1"/>
  <c r="G82" i="20"/>
  <c r="AD82" i="20" s="1"/>
  <c r="H82" i="20"/>
  <c r="AE82" i="20" s="1"/>
  <c r="I82" i="20"/>
  <c r="AF82" i="20" s="1"/>
  <c r="K82" i="20"/>
  <c r="AH82" i="20" s="1"/>
  <c r="L82" i="20"/>
  <c r="AI82" i="20" s="1"/>
  <c r="M82" i="20"/>
  <c r="AJ82" i="20" s="1"/>
  <c r="N82" i="20"/>
  <c r="AK82" i="20" s="1"/>
  <c r="O82" i="20"/>
  <c r="P82" i="20"/>
  <c r="D83" i="20"/>
  <c r="AA83" i="20" s="1"/>
  <c r="E83" i="20"/>
  <c r="AB83" i="20" s="1"/>
  <c r="F83" i="20"/>
  <c r="AC83" i="20" s="1"/>
  <c r="G83" i="20"/>
  <c r="AD83" i="20" s="1"/>
  <c r="H83" i="20"/>
  <c r="AE83" i="20" s="1"/>
  <c r="I83" i="20"/>
  <c r="AF83" i="20" s="1"/>
  <c r="K83" i="20"/>
  <c r="AH83" i="20" s="1"/>
  <c r="L83" i="20"/>
  <c r="AI83" i="20" s="1"/>
  <c r="M83" i="20"/>
  <c r="AJ83" i="20" s="1"/>
  <c r="N83" i="20"/>
  <c r="AK83" i="20" s="1"/>
  <c r="O83" i="20"/>
  <c r="AL83" i="20" s="1"/>
  <c r="P83" i="20"/>
  <c r="AM83" i="20" s="1"/>
  <c r="D84" i="20"/>
  <c r="AA84" i="20" s="1"/>
  <c r="E84" i="20"/>
  <c r="F84" i="20"/>
  <c r="AC84" i="20" s="1"/>
  <c r="G84" i="20"/>
  <c r="AD84" i="20" s="1"/>
  <c r="H84" i="20"/>
  <c r="AE84" i="20" s="1"/>
  <c r="I84" i="20"/>
  <c r="AF84" i="20" s="1"/>
  <c r="K84" i="20"/>
  <c r="AH84" i="20" s="1"/>
  <c r="L84" i="20"/>
  <c r="AI84" i="20" s="1"/>
  <c r="M84" i="20"/>
  <c r="AJ84" i="20" s="1"/>
  <c r="N84" i="20"/>
  <c r="AK84" i="20" s="1"/>
  <c r="O84" i="20"/>
  <c r="AL84" i="20" s="1"/>
  <c r="P84" i="20"/>
  <c r="AM84" i="20" s="1"/>
  <c r="D85" i="20"/>
  <c r="AA85" i="20" s="1"/>
  <c r="E85" i="20"/>
  <c r="AB85" i="20" s="1"/>
  <c r="F85" i="20"/>
  <c r="AC85" i="20" s="1"/>
  <c r="G85" i="20"/>
  <c r="AD85" i="20" s="1"/>
  <c r="H85" i="20"/>
  <c r="AE85" i="20" s="1"/>
  <c r="I85" i="20"/>
  <c r="AF85" i="20" s="1"/>
  <c r="K85" i="20"/>
  <c r="AH85" i="20" s="1"/>
  <c r="L85" i="20"/>
  <c r="AI85" i="20" s="1"/>
  <c r="M85" i="20"/>
  <c r="AJ85" i="20" s="1"/>
  <c r="N85" i="20"/>
  <c r="AK85" i="20" s="1"/>
  <c r="O85" i="20"/>
  <c r="AL85" i="20" s="1"/>
  <c r="P85" i="20"/>
  <c r="AM85" i="20" s="1"/>
  <c r="D86" i="20"/>
  <c r="AA86" i="20" s="1"/>
  <c r="E86" i="20"/>
  <c r="AB86" i="20" s="1"/>
  <c r="F86" i="20"/>
  <c r="AC86" i="20" s="1"/>
  <c r="G86" i="20"/>
  <c r="AD86" i="20" s="1"/>
  <c r="H86" i="20"/>
  <c r="AE86" i="20" s="1"/>
  <c r="I86" i="20"/>
  <c r="K86" i="20"/>
  <c r="AH86" i="20" s="1"/>
  <c r="L86" i="20"/>
  <c r="AI86" i="20" s="1"/>
  <c r="M86" i="20"/>
  <c r="AJ86" i="20" s="1"/>
  <c r="N86" i="20"/>
  <c r="AK86" i="20" s="1"/>
  <c r="O86" i="20"/>
  <c r="P86" i="20"/>
  <c r="AM86" i="20" s="1"/>
  <c r="N51" i="20"/>
  <c r="D52" i="19"/>
  <c r="Z52" i="19" s="1"/>
  <c r="E52" i="19"/>
  <c r="AA52" i="19" s="1"/>
  <c r="F52" i="19"/>
  <c r="AB52" i="19" s="1"/>
  <c r="G52" i="19"/>
  <c r="AC52" i="19" s="1"/>
  <c r="H52" i="19"/>
  <c r="AD52" i="19" s="1"/>
  <c r="I52" i="19"/>
  <c r="AE52" i="19" s="1"/>
  <c r="K52" i="19"/>
  <c r="AG52" i="19" s="1"/>
  <c r="L52" i="19"/>
  <c r="AH52" i="19" s="1"/>
  <c r="M52" i="19"/>
  <c r="N52" i="19"/>
  <c r="AJ52" i="19" s="1"/>
  <c r="O52" i="19"/>
  <c r="AK52" i="19" s="1"/>
  <c r="P52" i="19"/>
  <c r="D53" i="19"/>
  <c r="Z53" i="19" s="1"/>
  <c r="E53" i="19"/>
  <c r="AA53" i="19" s="1"/>
  <c r="F53" i="19"/>
  <c r="AB53" i="19" s="1"/>
  <c r="G53" i="19"/>
  <c r="AC53" i="19" s="1"/>
  <c r="H53" i="19"/>
  <c r="AD53" i="19" s="1"/>
  <c r="I53" i="19"/>
  <c r="AE53" i="19" s="1"/>
  <c r="K53" i="19"/>
  <c r="AG53" i="19" s="1"/>
  <c r="L53" i="19"/>
  <c r="AH53" i="19" s="1"/>
  <c r="M53" i="19"/>
  <c r="AI53" i="19" s="1"/>
  <c r="N53" i="19"/>
  <c r="AJ53" i="19" s="1"/>
  <c r="O53" i="19"/>
  <c r="AK53" i="19" s="1"/>
  <c r="P53" i="19"/>
  <c r="AL53" i="19" s="1"/>
  <c r="D54" i="19"/>
  <c r="Z54" i="19" s="1"/>
  <c r="E54" i="19"/>
  <c r="F54" i="19"/>
  <c r="AB54" i="19" s="1"/>
  <c r="G54" i="19"/>
  <c r="AC54" i="19" s="1"/>
  <c r="H54" i="19"/>
  <c r="AD54" i="19" s="1"/>
  <c r="I54" i="19"/>
  <c r="AE54" i="19" s="1"/>
  <c r="K54" i="19"/>
  <c r="AG54" i="19" s="1"/>
  <c r="L54" i="19"/>
  <c r="AH54" i="19" s="1"/>
  <c r="M54" i="19"/>
  <c r="N54" i="19"/>
  <c r="AJ54" i="19" s="1"/>
  <c r="O54" i="19"/>
  <c r="AK54" i="19" s="1"/>
  <c r="P54" i="19"/>
  <c r="AL54" i="19" s="1"/>
  <c r="D55" i="19"/>
  <c r="E55" i="19"/>
  <c r="AA55" i="19" s="1"/>
  <c r="F55" i="19"/>
  <c r="AB55" i="19" s="1"/>
  <c r="G55" i="19"/>
  <c r="H55" i="19"/>
  <c r="AD55" i="19" s="1"/>
  <c r="I55" i="19"/>
  <c r="AE55" i="19" s="1"/>
  <c r="K55" i="19"/>
  <c r="AG55" i="19" s="1"/>
  <c r="L55" i="19"/>
  <c r="AH55" i="19" s="1"/>
  <c r="M55" i="19"/>
  <c r="N55" i="19"/>
  <c r="AJ55" i="19" s="1"/>
  <c r="O55" i="19"/>
  <c r="AK55" i="19" s="1"/>
  <c r="P55" i="19"/>
  <c r="AL55" i="19" s="1"/>
  <c r="D56" i="19"/>
  <c r="Z56" i="19" s="1"/>
  <c r="E56" i="19"/>
  <c r="AA56" i="19" s="1"/>
  <c r="F56" i="19"/>
  <c r="AB56" i="19" s="1"/>
  <c r="G56" i="19"/>
  <c r="AC56" i="19" s="1"/>
  <c r="H56" i="19"/>
  <c r="AD56" i="19" s="1"/>
  <c r="I56" i="19"/>
  <c r="K56" i="19"/>
  <c r="AG56" i="19" s="1"/>
  <c r="L56" i="19"/>
  <c r="AH56" i="19" s="1"/>
  <c r="M56" i="19"/>
  <c r="N56" i="19"/>
  <c r="AJ56" i="19" s="1"/>
  <c r="O56" i="19"/>
  <c r="AK56" i="19" s="1"/>
  <c r="P56" i="19"/>
  <c r="AL56" i="19" s="1"/>
  <c r="D57" i="19"/>
  <c r="Z57" i="19" s="1"/>
  <c r="E57" i="19"/>
  <c r="AA57" i="19" s="1"/>
  <c r="F57" i="19"/>
  <c r="AB57" i="19" s="1"/>
  <c r="G57" i="19"/>
  <c r="AC57" i="19" s="1"/>
  <c r="H57" i="19"/>
  <c r="AD57" i="19" s="1"/>
  <c r="I57" i="19"/>
  <c r="AE57" i="19" s="1"/>
  <c r="K57" i="19"/>
  <c r="AG57" i="19" s="1"/>
  <c r="L57" i="19"/>
  <c r="M57" i="19"/>
  <c r="N57" i="19"/>
  <c r="AJ57" i="19" s="1"/>
  <c r="O57" i="19"/>
  <c r="AK57" i="19" s="1"/>
  <c r="P57" i="19"/>
  <c r="AL57" i="19" s="1"/>
  <c r="D58" i="19"/>
  <c r="Z58" i="19" s="1"/>
  <c r="E58" i="19"/>
  <c r="AA58" i="19" s="1"/>
  <c r="F58" i="19"/>
  <c r="AB58" i="19" s="1"/>
  <c r="G58" i="19"/>
  <c r="AC58" i="19" s="1"/>
  <c r="H58" i="19"/>
  <c r="AD58" i="19" s="1"/>
  <c r="I58" i="19"/>
  <c r="AE58" i="19" s="1"/>
  <c r="K58" i="19"/>
  <c r="AG58" i="19" s="1"/>
  <c r="L58" i="19"/>
  <c r="AH58" i="19" s="1"/>
  <c r="M58" i="19"/>
  <c r="N58" i="19"/>
  <c r="AJ58" i="19" s="1"/>
  <c r="O58" i="19"/>
  <c r="AK58" i="19" s="1"/>
  <c r="P58" i="19"/>
  <c r="D59" i="19"/>
  <c r="E59" i="19"/>
  <c r="AA59" i="19" s="1"/>
  <c r="F59" i="19"/>
  <c r="AB59" i="19" s="1"/>
  <c r="G59" i="19"/>
  <c r="AC59" i="19" s="1"/>
  <c r="H59" i="19"/>
  <c r="AD59" i="19" s="1"/>
  <c r="I59" i="19"/>
  <c r="AE59" i="19" s="1"/>
  <c r="K59" i="19"/>
  <c r="AG59" i="19" s="1"/>
  <c r="L59" i="19"/>
  <c r="AH59" i="19" s="1"/>
  <c r="M59" i="19"/>
  <c r="AI59" i="19" s="1"/>
  <c r="N59" i="19"/>
  <c r="AJ59" i="19" s="1"/>
  <c r="O59" i="19"/>
  <c r="AK59" i="19" s="1"/>
  <c r="P59" i="19"/>
  <c r="AL59" i="19" s="1"/>
  <c r="D60" i="19"/>
  <c r="Z60" i="19" s="1"/>
  <c r="E60" i="19"/>
  <c r="F60" i="19"/>
  <c r="AB60" i="19" s="1"/>
  <c r="G60" i="19"/>
  <c r="AC60" i="19" s="1"/>
  <c r="H60" i="19"/>
  <c r="AD60" i="19" s="1"/>
  <c r="I60" i="19"/>
  <c r="AE60" i="19" s="1"/>
  <c r="K60" i="19"/>
  <c r="AG60" i="19" s="1"/>
  <c r="L60" i="19"/>
  <c r="AH60" i="19" s="1"/>
  <c r="M60" i="19"/>
  <c r="N60" i="19"/>
  <c r="AJ60" i="19" s="1"/>
  <c r="O60" i="19"/>
  <c r="AK60" i="19" s="1"/>
  <c r="P60" i="19"/>
  <c r="AL60" i="19" s="1"/>
  <c r="D61" i="19"/>
  <c r="Z61" i="19" s="1"/>
  <c r="E61" i="19"/>
  <c r="AA61" i="19" s="1"/>
  <c r="F61" i="19"/>
  <c r="AB61" i="19" s="1"/>
  <c r="G61" i="19"/>
  <c r="H61" i="19"/>
  <c r="AD61" i="19" s="1"/>
  <c r="I61" i="19"/>
  <c r="AE61" i="19" s="1"/>
  <c r="K61" i="19"/>
  <c r="AG61" i="19" s="1"/>
  <c r="L61" i="19"/>
  <c r="AH61" i="19" s="1"/>
  <c r="M61" i="19"/>
  <c r="N61" i="19"/>
  <c r="AJ61" i="19" s="1"/>
  <c r="O61" i="19"/>
  <c r="AK61" i="19" s="1"/>
  <c r="P61" i="19"/>
  <c r="AL61" i="19" s="1"/>
  <c r="D62" i="19"/>
  <c r="Z62" i="19" s="1"/>
  <c r="E62" i="19"/>
  <c r="AA62" i="19" s="1"/>
  <c r="F62" i="19"/>
  <c r="AB62" i="19" s="1"/>
  <c r="G62" i="19"/>
  <c r="AC62" i="19" s="1"/>
  <c r="H62" i="19"/>
  <c r="AD62" i="19" s="1"/>
  <c r="I62" i="19"/>
  <c r="K62" i="19"/>
  <c r="AG62" i="19" s="1"/>
  <c r="L62" i="19"/>
  <c r="AH62" i="19" s="1"/>
  <c r="M62" i="19"/>
  <c r="N62" i="19"/>
  <c r="AJ62" i="19" s="1"/>
  <c r="O62" i="19"/>
  <c r="AK62" i="19" s="1"/>
  <c r="P62" i="19"/>
  <c r="AL62" i="19" s="1"/>
  <c r="D63" i="19"/>
  <c r="Z63" i="19" s="1"/>
  <c r="E63" i="19"/>
  <c r="AA63" i="19" s="1"/>
  <c r="F63" i="19"/>
  <c r="AB63" i="19" s="1"/>
  <c r="G63" i="19"/>
  <c r="AC63" i="19" s="1"/>
  <c r="H63" i="19"/>
  <c r="AD63" i="19" s="1"/>
  <c r="I63" i="19"/>
  <c r="AE63" i="19" s="1"/>
  <c r="K63" i="19"/>
  <c r="AG63" i="19" s="1"/>
  <c r="L63" i="19"/>
  <c r="M63" i="19"/>
  <c r="N63" i="19"/>
  <c r="AJ63" i="19" s="1"/>
  <c r="O63" i="19"/>
  <c r="P63" i="19"/>
  <c r="AL63" i="19" s="1"/>
  <c r="D64" i="19"/>
  <c r="Z64" i="19" s="1"/>
  <c r="E64" i="19"/>
  <c r="AA64" i="19" s="1"/>
  <c r="F64" i="19"/>
  <c r="AB64" i="19" s="1"/>
  <c r="G64" i="19"/>
  <c r="AC64" i="19" s="1"/>
  <c r="H64" i="19"/>
  <c r="AD64" i="19" s="1"/>
  <c r="I64" i="19"/>
  <c r="AE64" i="19" s="1"/>
  <c r="K64" i="19"/>
  <c r="AG64" i="19" s="1"/>
  <c r="L64" i="19"/>
  <c r="AH64" i="19" s="1"/>
  <c r="M64" i="19"/>
  <c r="N64" i="19"/>
  <c r="AJ64" i="19" s="1"/>
  <c r="O64" i="19"/>
  <c r="AK64" i="19" s="1"/>
  <c r="P64" i="19"/>
  <c r="D65" i="19"/>
  <c r="Z65" i="19" s="1"/>
  <c r="E65" i="19"/>
  <c r="AA65" i="19" s="1"/>
  <c r="F65" i="19"/>
  <c r="AB65" i="19" s="1"/>
  <c r="G65" i="19"/>
  <c r="AC65" i="19" s="1"/>
  <c r="H65" i="19"/>
  <c r="AD65" i="19" s="1"/>
  <c r="I65" i="19"/>
  <c r="AE65" i="19" s="1"/>
  <c r="K65" i="19"/>
  <c r="AG65" i="19" s="1"/>
  <c r="L65" i="19"/>
  <c r="AH65" i="19" s="1"/>
  <c r="M65" i="19"/>
  <c r="AI65" i="19" s="1"/>
  <c r="N65" i="19"/>
  <c r="AJ65" i="19" s="1"/>
  <c r="O65" i="19"/>
  <c r="AK65" i="19" s="1"/>
  <c r="P65" i="19"/>
  <c r="AL65" i="19" s="1"/>
  <c r="D66" i="19"/>
  <c r="Z66" i="19" s="1"/>
  <c r="E66" i="19"/>
  <c r="F66" i="19"/>
  <c r="AB66" i="19" s="1"/>
  <c r="G66" i="19"/>
  <c r="AC66" i="19" s="1"/>
  <c r="H66" i="19"/>
  <c r="AD66" i="19" s="1"/>
  <c r="I66" i="19"/>
  <c r="AE66" i="19" s="1"/>
  <c r="K66" i="19"/>
  <c r="AG66" i="19" s="1"/>
  <c r="L66" i="19"/>
  <c r="AH66" i="19" s="1"/>
  <c r="M66" i="19"/>
  <c r="N66" i="19"/>
  <c r="AJ66" i="19" s="1"/>
  <c r="O66" i="19"/>
  <c r="AK66" i="19" s="1"/>
  <c r="P66" i="19"/>
  <c r="AL66" i="19" s="1"/>
  <c r="D67" i="19"/>
  <c r="Z67" i="19" s="1"/>
  <c r="E67" i="19"/>
  <c r="AA67" i="19" s="1"/>
  <c r="F67" i="19"/>
  <c r="AB67" i="19" s="1"/>
  <c r="G67" i="19"/>
  <c r="H67" i="19"/>
  <c r="AD67" i="19" s="1"/>
  <c r="I67" i="19"/>
  <c r="AE67" i="19" s="1"/>
  <c r="K67" i="19"/>
  <c r="AG67" i="19" s="1"/>
  <c r="L67" i="19"/>
  <c r="AH67" i="19" s="1"/>
  <c r="M67" i="19"/>
  <c r="N67" i="19"/>
  <c r="AJ67" i="19" s="1"/>
  <c r="O67" i="19"/>
  <c r="AK67" i="19" s="1"/>
  <c r="P67" i="19"/>
  <c r="AL67" i="19" s="1"/>
  <c r="D68" i="19"/>
  <c r="Z68" i="19" s="1"/>
  <c r="E68" i="19"/>
  <c r="AA68" i="19" s="1"/>
  <c r="F68" i="19"/>
  <c r="AB68" i="19" s="1"/>
  <c r="G68" i="19"/>
  <c r="AC68" i="19" s="1"/>
  <c r="H68" i="19"/>
  <c r="AD68" i="19" s="1"/>
  <c r="I68" i="19"/>
  <c r="K68" i="19"/>
  <c r="AG68" i="19" s="1"/>
  <c r="L68" i="19"/>
  <c r="AH68" i="19" s="1"/>
  <c r="M68" i="19"/>
  <c r="N68" i="19"/>
  <c r="AJ68" i="19" s="1"/>
  <c r="O68" i="19"/>
  <c r="AK68" i="19" s="1"/>
  <c r="P68" i="19"/>
  <c r="AL68" i="19" s="1"/>
  <c r="D69" i="19"/>
  <c r="Z69" i="19" s="1"/>
  <c r="E69" i="19"/>
  <c r="AA69" i="19" s="1"/>
  <c r="F69" i="19"/>
  <c r="AB69" i="19" s="1"/>
  <c r="G69" i="19"/>
  <c r="AC69" i="19" s="1"/>
  <c r="H69" i="19"/>
  <c r="AD69" i="19" s="1"/>
  <c r="I69" i="19"/>
  <c r="AE69" i="19" s="1"/>
  <c r="K69" i="19"/>
  <c r="AG69" i="19" s="1"/>
  <c r="L69" i="19"/>
  <c r="M69" i="19"/>
  <c r="N69" i="19"/>
  <c r="AJ69" i="19" s="1"/>
  <c r="O69" i="19"/>
  <c r="AK69" i="19" s="1"/>
  <c r="P69" i="19"/>
  <c r="AL69" i="19" s="1"/>
  <c r="D70" i="19"/>
  <c r="Z70" i="19" s="1"/>
  <c r="E70" i="19"/>
  <c r="AA70" i="19" s="1"/>
  <c r="F70" i="19"/>
  <c r="AB70" i="19" s="1"/>
  <c r="G70" i="19"/>
  <c r="AC70" i="19" s="1"/>
  <c r="H70" i="19"/>
  <c r="AD70" i="19" s="1"/>
  <c r="I70" i="19"/>
  <c r="AE70" i="19" s="1"/>
  <c r="K70" i="19"/>
  <c r="AG70" i="19" s="1"/>
  <c r="L70" i="19"/>
  <c r="AH70" i="19" s="1"/>
  <c r="M70" i="19"/>
  <c r="N70" i="19"/>
  <c r="AJ70" i="19" s="1"/>
  <c r="O70" i="19"/>
  <c r="AK70" i="19" s="1"/>
  <c r="P70" i="19"/>
  <c r="D71" i="19"/>
  <c r="E71" i="19"/>
  <c r="AA71" i="19" s="1"/>
  <c r="F71" i="19"/>
  <c r="AB71" i="19" s="1"/>
  <c r="G71" i="19"/>
  <c r="AC71" i="19" s="1"/>
  <c r="H71" i="19"/>
  <c r="AD71" i="19" s="1"/>
  <c r="I71" i="19"/>
  <c r="AE71" i="19" s="1"/>
  <c r="K71" i="19"/>
  <c r="AG71" i="19" s="1"/>
  <c r="L71" i="19"/>
  <c r="AH71" i="19" s="1"/>
  <c r="M71" i="19"/>
  <c r="AI71" i="19" s="1"/>
  <c r="N71" i="19"/>
  <c r="AJ71" i="19" s="1"/>
  <c r="O71" i="19"/>
  <c r="AK71" i="19" s="1"/>
  <c r="P71" i="19"/>
  <c r="AL71" i="19" s="1"/>
  <c r="D72" i="19"/>
  <c r="Z72" i="19" s="1"/>
  <c r="E72" i="19"/>
  <c r="F72" i="19"/>
  <c r="AB72" i="19" s="1"/>
  <c r="G72" i="19"/>
  <c r="AC72" i="19" s="1"/>
  <c r="H72" i="19"/>
  <c r="AD72" i="19" s="1"/>
  <c r="I72" i="19"/>
  <c r="AE72" i="19" s="1"/>
  <c r="K72" i="19"/>
  <c r="AG72" i="19" s="1"/>
  <c r="L72" i="19"/>
  <c r="AH72" i="19" s="1"/>
  <c r="M72" i="19"/>
  <c r="N72" i="19"/>
  <c r="AJ72" i="19" s="1"/>
  <c r="O72" i="19"/>
  <c r="AK72" i="19" s="1"/>
  <c r="P72" i="19"/>
  <c r="AL72" i="19" s="1"/>
  <c r="D73" i="19"/>
  <c r="Z73" i="19" s="1"/>
  <c r="E73" i="19"/>
  <c r="AA73" i="19" s="1"/>
  <c r="F73" i="19"/>
  <c r="AB73" i="19" s="1"/>
  <c r="G73" i="19"/>
  <c r="H73" i="19"/>
  <c r="AD73" i="19" s="1"/>
  <c r="I73" i="19"/>
  <c r="AE73" i="19" s="1"/>
  <c r="K73" i="19"/>
  <c r="AG73" i="19" s="1"/>
  <c r="L73" i="19"/>
  <c r="AH73" i="19" s="1"/>
  <c r="M73" i="19"/>
  <c r="N73" i="19"/>
  <c r="AJ73" i="19" s="1"/>
  <c r="O73" i="19"/>
  <c r="AK73" i="19" s="1"/>
  <c r="P73" i="19"/>
  <c r="AL73" i="19" s="1"/>
  <c r="D74" i="19"/>
  <c r="Z74" i="19" s="1"/>
  <c r="E74" i="19"/>
  <c r="AA74" i="19" s="1"/>
  <c r="F74" i="19"/>
  <c r="AB74" i="19" s="1"/>
  <c r="G74" i="19"/>
  <c r="AC74" i="19" s="1"/>
  <c r="H74" i="19"/>
  <c r="AD74" i="19" s="1"/>
  <c r="I74" i="19"/>
  <c r="K74" i="19"/>
  <c r="AG74" i="19" s="1"/>
  <c r="L74" i="19"/>
  <c r="AH74" i="19" s="1"/>
  <c r="M74" i="19"/>
  <c r="N74" i="19"/>
  <c r="AJ74" i="19" s="1"/>
  <c r="O74" i="19"/>
  <c r="AK74" i="19" s="1"/>
  <c r="P74" i="19"/>
  <c r="AL74" i="19" s="1"/>
  <c r="D75" i="19"/>
  <c r="E75" i="19"/>
  <c r="AA75" i="19" s="1"/>
  <c r="F75" i="19"/>
  <c r="AB75" i="19" s="1"/>
  <c r="G75" i="19"/>
  <c r="AC75" i="19" s="1"/>
  <c r="H75" i="19"/>
  <c r="AD75" i="19" s="1"/>
  <c r="I75" i="19"/>
  <c r="AE75" i="19" s="1"/>
  <c r="K75" i="19"/>
  <c r="AG75" i="19" s="1"/>
  <c r="L75" i="19"/>
  <c r="M75" i="19"/>
  <c r="N75" i="19"/>
  <c r="AJ75" i="19" s="1"/>
  <c r="O75" i="19"/>
  <c r="P75" i="19"/>
  <c r="AL75" i="19" s="1"/>
  <c r="D76" i="19"/>
  <c r="Z76" i="19" s="1"/>
  <c r="E76" i="19"/>
  <c r="AA76" i="19" s="1"/>
  <c r="F76" i="19"/>
  <c r="AB76" i="19" s="1"/>
  <c r="G76" i="19"/>
  <c r="AC76" i="19" s="1"/>
  <c r="H76" i="19"/>
  <c r="AD76" i="19" s="1"/>
  <c r="I76" i="19"/>
  <c r="K76" i="19"/>
  <c r="AG76" i="19" s="1"/>
  <c r="L76" i="19"/>
  <c r="AH76" i="19" s="1"/>
  <c r="M76" i="19"/>
  <c r="AI76" i="19" s="1"/>
  <c r="N76" i="19"/>
  <c r="AJ76" i="19" s="1"/>
  <c r="O76" i="19"/>
  <c r="AK76" i="19" s="1"/>
  <c r="P76" i="19"/>
  <c r="D77" i="19"/>
  <c r="Z77" i="19" s="1"/>
  <c r="E77" i="19"/>
  <c r="AA77" i="19" s="1"/>
  <c r="F77" i="19"/>
  <c r="AB77" i="19" s="1"/>
  <c r="G77" i="19"/>
  <c r="AC77" i="19" s="1"/>
  <c r="H77" i="19"/>
  <c r="AD77" i="19" s="1"/>
  <c r="I77" i="19"/>
  <c r="AE77" i="19" s="1"/>
  <c r="K77" i="19"/>
  <c r="AG77" i="19" s="1"/>
  <c r="L77" i="19"/>
  <c r="AH77" i="19" s="1"/>
  <c r="M77" i="19"/>
  <c r="AI77" i="19" s="1"/>
  <c r="N77" i="19"/>
  <c r="AJ77" i="19" s="1"/>
  <c r="O77" i="19"/>
  <c r="AK77" i="19" s="1"/>
  <c r="P77" i="19"/>
  <c r="AL77" i="19" s="1"/>
  <c r="D78" i="19"/>
  <c r="Z78" i="19" s="1"/>
  <c r="E78" i="19"/>
  <c r="F78" i="19"/>
  <c r="AB78" i="19" s="1"/>
  <c r="G78" i="19"/>
  <c r="AC78" i="19" s="1"/>
  <c r="H78" i="19"/>
  <c r="AD78" i="19" s="1"/>
  <c r="I78" i="19"/>
  <c r="AE78" i="19" s="1"/>
  <c r="K78" i="19"/>
  <c r="AG78" i="19" s="1"/>
  <c r="L78" i="19"/>
  <c r="AH78" i="19" s="1"/>
  <c r="M78" i="19"/>
  <c r="AI78" i="19" s="1"/>
  <c r="N78" i="19"/>
  <c r="AJ78" i="19" s="1"/>
  <c r="O78" i="19"/>
  <c r="AK78" i="19" s="1"/>
  <c r="P78" i="19"/>
  <c r="AL78" i="19" s="1"/>
  <c r="D79" i="19"/>
  <c r="E79" i="19"/>
  <c r="AA79" i="19" s="1"/>
  <c r="F79" i="19"/>
  <c r="AB79" i="19" s="1"/>
  <c r="G79" i="19"/>
  <c r="H79" i="19"/>
  <c r="I79" i="19"/>
  <c r="AE79" i="19" s="1"/>
  <c r="K79" i="19"/>
  <c r="AG79" i="19" s="1"/>
  <c r="L79" i="19"/>
  <c r="AH79" i="19" s="1"/>
  <c r="M79" i="19"/>
  <c r="N79" i="19"/>
  <c r="AJ79" i="19" s="1"/>
  <c r="O79" i="19"/>
  <c r="AK79" i="19" s="1"/>
  <c r="P79" i="19"/>
  <c r="AL79" i="19" s="1"/>
  <c r="D80" i="19"/>
  <c r="Z80" i="19" s="1"/>
  <c r="E80" i="19"/>
  <c r="F80" i="19"/>
  <c r="AB80" i="19" s="1"/>
  <c r="G80" i="19"/>
  <c r="AC80" i="19" s="1"/>
  <c r="H80" i="19"/>
  <c r="AD80" i="19" s="1"/>
  <c r="I80" i="19"/>
  <c r="K80" i="19"/>
  <c r="AG80" i="19" s="1"/>
  <c r="L80" i="19"/>
  <c r="AH80" i="19" s="1"/>
  <c r="M80" i="19"/>
  <c r="N80" i="19"/>
  <c r="AJ80" i="19" s="1"/>
  <c r="O80" i="19"/>
  <c r="AK80" i="19" s="1"/>
  <c r="P80" i="19"/>
  <c r="AL80" i="19" s="1"/>
  <c r="D81" i="19"/>
  <c r="Z81" i="19" s="1"/>
  <c r="E81" i="19"/>
  <c r="F81" i="19"/>
  <c r="AB81" i="19" s="1"/>
  <c r="G81" i="19"/>
  <c r="AC81" i="19" s="1"/>
  <c r="H81" i="19"/>
  <c r="AD81" i="19" s="1"/>
  <c r="I81" i="19"/>
  <c r="K81" i="19"/>
  <c r="AG81" i="19" s="1"/>
  <c r="L81" i="19"/>
  <c r="M81" i="19"/>
  <c r="N81" i="19"/>
  <c r="AJ81" i="19" s="1"/>
  <c r="O81" i="19"/>
  <c r="AK81" i="19" s="1"/>
  <c r="P81" i="19"/>
  <c r="AL81" i="19" s="1"/>
  <c r="D82" i="19"/>
  <c r="Z82" i="19" s="1"/>
  <c r="E82" i="19"/>
  <c r="F82" i="19"/>
  <c r="AB82" i="19" s="1"/>
  <c r="G82" i="19"/>
  <c r="AC82" i="19" s="1"/>
  <c r="H82" i="19"/>
  <c r="AD82" i="19" s="1"/>
  <c r="I82" i="19"/>
  <c r="K82" i="19"/>
  <c r="AG82" i="19" s="1"/>
  <c r="L82" i="19"/>
  <c r="AH82" i="19" s="1"/>
  <c r="M82" i="19"/>
  <c r="N82" i="19"/>
  <c r="AJ82" i="19" s="1"/>
  <c r="O82" i="19"/>
  <c r="AK82" i="19" s="1"/>
  <c r="P82" i="19"/>
  <c r="D83" i="19"/>
  <c r="E83" i="19"/>
  <c r="F83" i="19"/>
  <c r="AB83" i="19" s="1"/>
  <c r="G83" i="19"/>
  <c r="AC83" i="19" s="1"/>
  <c r="H83" i="19"/>
  <c r="AD83" i="19" s="1"/>
  <c r="I83" i="19"/>
  <c r="K83" i="19"/>
  <c r="AG83" i="19" s="1"/>
  <c r="L83" i="19"/>
  <c r="AH83" i="19" s="1"/>
  <c r="M83" i="19"/>
  <c r="N83" i="19"/>
  <c r="AJ83" i="19" s="1"/>
  <c r="O83" i="19"/>
  <c r="AK83" i="19" s="1"/>
  <c r="P83" i="19"/>
  <c r="AL83" i="19" s="1"/>
  <c r="D84" i="19"/>
  <c r="Z84" i="19" s="1"/>
  <c r="E84" i="19"/>
  <c r="F84" i="19"/>
  <c r="AB84" i="19" s="1"/>
  <c r="G84" i="19"/>
  <c r="AC84" i="19" s="1"/>
  <c r="H84" i="19"/>
  <c r="AD84" i="19" s="1"/>
  <c r="I84" i="19"/>
  <c r="K84" i="19"/>
  <c r="AG84" i="19" s="1"/>
  <c r="L84" i="19"/>
  <c r="AH84" i="19" s="1"/>
  <c r="M84" i="19"/>
  <c r="AI84" i="19" s="1"/>
  <c r="N84" i="19"/>
  <c r="AJ84" i="19" s="1"/>
  <c r="O84" i="19"/>
  <c r="AK84" i="19" s="1"/>
  <c r="P84" i="19"/>
  <c r="AL84" i="19" s="1"/>
  <c r="D85" i="19"/>
  <c r="Z85" i="19" s="1"/>
  <c r="E85" i="19"/>
  <c r="F85" i="19"/>
  <c r="AB85" i="19" s="1"/>
  <c r="G85" i="19"/>
  <c r="H85" i="19"/>
  <c r="AD85" i="19" s="1"/>
  <c r="I85" i="19"/>
  <c r="K85" i="19"/>
  <c r="AG85" i="19" s="1"/>
  <c r="L85" i="19"/>
  <c r="AH85" i="19" s="1"/>
  <c r="M85" i="19"/>
  <c r="N85" i="19"/>
  <c r="AJ85" i="19" s="1"/>
  <c r="O85" i="19"/>
  <c r="AK85" i="19" s="1"/>
  <c r="P85" i="19"/>
  <c r="AL85" i="19" s="1"/>
  <c r="D86" i="19"/>
  <c r="Z86" i="19" s="1"/>
  <c r="E86" i="19"/>
  <c r="F86" i="19"/>
  <c r="AB86" i="19" s="1"/>
  <c r="G86" i="19"/>
  <c r="AC86" i="19" s="1"/>
  <c r="H86" i="19"/>
  <c r="AD86" i="19" s="1"/>
  <c r="I86" i="19"/>
  <c r="K86" i="19"/>
  <c r="AG86" i="19" s="1"/>
  <c r="L86" i="19"/>
  <c r="AH86" i="19" s="1"/>
  <c r="M86" i="19"/>
  <c r="N86" i="19"/>
  <c r="AJ86" i="19" s="1"/>
  <c r="O86" i="19"/>
  <c r="AK86" i="19" s="1"/>
  <c r="P86" i="19"/>
  <c r="AL86" i="19" s="1"/>
  <c r="N51" i="19"/>
  <c r="D50" i="11"/>
  <c r="Z50" i="11" s="1"/>
  <c r="E50" i="11"/>
  <c r="AA50" i="11" s="1"/>
  <c r="F50" i="11"/>
  <c r="AB50" i="11" s="1"/>
  <c r="G50" i="11"/>
  <c r="AC50" i="11" s="1"/>
  <c r="H50" i="11"/>
  <c r="AD50" i="11" s="1"/>
  <c r="I50" i="11"/>
  <c r="AE50" i="11" s="1"/>
  <c r="J50" i="11"/>
  <c r="AF50" i="11" s="1"/>
  <c r="K50" i="11"/>
  <c r="AG50" i="11" s="1"/>
  <c r="L50" i="11"/>
  <c r="AH50" i="11" s="1"/>
  <c r="M50" i="11"/>
  <c r="AI50" i="11" s="1"/>
  <c r="N50" i="11"/>
  <c r="O50" i="11"/>
  <c r="AK50" i="11" s="1"/>
  <c r="P50" i="11"/>
  <c r="AL50" i="11" s="1"/>
  <c r="D51" i="11"/>
  <c r="Z51" i="11" s="1"/>
  <c r="E51" i="11"/>
  <c r="AA51" i="11" s="1"/>
  <c r="F51" i="11"/>
  <c r="AB51" i="11" s="1"/>
  <c r="G51" i="11"/>
  <c r="AC51" i="11" s="1"/>
  <c r="H51" i="11"/>
  <c r="AD51" i="11" s="1"/>
  <c r="I51" i="11"/>
  <c r="AE51" i="11" s="1"/>
  <c r="J51" i="11"/>
  <c r="AF51" i="11" s="1"/>
  <c r="K51" i="11"/>
  <c r="AG51" i="11" s="1"/>
  <c r="L51" i="11"/>
  <c r="AH51" i="11" s="1"/>
  <c r="M51" i="11"/>
  <c r="N51" i="11"/>
  <c r="AJ51" i="11" s="1"/>
  <c r="O51" i="11"/>
  <c r="P51" i="11"/>
  <c r="AL51" i="11" s="1"/>
  <c r="D52" i="11"/>
  <c r="Z52" i="11" s="1"/>
  <c r="E52" i="11"/>
  <c r="AA52" i="11" s="1"/>
  <c r="F52" i="11"/>
  <c r="AB52" i="11" s="1"/>
  <c r="G52" i="11"/>
  <c r="AC52" i="11" s="1"/>
  <c r="H52" i="11"/>
  <c r="AD52" i="11" s="1"/>
  <c r="I52" i="11"/>
  <c r="AE52" i="11" s="1"/>
  <c r="J52" i="11"/>
  <c r="AF52" i="11" s="1"/>
  <c r="K52" i="11"/>
  <c r="AG52" i="11" s="1"/>
  <c r="L52" i="11"/>
  <c r="AH52" i="11" s="1"/>
  <c r="M52" i="11"/>
  <c r="AI52" i="11" s="1"/>
  <c r="N52" i="11"/>
  <c r="AJ52" i="11" s="1"/>
  <c r="O52" i="11"/>
  <c r="AK52" i="11" s="1"/>
  <c r="P52" i="11"/>
  <c r="D53" i="11"/>
  <c r="Z53" i="11" s="1"/>
  <c r="E53" i="11"/>
  <c r="AA53" i="11" s="1"/>
  <c r="F53" i="11"/>
  <c r="AB53" i="11" s="1"/>
  <c r="G53" i="11"/>
  <c r="AC53" i="11" s="1"/>
  <c r="H53" i="11"/>
  <c r="AD53" i="11" s="1"/>
  <c r="I53" i="11"/>
  <c r="AE53" i="11" s="1"/>
  <c r="J53" i="11"/>
  <c r="AF53" i="11" s="1"/>
  <c r="K53" i="11"/>
  <c r="AG53" i="11" s="1"/>
  <c r="L53" i="11"/>
  <c r="AH53" i="11" s="1"/>
  <c r="M53" i="11"/>
  <c r="AI53" i="11" s="1"/>
  <c r="N53" i="11"/>
  <c r="AJ53" i="11" s="1"/>
  <c r="O53" i="11"/>
  <c r="AK53" i="11" s="1"/>
  <c r="P53" i="11"/>
  <c r="AL53" i="11" s="1"/>
  <c r="D54" i="11"/>
  <c r="E54" i="11"/>
  <c r="AA54" i="11" s="1"/>
  <c r="F54" i="11"/>
  <c r="AB54" i="11" s="1"/>
  <c r="G54" i="11"/>
  <c r="AC54" i="11" s="1"/>
  <c r="H54" i="11"/>
  <c r="AD54" i="11" s="1"/>
  <c r="I54" i="11"/>
  <c r="AE54" i="11" s="1"/>
  <c r="J54" i="11"/>
  <c r="AF54" i="11" s="1"/>
  <c r="K54" i="11"/>
  <c r="AG54" i="11" s="1"/>
  <c r="L54" i="11"/>
  <c r="AH54" i="11" s="1"/>
  <c r="M54" i="11"/>
  <c r="AI54" i="11" s="1"/>
  <c r="N54" i="11"/>
  <c r="AJ54" i="11" s="1"/>
  <c r="O54" i="11"/>
  <c r="AK54" i="11" s="1"/>
  <c r="P54" i="11"/>
  <c r="AL54" i="11" s="1"/>
  <c r="D55" i="11"/>
  <c r="Z55" i="11" s="1"/>
  <c r="E55" i="11"/>
  <c r="F55" i="11"/>
  <c r="AB55" i="11" s="1"/>
  <c r="G55" i="11"/>
  <c r="AC55" i="11" s="1"/>
  <c r="H55" i="11"/>
  <c r="AD55" i="11" s="1"/>
  <c r="I55" i="11"/>
  <c r="AE55" i="11" s="1"/>
  <c r="J55" i="11"/>
  <c r="AF55" i="11" s="1"/>
  <c r="K55" i="11"/>
  <c r="AG55" i="11" s="1"/>
  <c r="L55" i="11"/>
  <c r="AH55" i="11" s="1"/>
  <c r="M55" i="11"/>
  <c r="AI55" i="11" s="1"/>
  <c r="N55" i="11"/>
  <c r="AJ55" i="11" s="1"/>
  <c r="O55" i="11"/>
  <c r="AK55" i="11" s="1"/>
  <c r="P55" i="11"/>
  <c r="AL55" i="11" s="1"/>
  <c r="D56" i="11"/>
  <c r="Z56" i="11" s="1"/>
  <c r="E56" i="11"/>
  <c r="AA56" i="11" s="1"/>
  <c r="F56" i="11"/>
  <c r="AB56" i="11" s="1"/>
  <c r="G56" i="11"/>
  <c r="AC56" i="11" s="1"/>
  <c r="H56" i="11"/>
  <c r="AD56" i="11" s="1"/>
  <c r="I56" i="11"/>
  <c r="AE56" i="11" s="1"/>
  <c r="J56" i="11"/>
  <c r="AF56" i="11" s="1"/>
  <c r="K56" i="11"/>
  <c r="AG56" i="11" s="1"/>
  <c r="L56" i="11"/>
  <c r="AH56" i="11" s="1"/>
  <c r="M56" i="11"/>
  <c r="AI56" i="11" s="1"/>
  <c r="N56" i="11"/>
  <c r="AJ56" i="11" s="1"/>
  <c r="O56" i="11"/>
  <c r="AK56" i="11" s="1"/>
  <c r="P56" i="11"/>
  <c r="AL56" i="11" s="1"/>
  <c r="D57" i="11"/>
  <c r="Z57" i="11" s="1"/>
  <c r="E57" i="11"/>
  <c r="AA57" i="11" s="1"/>
  <c r="F57" i="11"/>
  <c r="AB57" i="11" s="1"/>
  <c r="G57" i="11"/>
  <c r="H57" i="11"/>
  <c r="AD57" i="11" s="1"/>
  <c r="I57" i="11"/>
  <c r="AE57" i="11" s="1"/>
  <c r="J57" i="11"/>
  <c r="AF57" i="11" s="1"/>
  <c r="K57" i="11"/>
  <c r="AG57" i="11" s="1"/>
  <c r="L57" i="11"/>
  <c r="AH57" i="11" s="1"/>
  <c r="M57" i="11"/>
  <c r="AI57" i="11" s="1"/>
  <c r="N57" i="11"/>
  <c r="AJ57" i="11" s="1"/>
  <c r="O57" i="11"/>
  <c r="AK57" i="11" s="1"/>
  <c r="P57" i="11"/>
  <c r="AL57" i="11" s="1"/>
  <c r="D58" i="11"/>
  <c r="Z58" i="11" s="1"/>
  <c r="E58" i="11"/>
  <c r="AA58" i="11" s="1"/>
  <c r="F58" i="11"/>
  <c r="AB58" i="11" s="1"/>
  <c r="G58" i="11"/>
  <c r="AC58" i="11" s="1"/>
  <c r="H58" i="11"/>
  <c r="I58" i="11"/>
  <c r="AE58" i="11" s="1"/>
  <c r="J58" i="11"/>
  <c r="AF58" i="11" s="1"/>
  <c r="K58" i="11"/>
  <c r="AG58" i="11" s="1"/>
  <c r="L58" i="11"/>
  <c r="AH58" i="11" s="1"/>
  <c r="M58" i="11"/>
  <c r="AI58" i="11" s="1"/>
  <c r="N58" i="11"/>
  <c r="AJ58" i="11" s="1"/>
  <c r="O58" i="11"/>
  <c r="AK58" i="11" s="1"/>
  <c r="P58" i="11"/>
  <c r="AL58" i="11" s="1"/>
  <c r="D59" i="11"/>
  <c r="Z59" i="11" s="1"/>
  <c r="E59" i="11"/>
  <c r="AA59" i="11" s="1"/>
  <c r="F59" i="11"/>
  <c r="AB59" i="11" s="1"/>
  <c r="G59" i="11"/>
  <c r="H59" i="11"/>
  <c r="AD59" i="11" s="1"/>
  <c r="I59" i="11"/>
  <c r="J59" i="11"/>
  <c r="AF59" i="11" s="1"/>
  <c r="K59" i="11"/>
  <c r="AG59" i="11" s="1"/>
  <c r="L59" i="11"/>
  <c r="AH59" i="11" s="1"/>
  <c r="M59" i="11"/>
  <c r="AI59" i="11" s="1"/>
  <c r="N59" i="11"/>
  <c r="AJ59" i="11" s="1"/>
  <c r="O59" i="11"/>
  <c r="AK59" i="11" s="1"/>
  <c r="P59" i="11"/>
  <c r="AL59" i="11" s="1"/>
  <c r="D60" i="11"/>
  <c r="Z60" i="11" s="1"/>
  <c r="E60" i="11"/>
  <c r="AA60" i="11" s="1"/>
  <c r="F60" i="11"/>
  <c r="AB60" i="11" s="1"/>
  <c r="G60" i="11"/>
  <c r="AC60" i="11" s="1"/>
  <c r="H60" i="11"/>
  <c r="AD60" i="11" s="1"/>
  <c r="I60" i="11"/>
  <c r="AE60" i="11" s="1"/>
  <c r="J60" i="11"/>
  <c r="K60" i="11"/>
  <c r="AG60" i="11" s="1"/>
  <c r="L60" i="11"/>
  <c r="AH60" i="11" s="1"/>
  <c r="M60" i="11"/>
  <c r="AI60" i="11" s="1"/>
  <c r="N60" i="11"/>
  <c r="AJ60" i="11" s="1"/>
  <c r="O60" i="11"/>
  <c r="AK60" i="11" s="1"/>
  <c r="P60" i="11"/>
  <c r="AL60" i="11" s="1"/>
  <c r="D61" i="11"/>
  <c r="E61" i="11"/>
  <c r="AA61" i="11" s="1"/>
  <c r="F61" i="11"/>
  <c r="AB61" i="11" s="1"/>
  <c r="G61" i="11"/>
  <c r="AC61" i="11" s="1"/>
  <c r="H61" i="11"/>
  <c r="AD61" i="11" s="1"/>
  <c r="I61" i="11"/>
  <c r="AE61" i="11" s="1"/>
  <c r="J61" i="11"/>
  <c r="AF61" i="11" s="1"/>
  <c r="K61" i="11"/>
  <c r="L61" i="11"/>
  <c r="AH61" i="11" s="1"/>
  <c r="M61" i="11"/>
  <c r="AI61" i="11" s="1"/>
  <c r="N61" i="11"/>
  <c r="AJ61" i="11" s="1"/>
  <c r="O61" i="11"/>
  <c r="AK61" i="11" s="1"/>
  <c r="P61" i="11"/>
  <c r="AL61" i="11" s="1"/>
  <c r="D62" i="11"/>
  <c r="Z62" i="11" s="1"/>
  <c r="E62" i="11"/>
  <c r="AA62" i="11" s="1"/>
  <c r="F62" i="11"/>
  <c r="AB62" i="11" s="1"/>
  <c r="G62" i="11"/>
  <c r="AC62" i="11" s="1"/>
  <c r="H62" i="11"/>
  <c r="AD62" i="11" s="1"/>
  <c r="I62" i="11"/>
  <c r="AE62" i="11" s="1"/>
  <c r="J62" i="11"/>
  <c r="AF62" i="11" s="1"/>
  <c r="K62" i="11"/>
  <c r="AG62" i="11" s="1"/>
  <c r="L62" i="11"/>
  <c r="AH62" i="11" s="1"/>
  <c r="M62" i="11"/>
  <c r="AI62" i="11" s="1"/>
  <c r="N62" i="11"/>
  <c r="O62" i="11"/>
  <c r="AK62" i="11" s="1"/>
  <c r="P62" i="11"/>
  <c r="AL62" i="11" s="1"/>
  <c r="D63" i="11"/>
  <c r="Z63" i="11" s="1"/>
  <c r="E63" i="11"/>
  <c r="AA63" i="11" s="1"/>
  <c r="F63" i="11"/>
  <c r="AB63" i="11" s="1"/>
  <c r="G63" i="11"/>
  <c r="AC63" i="11" s="1"/>
  <c r="H63" i="11"/>
  <c r="AD63" i="11" s="1"/>
  <c r="I63" i="11"/>
  <c r="AE63" i="11" s="1"/>
  <c r="J63" i="11"/>
  <c r="AF63" i="11" s="1"/>
  <c r="K63" i="11"/>
  <c r="AG63" i="11" s="1"/>
  <c r="L63" i="11"/>
  <c r="AH63" i="11" s="1"/>
  <c r="M63" i="11"/>
  <c r="N63" i="11"/>
  <c r="AJ63" i="11" s="1"/>
  <c r="O63" i="11"/>
  <c r="AK63" i="11" s="1"/>
  <c r="P63" i="11"/>
  <c r="AL63" i="11" s="1"/>
  <c r="D64" i="11"/>
  <c r="Z64" i="11" s="1"/>
  <c r="E64" i="11"/>
  <c r="AA64" i="11" s="1"/>
  <c r="F64" i="11"/>
  <c r="AB64" i="11" s="1"/>
  <c r="G64" i="11"/>
  <c r="AC64" i="11" s="1"/>
  <c r="H64" i="11"/>
  <c r="AD64" i="11" s="1"/>
  <c r="I64" i="11"/>
  <c r="AE64" i="11" s="1"/>
  <c r="J64" i="11"/>
  <c r="AF64" i="11" s="1"/>
  <c r="K64" i="11"/>
  <c r="AG64" i="11" s="1"/>
  <c r="L64" i="11"/>
  <c r="AH64" i="11" s="1"/>
  <c r="M64" i="11"/>
  <c r="AI64" i="11" s="1"/>
  <c r="N64" i="11"/>
  <c r="AJ64" i="11" s="1"/>
  <c r="O64" i="11"/>
  <c r="AK64" i="11" s="1"/>
  <c r="P64" i="11"/>
  <c r="D65" i="11"/>
  <c r="Z65" i="11" s="1"/>
  <c r="E65" i="11"/>
  <c r="AA65" i="11" s="1"/>
  <c r="F65" i="11"/>
  <c r="AB65" i="11" s="1"/>
  <c r="G65" i="11"/>
  <c r="AC65" i="11" s="1"/>
  <c r="H65" i="11"/>
  <c r="AD65" i="11" s="1"/>
  <c r="I65" i="11"/>
  <c r="AE65" i="11" s="1"/>
  <c r="J65" i="11"/>
  <c r="AF65" i="11" s="1"/>
  <c r="K65" i="11"/>
  <c r="AG65" i="11" s="1"/>
  <c r="L65" i="11"/>
  <c r="AH65" i="11" s="1"/>
  <c r="M65" i="11"/>
  <c r="AI65" i="11" s="1"/>
  <c r="N65" i="11"/>
  <c r="AJ65" i="11" s="1"/>
  <c r="O65" i="11"/>
  <c r="AK65" i="11" s="1"/>
  <c r="P65" i="11"/>
  <c r="AL65" i="11" s="1"/>
  <c r="D66" i="11"/>
  <c r="E66" i="11"/>
  <c r="AA66" i="11" s="1"/>
  <c r="F66" i="11"/>
  <c r="AB66" i="11" s="1"/>
  <c r="G66" i="11"/>
  <c r="AC66" i="11" s="1"/>
  <c r="H66" i="11"/>
  <c r="AD66" i="11" s="1"/>
  <c r="I66" i="11"/>
  <c r="AE66" i="11" s="1"/>
  <c r="J66" i="11"/>
  <c r="AF66" i="11" s="1"/>
  <c r="K66" i="11"/>
  <c r="L66" i="11"/>
  <c r="AH66" i="11" s="1"/>
  <c r="M66" i="11"/>
  <c r="AI66" i="11" s="1"/>
  <c r="N66" i="11"/>
  <c r="AJ66" i="11" s="1"/>
  <c r="O66" i="11"/>
  <c r="AK66" i="11" s="1"/>
  <c r="P66" i="11"/>
  <c r="AL66" i="11" s="1"/>
  <c r="D67" i="11"/>
  <c r="Z67" i="11" s="1"/>
  <c r="E67" i="11"/>
  <c r="F67" i="11"/>
  <c r="AB67" i="11" s="1"/>
  <c r="G67" i="11"/>
  <c r="AC67" i="11" s="1"/>
  <c r="H67" i="11"/>
  <c r="AD67" i="11" s="1"/>
  <c r="I67" i="11"/>
  <c r="AE67" i="11" s="1"/>
  <c r="J67" i="11"/>
  <c r="AF67" i="11" s="1"/>
  <c r="K67" i="11"/>
  <c r="AG67" i="11" s="1"/>
  <c r="L67" i="11"/>
  <c r="AH67" i="11" s="1"/>
  <c r="M67" i="11"/>
  <c r="AI67" i="11" s="1"/>
  <c r="N67" i="11"/>
  <c r="AJ67" i="11" s="1"/>
  <c r="O67" i="11"/>
  <c r="AK67" i="11" s="1"/>
  <c r="P67" i="11"/>
  <c r="AL67" i="11" s="1"/>
  <c r="D68" i="11"/>
  <c r="Z68" i="11" s="1"/>
  <c r="E68" i="11"/>
  <c r="AA68" i="11" s="1"/>
  <c r="F68" i="11"/>
  <c r="AB68" i="11" s="1"/>
  <c r="G68" i="11"/>
  <c r="AC68" i="11" s="1"/>
  <c r="H68" i="11"/>
  <c r="AD68" i="11" s="1"/>
  <c r="I68" i="11"/>
  <c r="AE68" i="11" s="1"/>
  <c r="J68" i="11"/>
  <c r="AF68" i="11" s="1"/>
  <c r="K68" i="11"/>
  <c r="AG68" i="11" s="1"/>
  <c r="L68" i="11"/>
  <c r="AH68" i="11" s="1"/>
  <c r="M68" i="11"/>
  <c r="AI68" i="11" s="1"/>
  <c r="N68" i="11"/>
  <c r="AJ68" i="11" s="1"/>
  <c r="O68" i="11"/>
  <c r="AK68" i="11" s="1"/>
  <c r="P68" i="11"/>
  <c r="AL68" i="11" s="1"/>
  <c r="D69" i="11"/>
  <c r="Z69" i="11" s="1"/>
  <c r="E69" i="11"/>
  <c r="AA69" i="11" s="1"/>
  <c r="F69" i="11"/>
  <c r="AB69" i="11" s="1"/>
  <c r="G69" i="11"/>
  <c r="AC69" i="11" s="1"/>
  <c r="H69" i="11"/>
  <c r="AD69" i="11" s="1"/>
  <c r="I69" i="11"/>
  <c r="AE69" i="11" s="1"/>
  <c r="J69" i="11"/>
  <c r="AF69" i="11" s="1"/>
  <c r="K69" i="11"/>
  <c r="AG69" i="11" s="1"/>
  <c r="L69" i="11"/>
  <c r="AH69" i="11" s="1"/>
  <c r="M69" i="11"/>
  <c r="AI69" i="11" s="1"/>
  <c r="N69" i="11"/>
  <c r="AJ69" i="11" s="1"/>
  <c r="O69" i="11"/>
  <c r="AK69" i="11" s="1"/>
  <c r="P69" i="11"/>
  <c r="AL69" i="11" s="1"/>
  <c r="D70" i="11"/>
  <c r="Z70" i="11" s="1"/>
  <c r="E70" i="11"/>
  <c r="AA70" i="11" s="1"/>
  <c r="F70" i="11"/>
  <c r="AB70" i="11" s="1"/>
  <c r="G70" i="11"/>
  <c r="AC70" i="11" s="1"/>
  <c r="H70" i="11"/>
  <c r="I70" i="11"/>
  <c r="AE70" i="11" s="1"/>
  <c r="J70" i="11"/>
  <c r="AF70" i="11" s="1"/>
  <c r="K70" i="11"/>
  <c r="AG70" i="11" s="1"/>
  <c r="L70" i="11"/>
  <c r="AH70" i="11" s="1"/>
  <c r="M70" i="11"/>
  <c r="AI70" i="11" s="1"/>
  <c r="N70" i="11"/>
  <c r="AJ70" i="11" s="1"/>
  <c r="O70" i="11"/>
  <c r="AK70" i="11" s="1"/>
  <c r="P70" i="11"/>
  <c r="AL70" i="11" s="1"/>
  <c r="D71" i="11"/>
  <c r="Z71" i="11" s="1"/>
  <c r="E71" i="11"/>
  <c r="AA71" i="11" s="1"/>
  <c r="F71" i="11"/>
  <c r="AB71" i="11" s="1"/>
  <c r="G71" i="11"/>
  <c r="AC71" i="11" s="1"/>
  <c r="H71" i="11"/>
  <c r="AD71" i="11" s="1"/>
  <c r="I71" i="11"/>
  <c r="J71" i="11"/>
  <c r="AF71" i="11" s="1"/>
  <c r="K71" i="11"/>
  <c r="AG71" i="11" s="1"/>
  <c r="L71" i="11"/>
  <c r="AH71" i="11" s="1"/>
  <c r="M71" i="11"/>
  <c r="AI71" i="11" s="1"/>
  <c r="N71" i="11"/>
  <c r="AJ71" i="11" s="1"/>
  <c r="O71" i="11"/>
  <c r="AK71" i="11" s="1"/>
  <c r="P71" i="11"/>
  <c r="AL71" i="11" s="1"/>
  <c r="D72" i="11"/>
  <c r="Z72" i="11" s="1"/>
  <c r="E72" i="11"/>
  <c r="AA72" i="11" s="1"/>
  <c r="F72" i="11"/>
  <c r="AB72" i="11" s="1"/>
  <c r="G72" i="11"/>
  <c r="AC72" i="11" s="1"/>
  <c r="H72" i="11"/>
  <c r="AD72" i="11" s="1"/>
  <c r="I72" i="11"/>
  <c r="AE72" i="11" s="1"/>
  <c r="J72" i="11"/>
  <c r="K72" i="11"/>
  <c r="AG72" i="11" s="1"/>
  <c r="L72" i="11"/>
  <c r="AH72" i="11" s="1"/>
  <c r="M72" i="11"/>
  <c r="AI72" i="11" s="1"/>
  <c r="N72" i="11"/>
  <c r="AJ72" i="11" s="1"/>
  <c r="O72" i="11"/>
  <c r="AK72" i="11" s="1"/>
  <c r="P72" i="11"/>
  <c r="AL72" i="11" s="1"/>
  <c r="D73" i="11"/>
  <c r="Z73" i="11" s="1"/>
  <c r="E73" i="11"/>
  <c r="AA73" i="11" s="1"/>
  <c r="F73" i="11"/>
  <c r="AB73" i="11" s="1"/>
  <c r="G73" i="11"/>
  <c r="AC73" i="11" s="1"/>
  <c r="H73" i="11"/>
  <c r="AD73" i="11" s="1"/>
  <c r="I73" i="11"/>
  <c r="AE73" i="11" s="1"/>
  <c r="J73" i="11"/>
  <c r="AF73" i="11" s="1"/>
  <c r="K73" i="11"/>
  <c r="L73" i="11"/>
  <c r="AH73" i="11" s="1"/>
  <c r="M73" i="11"/>
  <c r="AI73" i="11" s="1"/>
  <c r="N73" i="11"/>
  <c r="AJ73" i="11" s="1"/>
  <c r="O73" i="11"/>
  <c r="AK73" i="11" s="1"/>
  <c r="P73" i="11"/>
  <c r="AL73" i="11" s="1"/>
  <c r="D74" i="11"/>
  <c r="Z74" i="11" s="1"/>
  <c r="E74" i="11"/>
  <c r="AA74" i="11" s="1"/>
  <c r="F74" i="11"/>
  <c r="AB74" i="11" s="1"/>
  <c r="G74" i="11"/>
  <c r="AC74" i="11" s="1"/>
  <c r="H74" i="11"/>
  <c r="AD74" i="11" s="1"/>
  <c r="I74" i="11"/>
  <c r="AE74" i="11" s="1"/>
  <c r="J74" i="11"/>
  <c r="AF74" i="11" s="1"/>
  <c r="K74" i="11"/>
  <c r="AG74" i="11" s="1"/>
  <c r="L74" i="11"/>
  <c r="AH74" i="11" s="1"/>
  <c r="M74" i="11"/>
  <c r="AI74" i="11" s="1"/>
  <c r="N74" i="11"/>
  <c r="O74" i="11"/>
  <c r="AK74" i="11" s="1"/>
  <c r="P74" i="11"/>
  <c r="AL74" i="11" s="1"/>
  <c r="D75" i="11"/>
  <c r="Z75" i="11" s="1"/>
  <c r="E75" i="11"/>
  <c r="AA75" i="11" s="1"/>
  <c r="F75" i="11"/>
  <c r="AB75" i="11" s="1"/>
  <c r="G75" i="11"/>
  <c r="AC75" i="11" s="1"/>
  <c r="H75" i="11"/>
  <c r="AD75" i="11" s="1"/>
  <c r="I75" i="11"/>
  <c r="AE75" i="11" s="1"/>
  <c r="J75" i="11"/>
  <c r="AF75" i="11" s="1"/>
  <c r="K75" i="11"/>
  <c r="AG75" i="11" s="1"/>
  <c r="L75" i="11"/>
  <c r="AH75" i="11" s="1"/>
  <c r="M75" i="11"/>
  <c r="N75" i="11"/>
  <c r="AJ75" i="11" s="1"/>
  <c r="O75" i="11"/>
  <c r="AK75" i="11" s="1"/>
  <c r="P75" i="11"/>
  <c r="AL75" i="11" s="1"/>
  <c r="D76" i="11"/>
  <c r="Z76" i="11" s="1"/>
  <c r="E76" i="11"/>
  <c r="AA76" i="11" s="1"/>
  <c r="F76" i="11"/>
  <c r="AB76" i="11" s="1"/>
  <c r="G76" i="11"/>
  <c r="AC76" i="11" s="1"/>
  <c r="H76" i="11"/>
  <c r="AD76" i="11" s="1"/>
  <c r="I76" i="11"/>
  <c r="AE76" i="11" s="1"/>
  <c r="J76" i="11"/>
  <c r="AF76" i="11" s="1"/>
  <c r="K76" i="11"/>
  <c r="AG76" i="11" s="1"/>
  <c r="L76" i="11"/>
  <c r="AH76" i="11" s="1"/>
  <c r="M76" i="11"/>
  <c r="AI76" i="11" s="1"/>
  <c r="N76" i="11"/>
  <c r="AJ76" i="11" s="1"/>
  <c r="O76" i="11"/>
  <c r="AK76" i="11" s="1"/>
  <c r="P76" i="11"/>
  <c r="D77" i="11"/>
  <c r="Z77" i="11" s="1"/>
  <c r="E77" i="11"/>
  <c r="AA77" i="11" s="1"/>
  <c r="F77" i="11"/>
  <c r="AB77" i="11" s="1"/>
  <c r="G77" i="11"/>
  <c r="AC77" i="11" s="1"/>
  <c r="H77" i="11"/>
  <c r="AD77" i="11" s="1"/>
  <c r="I77" i="11"/>
  <c r="AE77" i="11" s="1"/>
  <c r="J77" i="11"/>
  <c r="AF77" i="11" s="1"/>
  <c r="K77" i="11"/>
  <c r="AG77" i="11" s="1"/>
  <c r="L77" i="11"/>
  <c r="AH77" i="11" s="1"/>
  <c r="M77" i="11"/>
  <c r="AI77" i="11" s="1"/>
  <c r="N77" i="11"/>
  <c r="AJ77" i="11" s="1"/>
  <c r="O77" i="11"/>
  <c r="AK77" i="11" s="1"/>
  <c r="P77" i="11"/>
  <c r="D78" i="11"/>
  <c r="E78" i="11"/>
  <c r="AA78" i="11" s="1"/>
  <c r="F78" i="11"/>
  <c r="AB78" i="11" s="1"/>
  <c r="G78" i="11"/>
  <c r="AC78" i="11" s="1"/>
  <c r="H78" i="11"/>
  <c r="AD78" i="11" s="1"/>
  <c r="I78" i="11"/>
  <c r="AE78" i="11" s="1"/>
  <c r="J78" i="11"/>
  <c r="AF78" i="11" s="1"/>
  <c r="K78" i="11"/>
  <c r="AG78" i="11" s="1"/>
  <c r="L78" i="11"/>
  <c r="AH78" i="11" s="1"/>
  <c r="M78" i="11"/>
  <c r="AI78" i="11" s="1"/>
  <c r="N78" i="11"/>
  <c r="AJ78" i="11" s="1"/>
  <c r="O78" i="11"/>
  <c r="AK78" i="11" s="1"/>
  <c r="P78" i="11"/>
  <c r="AL78" i="11" s="1"/>
  <c r="D79" i="11"/>
  <c r="Z79" i="11" s="1"/>
  <c r="E79" i="11"/>
  <c r="F79" i="11"/>
  <c r="AB79" i="11" s="1"/>
  <c r="G79" i="11"/>
  <c r="AC79" i="11" s="1"/>
  <c r="H79" i="11"/>
  <c r="AD79" i="11" s="1"/>
  <c r="I79" i="11"/>
  <c r="AE79" i="11" s="1"/>
  <c r="J79" i="11"/>
  <c r="AF79" i="11" s="1"/>
  <c r="K79" i="11"/>
  <c r="AG79" i="11" s="1"/>
  <c r="L79" i="11"/>
  <c r="AH79" i="11" s="1"/>
  <c r="M79" i="11"/>
  <c r="AI79" i="11" s="1"/>
  <c r="N79" i="11"/>
  <c r="AJ79" i="11" s="1"/>
  <c r="O79" i="11"/>
  <c r="AK79" i="11" s="1"/>
  <c r="P79" i="11"/>
  <c r="AL79" i="11" s="1"/>
  <c r="D80" i="11"/>
  <c r="Z80" i="11" s="1"/>
  <c r="E80" i="11"/>
  <c r="AA80" i="11" s="1"/>
  <c r="F80" i="11"/>
  <c r="AB80" i="11" s="1"/>
  <c r="G80" i="11"/>
  <c r="AC80" i="11" s="1"/>
  <c r="H80" i="11"/>
  <c r="AD80" i="11" s="1"/>
  <c r="I80" i="11"/>
  <c r="AE80" i="11" s="1"/>
  <c r="J80" i="11"/>
  <c r="AF80" i="11" s="1"/>
  <c r="K80" i="11"/>
  <c r="AG80" i="11" s="1"/>
  <c r="L80" i="11"/>
  <c r="AH80" i="11" s="1"/>
  <c r="M80" i="11"/>
  <c r="AI80" i="11" s="1"/>
  <c r="N80" i="11"/>
  <c r="AJ80" i="11" s="1"/>
  <c r="O80" i="11"/>
  <c r="AK80" i="11" s="1"/>
  <c r="P80" i="11"/>
  <c r="AL80" i="11" s="1"/>
  <c r="D81" i="11"/>
  <c r="Z81" i="11" s="1"/>
  <c r="E81" i="11"/>
  <c r="AA81" i="11" s="1"/>
  <c r="F81" i="11"/>
  <c r="AB81" i="11" s="1"/>
  <c r="G81" i="11"/>
  <c r="AC81" i="11" s="1"/>
  <c r="H81" i="11"/>
  <c r="I81" i="11"/>
  <c r="AE81" i="11" s="1"/>
  <c r="J81" i="11"/>
  <c r="AF81" i="11" s="1"/>
  <c r="K81" i="11"/>
  <c r="AG81" i="11" s="1"/>
  <c r="L81" i="11"/>
  <c r="AH81" i="11" s="1"/>
  <c r="M81" i="11"/>
  <c r="AI81" i="11" s="1"/>
  <c r="N81" i="11"/>
  <c r="AJ81" i="11" s="1"/>
  <c r="O81" i="11"/>
  <c r="AK81" i="11" s="1"/>
  <c r="P81" i="11"/>
  <c r="AL81" i="11" s="1"/>
  <c r="D82" i="11"/>
  <c r="Z82" i="11" s="1"/>
  <c r="E82" i="11"/>
  <c r="AA82" i="11" s="1"/>
  <c r="F82" i="11"/>
  <c r="AB82" i="11" s="1"/>
  <c r="G82" i="11"/>
  <c r="AC82" i="11" s="1"/>
  <c r="H82" i="11"/>
  <c r="AD82" i="11" s="1"/>
  <c r="I82" i="11"/>
  <c r="AE82" i="11" s="1"/>
  <c r="J82" i="11"/>
  <c r="AF82" i="11" s="1"/>
  <c r="K82" i="11"/>
  <c r="AG82" i="11" s="1"/>
  <c r="L82" i="11"/>
  <c r="AH82" i="11" s="1"/>
  <c r="M82" i="11"/>
  <c r="AI82" i="11" s="1"/>
  <c r="N82" i="11"/>
  <c r="AJ82" i="11" s="1"/>
  <c r="O82" i="11"/>
  <c r="AK82" i="11" s="1"/>
  <c r="P82" i="11"/>
  <c r="AL82" i="11" s="1"/>
  <c r="D83" i="11"/>
  <c r="Z83" i="11" s="1"/>
  <c r="E83" i="11"/>
  <c r="AA83" i="11" s="1"/>
  <c r="F83" i="11"/>
  <c r="AB83" i="11" s="1"/>
  <c r="G83" i="11"/>
  <c r="AC83" i="11" s="1"/>
  <c r="H83" i="11"/>
  <c r="AD83" i="11" s="1"/>
  <c r="I83" i="11"/>
  <c r="J83" i="11"/>
  <c r="AF83" i="11" s="1"/>
  <c r="K83" i="11"/>
  <c r="AG83" i="11" s="1"/>
  <c r="L83" i="11"/>
  <c r="AH83" i="11" s="1"/>
  <c r="M83" i="11"/>
  <c r="AI83" i="11" s="1"/>
  <c r="N83" i="11"/>
  <c r="AJ83" i="11" s="1"/>
  <c r="O83" i="11"/>
  <c r="AK83" i="11" s="1"/>
  <c r="P83" i="11"/>
  <c r="AL83" i="11" s="1"/>
  <c r="D84" i="11"/>
  <c r="Z84" i="11" s="1"/>
  <c r="E84" i="11"/>
  <c r="AA84" i="11" s="1"/>
  <c r="F84" i="11"/>
  <c r="AB84" i="11" s="1"/>
  <c r="G84" i="11"/>
  <c r="AC84" i="11" s="1"/>
  <c r="H84" i="11"/>
  <c r="AD84" i="11" s="1"/>
  <c r="I84" i="11"/>
  <c r="J84" i="11"/>
  <c r="K84" i="11"/>
  <c r="AG84" i="11" s="1"/>
  <c r="L84" i="11"/>
  <c r="AH84" i="11" s="1"/>
  <c r="M84" i="11"/>
  <c r="AI84" i="11" s="1"/>
  <c r="N84" i="11"/>
  <c r="AJ84" i="11" s="1"/>
  <c r="O84" i="11"/>
  <c r="AK84" i="11" s="1"/>
  <c r="P84" i="11"/>
  <c r="AL84" i="11" s="1"/>
  <c r="D85" i="11"/>
  <c r="Z85" i="11" s="1"/>
  <c r="E85" i="11"/>
  <c r="AA85" i="11" s="1"/>
  <c r="F85" i="11"/>
  <c r="AB85" i="11" s="1"/>
  <c r="G85" i="11"/>
  <c r="AC85" i="11" s="1"/>
  <c r="H85" i="11"/>
  <c r="AD85" i="11" s="1"/>
  <c r="I85" i="11"/>
  <c r="AE85" i="11" s="1"/>
  <c r="J85" i="11"/>
  <c r="AF85" i="11" s="1"/>
  <c r="K85" i="11"/>
  <c r="L85" i="11"/>
  <c r="AH85" i="11" s="1"/>
  <c r="M85" i="11"/>
  <c r="AI85" i="11" s="1"/>
  <c r="N85" i="11"/>
  <c r="AJ85" i="11" s="1"/>
  <c r="O85" i="11"/>
  <c r="AK85" i="11" s="1"/>
  <c r="P85" i="11"/>
  <c r="AL85" i="11" s="1"/>
  <c r="N49" i="11"/>
  <c r="AJ49" i="11" s="1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51" i="20"/>
  <c r="P57" i="13"/>
  <c r="AL57" i="13" s="1"/>
  <c r="D50" i="13"/>
  <c r="Z50" i="13" s="1"/>
  <c r="E50" i="13"/>
  <c r="AA50" i="13" s="1"/>
  <c r="F50" i="13"/>
  <c r="AB50" i="13" s="1"/>
  <c r="G50" i="13"/>
  <c r="AC50" i="13" s="1"/>
  <c r="H50" i="13"/>
  <c r="AD50" i="13" s="1"/>
  <c r="K50" i="13"/>
  <c r="AG50" i="13" s="1"/>
  <c r="L50" i="13"/>
  <c r="AH50" i="13" s="1"/>
  <c r="M50" i="13"/>
  <c r="AI50" i="13" s="1"/>
  <c r="N50" i="13"/>
  <c r="AJ50" i="13" s="1"/>
  <c r="O50" i="13"/>
  <c r="P50" i="13"/>
  <c r="AL50" i="13" s="1"/>
  <c r="D51" i="13"/>
  <c r="Z51" i="13" s="1"/>
  <c r="E51" i="13"/>
  <c r="AA51" i="13" s="1"/>
  <c r="F51" i="13"/>
  <c r="G51" i="13"/>
  <c r="AC51" i="13" s="1"/>
  <c r="H51" i="13"/>
  <c r="AD51" i="13" s="1"/>
  <c r="K51" i="13"/>
  <c r="AG51" i="13" s="1"/>
  <c r="L51" i="13"/>
  <c r="AH51" i="13" s="1"/>
  <c r="M51" i="13"/>
  <c r="AI51" i="13" s="1"/>
  <c r="N51" i="13"/>
  <c r="AJ51" i="13" s="1"/>
  <c r="O51" i="13"/>
  <c r="AK51" i="13" s="1"/>
  <c r="P51" i="13"/>
  <c r="AL51" i="13" s="1"/>
  <c r="D52" i="13"/>
  <c r="E52" i="13"/>
  <c r="AA52" i="13" s="1"/>
  <c r="F52" i="13"/>
  <c r="AB52" i="13" s="1"/>
  <c r="G52" i="13"/>
  <c r="AC52" i="13" s="1"/>
  <c r="H52" i="13"/>
  <c r="AD52" i="13" s="1"/>
  <c r="K52" i="13"/>
  <c r="AG52" i="13" s="1"/>
  <c r="L52" i="13"/>
  <c r="AH52" i="13" s="1"/>
  <c r="M52" i="13"/>
  <c r="N52" i="13"/>
  <c r="O52" i="13"/>
  <c r="P52" i="13"/>
  <c r="AL52" i="13" s="1"/>
  <c r="D53" i="13"/>
  <c r="Z53" i="13" s="1"/>
  <c r="E53" i="13"/>
  <c r="AA53" i="13" s="1"/>
  <c r="F53" i="13"/>
  <c r="AB53" i="13" s="1"/>
  <c r="G53" i="13"/>
  <c r="H53" i="13"/>
  <c r="AD53" i="13" s="1"/>
  <c r="K53" i="13"/>
  <c r="AG53" i="13" s="1"/>
  <c r="L53" i="13"/>
  <c r="M53" i="13"/>
  <c r="AI53" i="13" s="1"/>
  <c r="N53" i="13"/>
  <c r="AJ53" i="13" s="1"/>
  <c r="O53" i="13"/>
  <c r="AK53" i="13" s="1"/>
  <c r="P53" i="13"/>
  <c r="AL53" i="13" s="1"/>
  <c r="D54" i="13"/>
  <c r="Z54" i="13" s="1"/>
  <c r="E54" i="13"/>
  <c r="AA54" i="13" s="1"/>
  <c r="F54" i="13"/>
  <c r="AB54" i="13" s="1"/>
  <c r="G54" i="13"/>
  <c r="AC54" i="13" s="1"/>
  <c r="H54" i="13"/>
  <c r="AD54" i="13" s="1"/>
  <c r="K54" i="13"/>
  <c r="L54" i="13"/>
  <c r="M54" i="13"/>
  <c r="AI54" i="13" s="1"/>
  <c r="N54" i="13"/>
  <c r="AJ54" i="13" s="1"/>
  <c r="O54" i="13"/>
  <c r="AK54" i="13" s="1"/>
  <c r="P54" i="13"/>
  <c r="D55" i="13"/>
  <c r="E55" i="13"/>
  <c r="AA55" i="13" s="1"/>
  <c r="F55" i="13"/>
  <c r="AB55" i="13" s="1"/>
  <c r="G55" i="13"/>
  <c r="AC55" i="13" s="1"/>
  <c r="H55" i="13"/>
  <c r="AD55" i="13" s="1"/>
  <c r="K55" i="13"/>
  <c r="L55" i="13"/>
  <c r="AH55" i="13" s="1"/>
  <c r="M55" i="13"/>
  <c r="AI55" i="13" s="1"/>
  <c r="N55" i="13"/>
  <c r="AJ55" i="13" s="1"/>
  <c r="O55" i="13"/>
  <c r="AK55" i="13" s="1"/>
  <c r="P55" i="13"/>
  <c r="D56" i="13"/>
  <c r="E56" i="13"/>
  <c r="AA56" i="13" s="1"/>
  <c r="F56" i="13"/>
  <c r="AB56" i="13" s="1"/>
  <c r="G56" i="13"/>
  <c r="AC56" i="13" s="1"/>
  <c r="H56" i="13"/>
  <c r="AD56" i="13" s="1"/>
  <c r="K56" i="13"/>
  <c r="AG56" i="13" s="1"/>
  <c r="L56" i="13"/>
  <c r="AH56" i="13" s="1"/>
  <c r="M56" i="13"/>
  <c r="AI56" i="13" s="1"/>
  <c r="N56" i="13"/>
  <c r="AJ56" i="13" s="1"/>
  <c r="O56" i="13"/>
  <c r="AK56" i="13" s="1"/>
  <c r="P56" i="13"/>
  <c r="AL56" i="13" s="1"/>
  <c r="D57" i="13"/>
  <c r="Z57" i="13" s="1"/>
  <c r="E57" i="13"/>
  <c r="AA57" i="13" s="1"/>
  <c r="F57" i="13"/>
  <c r="AB57" i="13" s="1"/>
  <c r="G57" i="13"/>
  <c r="AC57" i="13" s="1"/>
  <c r="H57" i="13"/>
  <c r="K57" i="13"/>
  <c r="AG57" i="13" s="1"/>
  <c r="L57" i="13"/>
  <c r="M57" i="13"/>
  <c r="AI57" i="13" s="1"/>
  <c r="N57" i="13"/>
  <c r="AJ57" i="13" s="1"/>
  <c r="O57" i="13"/>
  <c r="AK57" i="13" s="1"/>
  <c r="D58" i="13"/>
  <c r="Z58" i="13" s="1"/>
  <c r="E58" i="13"/>
  <c r="AA58" i="13" s="1"/>
  <c r="F58" i="13"/>
  <c r="AB58" i="13" s="1"/>
  <c r="G58" i="13"/>
  <c r="AC58" i="13" s="1"/>
  <c r="H58" i="13"/>
  <c r="AD58" i="13" s="1"/>
  <c r="K58" i="13"/>
  <c r="AG58" i="13" s="1"/>
  <c r="L58" i="13"/>
  <c r="AH58" i="13" s="1"/>
  <c r="M58" i="13"/>
  <c r="AI58" i="13" s="1"/>
  <c r="N58" i="13"/>
  <c r="AJ58" i="13" s="1"/>
  <c r="O58" i="13"/>
  <c r="AK58" i="13" s="1"/>
  <c r="P58" i="13"/>
  <c r="AL58" i="13" s="1"/>
  <c r="D59" i="13"/>
  <c r="E59" i="13"/>
  <c r="AA59" i="13" s="1"/>
  <c r="F59" i="13"/>
  <c r="G59" i="13"/>
  <c r="H59" i="13"/>
  <c r="AD59" i="13" s="1"/>
  <c r="K59" i="13"/>
  <c r="AG59" i="13" s="1"/>
  <c r="L59" i="13"/>
  <c r="AH59" i="13" s="1"/>
  <c r="M59" i="13"/>
  <c r="AI59" i="13" s="1"/>
  <c r="N59" i="13"/>
  <c r="AJ59" i="13" s="1"/>
  <c r="O59" i="13"/>
  <c r="AK59" i="13" s="1"/>
  <c r="P59" i="13"/>
  <c r="AL59" i="13" s="1"/>
  <c r="D60" i="13"/>
  <c r="E60" i="13"/>
  <c r="F60" i="13"/>
  <c r="AB60" i="13" s="1"/>
  <c r="G60" i="13"/>
  <c r="AC60" i="13" s="1"/>
  <c r="H60" i="13"/>
  <c r="K60" i="13"/>
  <c r="AG60" i="13" s="1"/>
  <c r="L60" i="13"/>
  <c r="AH60" i="13" s="1"/>
  <c r="M60" i="13"/>
  <c r="N60" i="13"/>
  <c r="O60" i="13"/>
  <c r="P60" i="13"/>
  <c r="AL60" i="13" s="1"/>
  <c r="D61" i="13"/>
  <c r="E61" i="13"/>
  <c r="AA61" i="13" s="1"/>
  <c r="F61" i="13"/>
  <c r="AB61" i="13" s="1"/>
  <c r="G61" i="13"/>
  <c r="AC61" i="13" s="1"/>
  <c r="H61" i="13"/>
  <c r="AD61" i="13" s="1"/>
  <c r="K61" i="13"/>
  <c r="AG61" i="13" s="1"/>
  <c r="L61" i="13"/>
  <c r="AH61" i="13" s="1"/>
  <c r="M61" i="13"/>
  <c r="AI61" i="13" s="1"/>
  <c r="N61" i="13"/>
  <c r="AJ61" i="13" s="1"/>
  <c r="O61" i="13"/>
  <c r="AK61" i="13" s="1"/>
  <c r="P61" i="13"/>
  <c r="D62" i="13"/>
  <c r="Z62" i="13" s="1"/>
  <c r="E62" i="13"/>
  <c r="AA62" i="13" s="1"/>
  <c r="F62" i="13"/>
  <c r="AB62" i="13" s="1"/>
  <c r="G62" i="13"/>
  <c r="H62" i="13"/>
  <c r="AD62" i="13" s="1"/>
  <c r="K62" i="13"/>
  <c r="AG62" i="13" s="1"/>
  <c r="L62" i="13"/>
  <c r="M62" i="13"/>
  <c r="AI62" i="13" s="1"/>
  <c r="N62" i="13"/>
  <c r="AJ62" i="13" s="1"/>
  <c r="O62" i="13"/>
  <c r="AK62" i="13" s="1"/>
  <c r="P62" i="13"/>
  <c r="D63" i="13"/>
  <c r="E63" i="13"/>
  <c r="AA63" i="13" s="1"/>
  <c r="F63" i="13"/>
  <c r="AB63" i="13" s="1"/>
  <c r="G63" i="13"/>
  <c r="H63" i="13"/>
  <c r="AD63" i="13" s="1"/>
  <c r="K63" i="13"/>
  <c r="AG63" i="13" s="1"/>
  <c r="L63" i="13"/>
  <c r="AH63" i="13" s="1"/>
  <c r="M63" i="13"/>
  <c r="AI63" i="13" s="1"/>
  <c r="N63" i="13"/>
  <c r="O63" i="13"/>
  <c r="AK63" i="13" s="1"/>
  <c r="P63" i="13"/>
  <c r="AL63" i="13" s="1"/>
  <c r="D64" i="13"/>
  <c r="E64" i="13"/>
  <c r="F64" i="13"/>
  <c r="AB64" i="13" s="1"/>
  <c r="G64" i="13"/>
  <c r="H64" i="13"/>
  <c r="AD64" i="13" s="1"/>
  <c r="K64" i="13"/>
  <c r="AG64" i="13" s="1"/>
  <c r="L64" i="13"/>
  <c r="AH64" i="13" s="1"/>
  <c r="M64" i="13"/>
  <c r="N64" i="13"/>
  <c r="AJ64" i="13" s="1"/>
  <c r="O64" i="13"/>
  <c r="AK64" i="13" s="1"/>
  <c r="P64" i="13"/>
  <c r="AL64" i="13" s="1"/>
  <c r="D65" i="13"/>
  <c r="Z65" i="13" s="1"/>
  <c r="E65" i="13"/>
  <c r="F65" i="13"/>
  <c r="G65" i="13"/>
  <c r="AC65" i="13" s="1"/>
  <c r="H65" i="13"/>
  <c r="AD65" i="13" s="1"/>
  <c r="K65" i="13"/>
  <c r="L65" i="13"/>
  <c r="M65" i="13"/>
  <c r="AI65" i="13" s="1"/>
  <c r="N65" i="13"/>
  <c r="AJ65" i="13" s="1"/>
  <c r="O65" i="13"/>
  <c r="AK65" i="13" s="1"/>
  <c r="P65" i="13"/>
  <c r="AL65" i="13" s="1"/>
  <c r="D66" i="13"/>
  <c r="Z66" i="13" s="1"/>
  <c r="E66" i="13"/>
  <c r="F66" i="13"/>
  <c r="AB66" i="13" s="1"/>
  <c r="G66" i="13"/>
  <c r="AC66" i="13" s="1"/>
  <c r="H66" i="13"/>
  <c r="AD66" i="13" s="1"/>
  <c r="K66" i="13"/>
  <c r="L66" i="13"/>
  <c r="M66" i="13"/>
  <c r="AI66" i="13" s="1"/>
  <c r="N66" i="13"/>
  <c r="AJ66" i="13" s="1"/>
  <c r="O66" i="13"/>
  <c r="AK66" i="13" s="1"/>
  <c r="P66" i="13"/>
  <c r="AL66" i="13" s="1"/>
  <c r="D67" i="13"/>
  <c r="E67" i="13"/>
  <c r="AA67" i="13" s="1"/>
  <c r="F67" i="13"/>
  <c r="AB67" i="13" s="1"/>
  <c r="G67" i="13"/>
  <c r="AC67" i="13" s="1"/>
  <c r="H67" i="13"/>
  <c r="AD67" i="13" s="1"/>
  <c r="K67" i="13"/>
  <c r="L67" i="13"/>
  <c r="AH67" i="13" s="1"/>
  <c r="M67" i="13"/>
  <c r="AI67" i="13" s="1"/>
  <c r="N67" i="13"/>
  <c r="AJ67" i="13" s="1"/>
  <c r="O67" i="13"/>
  <c r="AK67" i="13" s="1"/>
  <c r="P67" i="13"/>
  <c r="AL67" i="13" s="1"/>
  <c r="D68" i="13"/>
  <c r="E68" i="13"/>
  <c r="AA68" i="13" s="1"/>
  <c r="F68" i="13"/>
  <c r="AB68" i="13" s="1"/>
  <c r="G68" i="13"/>
  <c r="AC68" i="13" s="1"/>
  <c r="H68" i="13"/>
  <c r="K68" i="13"/>
  <c r="AG68" i="13" s="1"/>
  <c r="L68" i="13"/>
  <c r="AH68" i="13" s="1"/>
  <c r="M68" i="13"/>
  <c r="N68" i="13"/>
  <c r="O68" i="13"/>
  <c r="P68" i="13"/>
  <c r="AL68" i="13" s="1"/>
  <c r="D69" i="13"/>
  <c r="Z69" i="13" s="1"/>
  <c r="E69" i="13"/>
  <c r="AA69" i="13" s="1"/>
  <c r="F69" i="13"/>
  <c r="AB69" i="13" s="1"/>
  <c r="G69" i="13"/>
  <c r="H69" i="13"/>
  <c r="AD69" i="13" s="1"/>
  <c r="K69" i="13"/>
  <c r="AG69" i="13" s="1"/>
  <c r="L69" i="13"/>
  <c r="AH69" i="13" s="1"/>
  <c r="M69" i="13"/>
  <c r="AI69" i="13" s="1"/>
  <c r="N69" i="13"/>
  <c r="AJ69" i="13" s="1"/>
  <c r="O69" i="13"/>
  <c r="AK69" i="13" s="1"/>
  <c r="P69" i="13"/>
  <c r="AL69" i="13" s="1"/>
  <c r="D70" i="13"/>
  <c r="Z70" i="13" s="1"/>
  <c r="E70" i="13"/>
  <c r="AA70" i="13" s="1"/>
  <c r="F70" i="13"/>
  <c r="AB70" i="13" s="1"/>
  <c r="G70" i="13"/>
  <c r="H70" i="13"/>
  <c r="AD70" i="13" s="1"/>
  <c r="K70" i="13"/>
  <c r="AG70" i="13" s="1"/>
  <c r="L70" i="13"/>
  <c r="AH70" i="13" s="1"/>
  <c r="M70" i="13"/>
  <c r="AI70" i="13" s="1"/>
  <c r="N70" i="13"/>
  <c r="AJ70" i="13" s="1"/>
  <c r="O70" i="13"/>
  <c r="AK70" i="13" s="1"/>
  <c r="P70" i="13"/>
  <c r="D71" i="13"/>
  <c r="E71" i="13"/>
  <c r="AA71" i="13" s="1"/>
  <c r="F71" i="13"/>
  <c r="G71" i="13"/>
  <c r="H71" i="13"/>
  <c r="AD71" i="13" s="1"/>
  <c r="K71" i="13"/>
  <c r="AG71" i="13" s="1"/>
  <c r="L71" i="13"/>
  <c r="AH71" i="13" s="1"/>
  <c r="M71" i="13"/>
  <c r="AI71" i="13" s="1"/>
  <c r="N71" i="13"/>
  <c r="O71" i="13"/>
  <c r="AK71" i="13" s="1"/>
  <c r="P71" i="13"/>
  <c r="D72" i="13"/>
  <c r="E72" i="13"/>
  <c r="F72" i="13"/>
  <c r="AB72" i="13" s="1"/>
  <c r="G72" i="13"/>
  <c r="H72" i="13"/>
  <c r="AD72" i="13" s="1"/>
  <c r="K72" i="13"/>
  <c r="AG72" i="13" s="1"/>
  <c r="L72" i="13"/>
  <c r="AH72" i="13" s="1"/>
  <c r="M72" i="13"/>
  <c r="AI72" i="13" s="1"/>
  <c r="N72" i="13"/>
  <c r="AJ72" i="13" s="1"/>
  <c r="O72" i="13"/>
  <c r="AK72" i="13" s="1"/>
  <c r="P72" i="13"/>
  <c r="AL72" i="13" s="1"/>
  <c r="D73" i="13"/>
  <c r="E73" i="13"/>
  <c r="F73" i="13"/>
  <c r="G73" i="13"/>
  <c r="AC73" i="13" s="1"/>
  <c r="H73" i="13"/>
  <c r="AD73" i="13" s="1"/>
  <c r="K73" i="13"/>
  <c r="L73" i="13"/>
  <c r="AH73" i="13" s="1"/>
  <c r="M73" i="13"/>
  <c r="AI73" i="13" s="1"/>
  <c r="N73" i="13"/>
  <c r="AJ73" i="13" s="1"/>
  <c r="O73" i="13"/>
  <c r="AK73" i="13" s="1"/>
  <c r="P73" i="13"/>
  <c r="D74" i="13"/>
  <c r="Z74" i="13" s="1"/>
  <c r="E74" i="13"/>
  <c r="AA74" i="13" s="1"/>
  <c r="F74" i="13"/>
  <c r="AB74" i="13" s="1"/>
  <c r="G74" i="13"/>
  <c r="AC74" i="13" s="1"/>
  <c r="H74" i="13"/>
  <c r="AD74" i="13" s="1"/>
  <c r="K74" i="13"/>
  <c r="AG74" i="13" s="1"/>
  <c r="L74" i="13"/>
  <c r="M74" i="13"/>
  <c r="AI74" i="13" s="1"/>
  <c r="N74" i="13"/>
  <c r="AJ74" i="13" s="1"/>
  <c r="O74" i="13"/>
  <c r="AK74" i="13" s="1"/>
  <c r="P74" i="13"/>
  <c r="AL74" i="13" s="1"/>
  <c r="D75" i="13"/>
  <c r="E75" i="13"/>
  <c r="F75" i="13"/>
  <c r="AB75" i="13" s="1"/>
  <c r="G75" i="13"/>
  <c r="AC75" i="13" s="1"/>
  <c r="H75" i="13"/>
  <c r="K75" i="13"/>
  <c r="AG75" i="13" s="1"/>
  <c r="L75" i="13"/>
  <c r="AH75" i="13" s="1"/>
  <c r="M75" i="13"/>
  <c r="AI75" i="13" s="1"/>
  <c r="N75" i="13"/>
  <c r="AJ75" i="13" s="1"/>
  <c r="O75" i="13"/>
  <c r="AK75" i="13" s="1"/>
  <c r="P75" i="13"/>
  <c r="AL75" i="13" s="1"/>
  <c r="D76" i="13"/>
  <c r="E76" i="13"/>
  <c r="AA76" i="13" s="1"/>
  <c r="F76" i="13"/>
  <c r="AB76" i="13" s="1"/>
  <c r="G76" i="13"/>
  <c r="H76" i="13"/>
  <c r="AD76" i="13" s="1"/>
  <c r="K76" i="13"/>
  <c r="L76" i="13"/>
  <c r="AH76" i="13" s="1"/>
  <c r="M76" i="13"/>
  <c r="N76" i="13"/>
  <c r="O76" i="13"/>
  <c r="P76" i="13"/>
  <c r="AL76" i="13" s="1"/>
  <c r="D77" i="13"/>
  <c r="Z77" i="13" s="1"/>
  <c r="E77" i="13"/>
  <c r="F77" i="13"/>
  <c r="AB77" i="13" s="1"/>
  <c r="G77" i="13"/>
  <c r="AC77" i="13" s="1"/>
  <c r="H77" i="13"/>
  <c r="K77" i="13"/>
  <c r="AG77" i="13" s="1"/>
  <c r="L77" i="13"/>
  <c r="M77" i="13"/>
  <c r="AI77" i="13" s="1"/>
  <c r="N77" i="13"/>
  <c r="AJ77" i="13" s="1"/>
  <c r="O77" i="13"/>
  <c r="AK77" i="13" s="1"/>
  <c r="P77" i="13"/>
  <c r="AL77" i="13" s="1"/>
  <c r="D78" i="13"/>
  <c r="Z78" i="13" s="1"/>
  <c r="E78" i="13"/>
  <c r="AA78" i="13" s="1"/>
  <c r="F78" i="13"/>
  <c r="G78" i="13"/>
  <c r="H78" i="13"/>
  <c r="AD78" i="13" s="1"/>
  <c r="K78" i="13"/>
  <c r="L78" i="13"/>
  <c r="AH78" i="13" s="1"/>
  <c r="M78" i="13"/>
  <c r="AI78" i="13" s="1"/>
  <c r="N78" i="13"/>
  <c r="AJ78" i="13" s="1"/>
  <c r="O78" i="13"/>
  <c r="AK78" i="13" s="1"/>
  <c r="P78" i="13"/>
  <c r="D79" i="13"/>
  <c r="E79" i="13"/>
  <c r="AA79" i="13" s="1"/>
  <c r="F79" i="13"/>
  <c r="AB79" i="13" s="1"/>
  <c r="G79" i="13"/>
  <c r="AC79" i="13" s="1"/>
  <c r="H79" i="13"/>
  <c r="K79" i="13"/>
  <c r="AG79" i="13" s="1"/>
  <c r="L79" i="13"/>
  <c r="AH79" i="13" s="1"/>
  <c r="M79" i="13"/>
  <c r="AI79" i="13" s="1"/>
  <c r="N79" i="13"/>
  <c r="O79" i="13"/>
  <c r="AK79" i="13" s="1"/>
  <c r="P79" i="13"/>
  <c r="AL79" i="13" s="1"/>
  <c r="D80" i="13"/>
  <c r="E80" i="13"/>
  <c r="AA80" i="13" s="1"/>
  <c r="F80" i="13"/>
  <c r="G80" i="13"/>
  <c r="AC80" i="13" s="1"/>
  <c r="H80" i="13"/>
  <c r="AD80" i="13" s="1"/>
  <c r="K80" i="13"/>
  <c r="L80" i="13"/>
  <c r="AH80" i="13" s="1"/>
  <c r="M80" i="13"/>
  <c r="AI80" i="13" s="1"/>
  <c r="N80" i="13"/>
  <c r="AJ80" i="13" s="1"/>
  <c r="O80" i="13"/>
  <c r="AK80" i="13" s="1"/>
  <c r="P80" i="13"/>
  <c r="AL80" i="13" s="1"/>
  <c r="D81" i="13"/>
  <c r="Z81" i="13" s="1"/>
  <c r="E81" i="13"/>
  <c r="F81" i="13"/>
  <c r="AB81" i="13" s="1"/>
  <c r="G81" i="13"/>
  <c r="AC81" i="13" s="1"/>
  <c r="H81" i="13"/>
  <c r="AD81" i="13" s="1"/>
  <c r="K81" i="13"/>
  <c r="AG81" i="13" s="1"/>
  <c r="L81" i="13"/>
  <c r="AH81" i="13" s="1"/>
  <c r="M81" i="13"/>
  <c r="AI81" i="13" s="1"/>
  <c r="N81" i="13"/>
  <c r="AJ81" i="13" s="1"/>
  <c r="O81" i="13"/>
  <c r="AK81" i="13" s="1"/>
  <c r="P81" i="13"/>
  <c r="AL81" i="13" s="1"/>
  <c r="D82" i="13"/>
  <c r="Z82" i="13" s="1"/>
  <c r="E82" i="13"/>
  <c r="AA82" i="13" s="1"/>
  <c r="F82" i="13"/>
  <c r="G82" i="13"/>
  <c r="H82" i="13"/>
  <c r="AD82" i="13" s="1"/>
  <c r="K82" i="13"/>
  <c r="AG82" i="13" s="1"/>
  <c r="L82" i="13"/>
  <c r="M82" i="13"/>
  <c r="AI82" i="13" s="1"/>
  <c r="N82" i="13"/>
  <c r="AJ82" i="13" s="1"/>
  <c r="O82" i="13"/>
  <c r="AK82" i="13" s="1"/>
  <c r="P82" i="13"/>
  <c r="AL82" i="13" s="1"/>
  <c r="D83" i="13"/>
  <c r="E83" i="13"/>
  <c r="F83" i="13"/>
  <c r="G83" i="13"/>
  <c r="AC83" i="13" s="1"/>
  <c r="H83" i="13"/>
  <c r="K83" i="13"/>
  <c r="AG83" i="13" s="1"/>
  <c r="L83" i="13"/>
  <c r="AH83" i="13" s="1"/>
  <c r="M83" i="13"/>
  <c r="AI83" i="13" s="1"/>
  <c r="N83" i="13"/>
  <c r="AJ83" i="13" s="1"/>
  <c r="O83" i="13"/>
  <c r="AK83" i="13" s="1"/>
  <c r="P83" i="13"/>
  <c r="AL83" i="13" s="1"/>
  <c r="D84" i="13"/>
  <c r="E84" i="13"/>
  <c r="AA84" i="13" s="1"/>
  <c r="F84" i="13"/>
  <c r="AB84" i="13" s="1"/>
  <c r="G84" i="13"/>
  <c r="H84" i="13"/>
  <c r="K84" i="13"/>
  <c r="AG84" i="13" s="1"/>
  <c r="L84" i="13"/>
  <c r="AH84" i="13" s="1"/>
  <c r="M84" i="13"/>
  <c r="AI84" i="13" s="1"/>
  <c r="N84" i="13"/>
  <c r="AJ84" i="13" s="1"/>
  <c r="O84" i="13"/>
  <c r="P84" i="13"/>
  <c r="D85" i="13"/>
  <c r="Z85" i="13" s="1"/>
  <c r="E85" i="13"/>
  <c r="F85" i="13"/>
  <c r="AB85" i="13" s="1"/>
  <c r="G85" i="13"/>
  <c r="AC85" i="13" s="1"/>
  <c r="H85" i="13"/>
  <c r="K85" i="13"/>
  <c r="AG85" i="13" s="1"/>
  <c r="L85" i="13"/>
  <c r="M85" i="13"/>
  <c r="N85" i="13"/>
  <c r="AJ85" i="13" s="1"/>
  <c r="O85" i="13"/>
  <c r="P85" i="13"/>
  <c r="D86" i="13"/>
  <c r="E86" i="13"/>
  <c r="F86" i="13"/>
  <c r="AB86" i="13" s="1"/>
  <c r="G86" i="13"/>
  <c r="AC86" i="13" s="1"/>
  <c r="H86" i="13"/>
  <c r="AD86" i="13" s="1"/>
  <c r="K86" i="13"/>
  <c r="AG86" i="13" s="1"/>
  <c r="L86" i="13"/>
  <c r="AH86" i="13" s="1"/>
  <c r="M86" i="13"/>
  <c r="AI86" i="13" s="1"/>
  <c r="N86" i="13"/>
  <c r="AJ86" i="13" s="1"/>
  <c r="O86" i="13"/>
  <c r="AK86" i="13" s="1"/>
  <c r="P86" i="13"/>
  <c r="AL86" i="13" s="1"/>
  <c r="P49" i="13"/>
  <c r="AL49" i="13" s="1"/>
  <c r="M49" i="13"/>
  <c r="AI49" i="13" s="1"/>
  <c r="L49" i="13"/>
  <c r="AH49" i="13" s="1"/>
  <c r="H49" i="13"/>
  <c r="AD49" i="13" s="1"/>
  <c r="G49" i="13"/>
  <c r="F49" i="13"/>
  <c r="E49" i="13"/>
  <c r="AA49" i="13" s="1"/>
  <c r="D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49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49" i="13"/>
  <c r="D49" i="11"/>
  <c r="T86" i="1" l="1"/>
  <c r="U86" i="1"/>
  <c r="U74" i="1"/>
  <c r="T74" i="1"/>
  <c r="T62" i="1"/>
  <c r="U62" i="1"/>
  <c r="U80" i="11"/>
  <c r="T80" i="11"/>
  <c r="U68" i="11"/>
  <c r="T68" i="11"/>
  <c r="T56" i="11"/>
  <c r="U56" i="11"/>
  <c r="AC82" i="13"/>
  <c r="AC70" i="13"/>
  <c r="AJ63" i="13"/>
  <c r="U76" i="19"/>
  <c r="T76" i="19"/>
  <c r="U64" i="19"/>
  <c r="T64" i="19"/>
  <c r="U52" i="19"/>
  <c r="T52" i="19"/>
  <c r="AC69" i="13"/>
  <c r="T60" i="13"/>
  <c r="U60" i="13"/>
  <c r="U71" i="13"/>
  <c r="T71" i="13"/>
  <c r="U60" i="20"/>
  <c r="T60" i="20"/>
  <c r="AI85" i="13"/>
  <c r="AH85" i="13"/>
  <c r="AB80" i="13"/>
  <c r="U73" i="20"/>
  <c r="T73" i="20"/>
  <c r="U84" i="20"/>
  <c r="T84" i="20"/>
  <c r="AI60" i="13"/>
  <c r="T72" i="13"/>
  <c r="U72" i="13"/>
  <c r="U58" i="13"/>
  <c r="T58" i="13"/>
  <c r="T59" i="20"/>
  <c r="U59" i="20"/>
  <c r="Z56" i="13"/>
  <c r="U61" i="20"/>
  <c r="T61" i="20"/>
  <c r="U59" i="13"/>
  <c r="T59" i="13"/>
  <c r="U72" i="20"/>
  <c r="T72" i="20"/>
  <c r="U83" i="20"/>
  <c r="T83" i="20"/>
  <c r="Z79" i="13"/>
  <c r="Z67" i="13"/>
  <c r="AA66" i="13"/>
  <c r="Z55" i="13"/>
  <c r="U85" i="20"/>
  <c r="T85" i="20"/>
  <c r="T82" i="13"/>
  <c r="U82" i="13"/>
  <c r="U71" i="20"/>
  <c r="T71" i="20"/>
  <c r="AL54" i="13"/>
  <c r="U84" i="13"/>
  <c r="T84" i="13"/>
  <c r="U83" i="13"/>
  <c r="T83" i="13"/>
  <c r="T70" i="13"/>
  <c r="U70" i="13"/>
  <c r="T81" i="13"/>
  <c r="U81" i="13"/>
  <c r="T69" i="13"/>
  <c r="U69" i="13"/>
  <c r="U57" i="13"/>
  <c r="T57" i="13"/>
  <c r="U82" i="20"/>
  <c r="T82" i="20"/>
  <c r="U70" i="20"/>
  <c r="T70" i="20"/>
  <c r="T58" i="20"/>
  <c r="U58" i="20"/>
  <c r="AK75" i="20"/>
  <c r="U75" i="19"/>
  <c r="T75" i="19"/>
  <c r="U63" i="19"/>
  <c r="T63" i="19"/>
  <c r="U51" i="19"/>
  <c r="T51" i="19"/>
  <c r="AB87" i="1"/>
  <c r="AC86" i="1"/>
  <c r="AD85" i="1"/>
  <c r="AE84" i="1"/>
  <c r="AF83" i="1"/>
  <c r="AG82" i="1"/>
  <c r="AH81" i="1"/>
  <c r="AI80" i="1"/>
  <c r="AJ79" i="1"/>
  <c r="Z77" i="1"/>
  <c r="AA76" i="1"/>
  <c r="AB75" i="1"/>
  <c r="AC74" i="1"/>
  <c r="AD73" i="1"/>
  <c r="AE72" i="1"/>
  <c r="AF71" i="1"/>
  <c r="AG70" i="1"/>
  <c r="AH69" i="1"/>
  <c r="AI68" i="1"/>
  <c r="AJ67" i="1"/>
  <c r="AL65" i="1"/>
  <c r="Z65" i="1"/>
  <c r="AA64" i="1"/>
  <c r="AB63" i="1"/>
  <c r="AC62" i="1"/>
  <c r="AD61" i="1"/>
  <c r="AE60" i="1"/>
  <c r="AF59" i="1"/>
  <c r="AG58" i="1"/>
  <c r="AH57" i="1"/>
  <c r="AI56" i="1"/>
  <c r="AJ55" i="1"/>
  <c r="AL53" i="1"/>
  <c r="Z53" i="1"/>
  <c r="AA52" i="1"/>
  <c r="U85" i="1"/>
  <c r="T85" i="1"/>
  <c r="U73" i="1"/>
  <c r="T73" i="1"/>
  <c r="U61" i="1"/>
  <c r="T61" i="1"/>
  <c r="U79" i="11"/>
  <c r="T79" i="11"/>
  <c r="U67" i="11"/>
  <c r="T67" i="11"/>
  <c r="U55" i="11"/>
  <c r="T55" i="11"/>
  <c r="AL82" i="20"/>
  <c r="AL70" i="20"/>
  <c r="AL58" i="20"/>
  <c r="T80" i="13"/>
  <c r="U80" i="13"/>
  <c r="T68" i="13"/>
  <c r="U68" i="13"/>
  <c r="U56" i="13"/>
  <c r="T56" i="13"/>
  <c r="AB83" i="13"/>
  <c r="AI76" i="13"/>
  <c r="AI64" i="13"/>
  <c r="AB59" i="13"/>
  <c r="U81" i="20"/>
  <c r="T81" i="20"/>
  <c r="U69" i="20"/>
  <c r="T69" i="20"/>
  <c r="U57" i="20"/>
  <c r="T57" i="20"/>
  <c r="AG85" i="11"/>
  <c r="AA79" i="11"/>
  <c r="AG73" i="11"/>
  <c r="AA67" i="11"/>
  <c r="AG61" i="11"/>
  <c r="AA55" i="11"/>
  <c r="AH81" i="19"/>
  <c r="AH75" i="19"/>
  <c r="AH69" i="19"/>
  <c r="AH63" i="19"/>
  <c r="AH57" i="19"/>
  <c r="AF62" i="20"/>
  <c r="AF56" i="20"/>
  <c r="U86" i="19"/>
  <c r="T86" i="19"/>
  <c r="U74" i="19"/>
  <c r="T74" i="19"/>
  <c r="T62" i="19"/>
  <c r="U62" i="19"/>
  <c r="Z51" i="1"/>
  <c r="AL51" i="1"/>
  <c r="AA87" i="1"/>
  <c r="AB86" i="1"/>
  <c r="AC85" i="1"/>
  <c r="AD84" i="1"/>
  <c r="AE83" i="1"/>
  <c r="AF82" i="1"/>
  <c r="AG81" i="1"/>
  <c r="AH80" i="1"/>
  <c r="AI79" i="1"/>
  <c r="AL76" i="1"/>
  <c r="Z76" i="1"/>
  <c r="AA75" i="1"/>
  <c r="AB74" i="1"/>
  <c r="AC73" i="1"/>
  <c r="AD72" i="1"/>
  <c r="AE71" i="1"/>
  <c r="AF70" i="1"/>
  <c r="AG69" i="1"/>
  <c r="AH68" i="1"/>
  <c r="AI67" i="1"/>
  <c r="AL64" i="1"/>
  <c r="Z64" i="1"/>
  <c r="AA63" i="1"/>
  <c r="AB62" i="1"/>
  <c r="AC61" i="1"/>
  <c r="AD60" i="1"/>
  <c r="AE59" i="1"/>
  <c r="AF58" i="1"/>
  <c r="AG57" i="1"/>
  <c r="AH56" i="1"/>
  <c r="AI55" i="1"/>
  <c r="AL52" i="1"/>
  <c r="Z52" i="1"/>
  <c r="U84" i="1"/>
  <c r="T84" i="1"/>
  <c r="U72" i="1"/>
  <c r="T72" i="1"/>
  <c r="U60" i="1"/>
  <c r="T60" i="1"/>
  <c r="U78" i="11"/>
  <c r="T78" i="11"/>
  <c r="U66" i="11"/>
  <c r="T66" i="11"/>
  <c r="U54" i="11"/>
  <c r="T54" i="11"/>
  <c r="T67" i="13"/>
  <c r="U67" i="13"/>
  <c r="AH53" i="13"/>
  <c r="U80" i="20"/>
  <c r="T80" i="20"/>
  <c r="U68" i="20"/>
  <c r="T68" i="20"/>
  <c r="U56" i="20"/>
  <c r="T56" i="20"/>
  <c r="AI81" i="20"/>
  <c r="AI75" i="20"/>
  <c r="AI69" i="20"/>
  <c r="U85" i="19"/>
  <c r="T85" i="19"/>
  <c r="U73" i="19"/>
  <c r="T73" i="19"/>
  <c r="T61" i="19"/>
  <c r="U61" i="19"/>
  <c r="AA51" i="1"/>
  <c r="AL87" i="1"/>
  <c r="AA86" i="1"/>
  <c r="AB85" i="1"/>
  <c r="AC84" i="1"/>
  <c r="AD83" i="1"/>
  <c r="AE82" i="1"/>
  <c r="AF81" i="1"/>
  <c r="AG80" i="1"/>
  <c r="AH79" i="1"/>
  <c r="AI78" i="1"/>
  <c r="AL75" i="1"/>
  <c r="Z75" i="1"/>
  <c r="AA74" i="1"/>
  <c r="AB73" i="1"/>
  <c r="AC72" i="1"/>
  <c r="AD71" i="1"/>
  <c r="AE70" i="1"/>
  <c r="AF69" i="1"/>
  <c r="AG68" i="1"/>
  <c r="AH67" i="1"/>
  <c r="AI66" i="1"/>
  <c r="AL63" i="1"/>
  <c r="Z63" i="1"/>
  <c r="AA62" i="1"/>
  <c r="AB61" i="1"/>
  <c r="AC60" i="1"/>
  <c r="AD59" i="1"/>
  <c r="AE58" i="1"/>
  <c r="AF57" i="1"/>
  <c r="AG56" i="1"/>
  <c r="AH55" i="1"/>
  <c r="AI54" i="1"/>
  <c r="U83" i="1"/>
  <c r="T83" i="1"/>
  <c r="T71" i="1"/>
  <c r="U71" i="1"/>
  <c r="U59" i="1"/>
  <c r="T59" i="1"/>
  <c r="U77" i="11"/>
  <c r="T77" i="11"/>
  <c r="T65" i="11"/>
  <c r="U65" i="11"/>
  <c r="U53" i="11"/>
  <c r="T53" i="11"/>
  <c r="AE75" i="13"/>
  <c r="AF65" i="13"/>
  <c r="AF53" i="13"/>
  <c r="T79" i="13"/>
  <c r="U79" i="13"/>
  <c r="T78" i="13"/>
  <c r="U78" i="13"/>
  <c r="U66" i="13"/>
  <c r="T66" i="13"/>
  <c r="U54" i="13"/>
  <c r="T54" i="13"/>
  <c r="AH77" i="13"/>
  <c r="AH65" i="13"/>
  <c r="AA60" i="13"/>
  <c r="U79" i="20"/>
  <c r="T79" i="20"/>
  <c r="U67" i="20"/>
  <c r="T67" i="20"/>
  <c r="U55" i="20"/>
  <c r="T55" i="20"/>
  <c r="AF84" i="11"/>
  <c r="Z78" i="11"/>
  <c r="AF72" i="11"/>
  <c r="Z66" i="11"/>
  <c r="AF60" i="11"/>
  <c r="Z54" i="11"/>
  <c r="AE74" i="19"/>
  <c r="AE68" i="19"/>
  <c r="AE62" i="19"/>
  <c r="AE56" i="19"/>
  <c r="AD61" i="20"/>
  <c r="AD55" i="20"/>
  <c r="U84" i="19"/>
  <c r="T84" i="19"/>
  <c r="T72" i="19"/>
  <c r="U72" i="19"/>
  <c r="T60" i="19"/>
  <c r="U60" i="19"/>
  <c r="AB51" i="1"/>
  <c r="AL86" i="1"/>
  <c r="Z86" i="1"/>
  <c r="AA85" i="1"/>
  <c r="AB84" i="1"/>
  <c r="AC83" i="1"/>
  <c r="AD82" i="1"/>
  <c r="AE81" i="1"/>
  <c r="AF80" i="1"/>
  <c r="AG79" i="1"/>
  <c r="AH78" i="1"/>
  <c r="AI77" i="1"/>
  <c r="AL74" i="1"/>
  <c r="Z74" i="1"/>
  <c r="AA73" i="1"/>
  <c r="AB72" i="1"/>
  <c r="AC71" i="1"/>
  <c r="AD70" i="1"/>
  <c r="AE69" i="1"/>
  <c r="AF68" i="1"/>
  <c r="AG67" i="1"/>
  <c r="AH66" i="1"/>
  <c r="AI65" i="1"/>
  <c r="AL62" i="1"/>
  <c r="Z62" i="1"/>
  <c r="AA61" i="1"/>
  <c r="AB60" i="1"/>
  <c r="AC59" i="1"/>
  <c r="AD58" i="1"/>
  <c r="AE57" i="1"/>
  <c r="AF56" i="1"/>
  <c r="AG55" i="1"/>
  <c r="AH54" i="1"/>
  <c r="AI53" i="1"/>
  <c r="U82" i="1"/>
  <c r="T82" i="1"/>
  <c r="T70" i="1"/>
  <c r="U70" i="1"/>
  <c r="T58" i="1"/>
  <c r="U58" i="1"/>
  <c r="T76" i="11"/>
  <c r="U76" i="11"/>
  <c r="U64" i="11"/>
  <c r="T64" i="11"/>
  <c r="T52" i="11"/>
  <c r="U52" i="11"/>
  <c r="AE74" i="13"/>
  <c r="U55" i="13"/>
  <c r="T55" i="13"/>
  <c r="AB49" i="13"/>
  <c r="T77" i="13"/>
  <c r="U77" i="13"/>
  <c r="U65" i="13"/>
  <c r="T65" i="13"/>
  <c r="U53" i="13"/>
  <c r="T53" i="13"/>
  <c r="Z84" i="13"/>
  <c r="AG54" i="13"/>
  <c r="U78" i="20"/>
  <c r="T78" i="20"/>
  <c r="T66" i="20"/>
  <c r="U66" i="20"/>
  <c r="U54" i="20"/>
  <c r="T54" i="20"/>
  <c r="AF86" i="20"/>
  <c r="AF80" i="20"/>
  <c r="AF74" i="20"/>
  <c r="AF68" i="20"/>
  <c r="T83" i="19"/>
  <c r="U83" i="19"/>
  <c r="T71" i="19"/>
  <c r="U71" i="19"/>
  <c r="T59" i="19"/>
  <c r="U59" i="19"/>
  <c r="AC51" i="1"/>
  <c r="AL85" i="1"/>
  <c r="Z85" i="1"/>
  <c r="AA84" i="1"/>
  <c r="AB83" i="1"/>
  <c r="AC82" i="1"/>
  <c r="AD81" i="1"/>
  <c r="AE80" i="1"/>
  <c r="AF79" i="1"/>
  <c r="AG78" i="1"/>
  <c r="AH77" i="1"/>
  <c r="AI76" i="1"/>
  <c r="AL73" i="1"/>
  <c r="Z73" i="1"/>
  <c r="AA72" i="1"/>
  <c r="AB71" i="1"/>
  <c r="AC70" i="1"/>
  <c r="AD69" i="1"/>
  <c r="AE68" i="1"/>
  <c r="AF67" i="1"/>
  <c r="AG66" i="1"/>
  <c r="AH65" i="1"/>
  <c r="AI64" i="1"/>
  <c r="AL61" i="1"/>
  <c r="Z61" i="1"/>
  <c r="AA60" i="1"/>
  <c r="AB59" i="1"/>
  <c r="AC58" i="1"/>
  <c r="AD57" i="1"/>
  <c r="AE56" i="1"/>
  <c r="AF55" i="1"/>
  <c r="AG54" i="1"/>
  <c r="AH53" i="1"/>
  <c r="AI52" i="1"/>
  <c r="U81" i="1"/>
  <c r="T81" i="1"/>
  <c r="U69" i="1"/>
  <c r="T69" i="1"/>
  <c r="U57" i="1"/>
  <c r="T57" i="1"/>
  <c r="U75" i="11"/>
  <c r="T75" i="11"/>
  <c r="U63" i="11"/>
  <c r="T63" i="11"/>
  <c r="U51" i="11"/>
  <c r="T51" i="11"/>
  <c r="AL78" i="20"/>
  <c r="AL66" i="20"/>
  <c r="AL54" i="20"/>
  <c r="T64" i="13"/>
  <c r="U64" i="13"/>
  <c r="Z73" i="13"/>
  <c r="AG66" i="13"/>
  <c r="Z61" i="13"/>
  <c r="U77" i="20"/>
  <c r="T77" i="20"/>
  <c r="T65" i="20"/>
  <c r="U65" i="20"/>
  <c r="U53" i="20"/>
  <c r="T53" i="20"/>
  <c r="AE83" i="11"/>
  <c r="AL76" i="11"/>
  <c r="AE71" i="11"/>
  <c r="AL64" i="11"/>
  <c r="AE59" i="11"/>
  <c r="AL52" i="11"/>
  <c r="AC85" i="19"/>
  <c r="AC79" i="19"/>
  <c r="AC73" i="19"/>
  <c r="AC67" i="19"/>
  <c r="AC61" i="19"/>
  <c r="AC55" i="19"/>
  <c r="AB60" i="20"/>
  <c r="AB54" i="20"/>
  <c r="T82" i="19"/>
  <c r="U82" i="19"/>
  <c r="T70" i="19"/>
  <c r="U70" i="19"/>
  <c r="T58" i="19"/>
  <c r="U58" i="19"/>
  <c r="AD51" i="1"/>
  <c r="AI87" i="1"/>
  <c r="AL84" i="1"/>
  <c r="Z84" i="1"/>
  <c r="AA83" i="1"/>
  <c r="AB82" i="1"/>
  <c r="AC81" i="1"/>
  <c r="AD80" i="1"/>
  <c r="AE79" i="1"/>
  <c r="AF78" i="1"/>
  <c r="AG77" i="1"/>
  <c r="AH76" i="1"/>
  <c r="AI75" i="1"/>
  <c r="AL72" i="1"/>
  <c r="Z72" i="1"/>
  <c r="AA71" i="1"/>
  <c r="AB70" i="1"/>
  <c r="AC69" i="1"/>
  <c r="AD68" i="1"/>
  <c r="AE67" i="1"/>
  <c r="AF66" i="1"/>
  <c r="AG65" i="1"/>
  <c r="AH64" i="1"/>
  <c r="AI63" i="1"/>
  <c r="AL60" i="1"/>
  <c r="Z60" i="1"/>
  <c r="AA59" i="1"/>
  <c r="AB58" i="1"/>
  <c r="AC57" i="1"/>
  <c r="AD56" i="1"/>
  <c r="AE55" i="1"/>
  <c r="AF54" i="1"/>
  <c r="AG53" i="1"/>
  <c r="AH52" i="1"/>
  <c r="T80" i="1"/>
  <c r="U80" i="1"/>
  <c r="T68" i="1"/>
  <c r="U68" i="1"/>
  <c r="T56" i="1"/>
  <c r="U56" i="1"/>
  <c r="T74" i="11"/>
  <c r="U74" i="11"/>
  <c r="T62" i="11"/>
  <c r="U62" i="11"/>
  <c r="T50" i="11"/>
  <c r="U50" i="11"/>
  <c r="U52" i="13"/>
  <c r="T52" i="13"/>
  <c r="U75" i="13"/>
  <c r="T75" i="13"/>
  <c r="AL84" i="13"/>
  <c r="U76" i="20"/>
  <c r="T76" i="20"/>
  <c r="U64" i="20"/>
  <c r="T64" i="20"/>
  <c r="U52" i="20"/>
  <c r="T52" i="20"/>
  <c r="AD79" i="20"/>
  <c r="AD73" i="20"/>
  <c r="AD67" i="20"/>
  <c r="T81" i="19"/>
  <c r="U81" i="19"/>
  <c r="U69" i="19"/>
  <c r="T69" i="19"/>
  <c r="U57" i="19"/>
  <c r="T57" i="19"/>
  <c r="AE51" i="1"/>
  <c r="AH87" i="1"/>
  <c r="AI86" i="1"/>
  <c r="AL83" i="1"/>
  <c r="Z83" i="1"/>
  <c r="AA82" i="1"/>
  <c r="AB81" i="1"/>
  <c r="AC80" i="1"/>
  <c r="AD79" i="1"/>
  <c r="AE78" i="1"/>
  <c r="AF77" i="1"/>
  <c r="AG76" i="1"/>
  <c r="AH75" i="1"/>
  <c r="AI74" i="1"/>
  <c r="AL71" i="1"/>
  <c r="Z71" i="1"/>
  <c r="AA70" i="1"/>
  <c r="AB69" i="1"/>
  <c r="AC68" i="1"/>
  <c r="AD67" i="1"/>
  <c r="AE66" i="1"/>
  <c r="AF65" i="1"/>
  <c r="AG64" i="1"/>
  <c r="AH63" i="1"/>
  <c r="AI62" i="1"/>
  <c r="AL59" i="1"/>
  <c r="Z59" i="1"/>
  <c r="AA58" i="1"/>
  <c r="AB57" i="1"/>
  <c r="AC56" i="1"/>
  <c r="AD55" i="1"/>
  <c r="AE54" i="1"/>
  <c r="AF53" i="1"/>
  <c r="AG52" i="1"/>
  <c r="T79" i="1"/>
  <c r="U79" i="1"/>
  <c r="T67" i="1"/>
  <c r="U67" i="1"/>
  <c r="T55" i="1"/>
  <c r="U55" i="1"/>
  <c r="T85" i="11"/>
  <c r="U85" i="11"/>
  <c r="U73" i="11"/>
  <c r="T73" i="11"/>
  <c r="T61" i="11"/>
  <c r="U61" i="11"/>
  <c r="T49" i="11"/>
  <c r="U49" i="11"/>
  <c r="AE59" i="13"/>
  <c r="AF85" i="13"/>
  <c r="AF73" i="13"/>
  <c r="AF49" i="13"/>
  <c r="U63" i="13"/>
  <c r="T63" i="13"/>
  <c r="U86" i="13"/>
  <c r="T86" i="13"/>
  <c r="U74" i="13"/>
  <c r="T74" i="13"/>
  <c r="U62" i="13"/>
  <c r="T62" i="13"/>
  <c r="U50" i="13"/>
  <c r="T50" i="13"/>
  <c r="AL73" i="13"/>
  <c r="AL61" i="13"/>
  <c r="U51" i="20"/>
  <c r="T51" i="20"/>
  <c r="U75" i="20"/>
  <c r="T75" i="20"/>
  <c r="U63" i="20"/>
  <c r="T63" i="20"/>
  <c r="AD70" i="11"/>
  <c r="AD58" i="11"/>
  <c r="AA72" i="19"/>
  <c r="AA66" i="19"/>
  <c r="AA60" i="19"/>
  <c r="AA54" i="19"/>
  <c r="AM58" i="20"/>
  <c r="AM52" i="20"/>
  <c r="T80" i="19"/>
  <c r="U80" i="19"/>
  <c r="U68" i="19"/>
  <c r="T68" i="19"/>
  <c r="U56" i="19"/>
  <c r="T56" i="19"/>
  <c r="AF51" i="1"/>
  <c r="AG87" i="1"/>
  <c r="AH86" i="1"/>
  <c r="AI85" i="1"/>
  <c r="AL82" i="1"/>
  <c r="Z82" i="1"/>
  <c r="AA81" i="1"/>
  <c r="AB80" i="1"/>
  <c r="AC79" i="1"/>
  <c r="AD78" i="1"/>
  <c r="AE77" i="1"/>
  <c r="AF76" i="1"/>
  <c r="AG75" i="1"/>
  <c r="AH74" i="1"/>
  <c r="AI73" i="1"/>
  <c r="AL70" i="1"/>
  <c r="Z70" i="1"/>
  <c r="AA69" i="1"/>
  <c r="AB68" i="1"/>
  <c r="AC67" i="1"/>
  <c r="AD66" i="1"/>
  <c r="AE65" i="1"/>
  <c r="AF64" i="1"/>
  <c r="AG63" i="1"/>
  <c r="AH62" i="1"/>
  <c r="AI61" i="1"/>
  <c r="AK59" i="1"/>
  <c r="AL58" i="1"/>
  <c r="Z58" i="1"/>
  <c r="AA57" i="1"/>
  <c r="AB56" i="1"/>
  <c r="AC55" i="1"/>
  <c r="AD54" i="1"/>
  <c r="AE53" i="1"/>
  <c r="AF52" i="1"/>
  <c r="T78" i="1"/>
  <c r="U78" i="1"/>
  <c r="T66" i="1"/>
  <c r="U66" i="1"/>
  <c r="T54" i="1"/>
  <c r="U54" i="1"/>
  <c r="U84" i="11"/>
  <c r="T84" i="11"/>
  <c r="T72" i="11"/>
  <c r="U72" i="11"/>
  <c r="T60" i="11"/>
  <c r="U60" i="11"/>
  <c r="AE82" i="13"/>
  <c r="AE58" i="13"/>
  <c r="T76" i="13"/>
  <c r="U76" i="13"/>
  <c r="AA86" i="13"/>
  <c r="U49" i="13"/>
  <c r="T49" i="13"/>
  <c r="U51" i="13"/>
  <c r="T51" i="13"/>
  <c r="T85" i="13"/>
  <c r="U85" i="13"/>
  <c r="U73" i="13"/>
  <c r="T73" i="13"/>
  <c r="T61" i="13"/>
  <c r="U61" i="13"/>
  <c r="AK85" i="13"/>
  <c r="AD57" i="13"/>
  <c r="AK50" i="13"/>
  <c r="U86" i="20"/>
  <c r="T86" i="20"/>
  <c r="U74" i="20"/>
  <c r="T74" i="20"/>
  <c r="U62" i="20"/>
  <c r="T62" i="20"/>
  <c r="AJ51" i="19"/>
  <c r="AB84" i="20"/>
  <c r="AB78" i="20"/>
  <c r="AB72" i="20"/>
  <c r="AB66" i="20"/>
  <c r="U79" i="19"/>
  <c r="T79" i="19"/>
  <c r="U67" i="19"/>
  <c r="T67" i="19"/>
  <c r="U55" i="19"/>
  <c r="T55" i="19"/>
  <c r="AG51" i="1"/>
  <c r="AF87" i="1"/>
  <c r="AG86" i="1"/>
  <c r="AH85" i="1"/>
  <c r="AI84" i="1"/>
  <c r="AL81" i="1"/>
  <c r="Z81" i="1"/>
  <c r="AA80" i="1"/>
  <c r="AB79" i="1"/>
  <c r="AC78" i="1"/>
  <c r="AD77" i="1"/>
  <c r="AE76" i="1"/>
  <c r="AF75" i="1"/>
  <c r="AG74" i="1"/>
  <c r="AH73" i="1"/>
  <c r="AI72" i="1"/>
  <c r="AL69" i="1"/>
  <c r="Z69" i="1"/>
  <c r="AA68" i="1"/>
  <c r="AB67" i="1"/>
  <c r="AC66" i="1"/>
  <c r="AD65" i="1"/>
  <c r="AE64" i="1"/>
  <c r="AF63" i="1"/>
  <c r="AG62" i="1"/>
  <c r="AH61" i="1"/>
  <c r="AI60" i="1"/>
  <c r="AK58" i="1"/>
  <c r="AL57" i="1"/>
  <c r="Z57" i="1"/>
  <c r="AA56" i="1"/>
  <c r="AB55" i="1"/>
  <c r="AC54" i="1"/>
  <c r="AD53" i="1"/>
  <c r="AE52" i="1"/>
  <c r="T77" i="1"/>
  <c r="U77" i="1"/>
  <c r="T65" i="1"/>
  <c r="U65" i="1"/>
  <c r="U53" i="1"/>
  <c r="T53" i="1"/>
  <c r="T83" i="11"/>
  <c r="U83" i="11"/>
  <c r="T71" i="11"/>
  <c r="U71" i="11"/>
  <c r="U59" i="11"/>
  <c r="T59" i="11"/>
  <c r="AL86" i="20"/>
  <c r="AL74" i="20"/>
  <c r="AL62" i="20"/>
  <c r="AI75" i="11"/>
  <c r="AJ74" i="11"/>
  <c r="AI63" i="11"/>
  <c r="AJ62" i="11"/>
  <c r="AC57" i="11"/>
  <c r="AI51" i="11"/>
  <c r="AJ50" i="11"/>
  <c r="AL82" i="19"/>
  <c r="AL76" i="19"/>
  <c r="AL70" i="19"/>
  <c r="AL64" i="19"/>
  <c r="AL58" i="19"/>
  <c r="AL52" i="19"/>
  <c r="AK51" i="20"/>
  <c r="AK63" i="20"/>
  <c r="U78" i="19"/>
  <c r="T78" i="19"/>
  <c r="U66" i="19"/>
  <c r="T66" i="19"/>
  <c r="U54" i="19"/>
  <c r="T54" i="19"/>
  <c r="AH51" i="1"/>
  <c r="AH84" i="1"/>
  <c r="AI83" i="1"/>
  <c r="AK81" i="1"/>
  <c r="AB78" i="1"/>
  <c r="AC77" i="1"/>
  <c r="AH72" i="1"/>
  <c r="AI71" i="1"/>
  <c r="AK69" i="1"/>
  <c r="AB66" i="1"/>
  <c r="AC65" i="1"/>
  <c r="AH60" i="1"/>
  <c r="AI59" i="1"/>
  <c r="AK57" i="1"/>
  <c r="AB54" i="1"/>
  <c r="AC53" i="1"/>
  <c r="T76" i="1"/>
  <c r="U76" i="1"/>
  <c r="T64" i="1"/>
  <c r="U64" i="1"/>
  <c r="U52" i="1"/>
  <c r="T52" i="1"/>
  <c r="T82" i="11"/>
  <c r="U82" i="11"/>
  <c r="T70" i="11"/>
  <c r="U70" i="11"/>
  <c r="U58" i="11"/>
  <c r="T58" i="11"/>
  <c r="AK75" i="19"/>
  <c r="AK63" i="19"/>
  <c r="AM82" i="20"/>
  <c r="AM76" i="20"/>
  <c r="AM70" i="20"/>
  <c r="U77" i="19"/>
  <c r="T77" i="19"/>
  <c r="U65" i="19"/>
  <c r="T65" i="19"/>
  <c r="U53" i="19"/>
  <c r="T53" i="19"/>
  <c r="AI51" i="1"/>
  <c r="AH83" i="1"/>
  <c r="AB77" i="1"/>
  <c r="AH71" i="1"/>
  <c r="AB65" i="1"/>
  <c r="AH59" i="1"/>
  <c r="AB53" i="1"/>
  <c r="T87" i="1"/>
  <c r="U87" i="1"/>
  <c r="U75" i="1"/>
  <c r="T75" i="1"/>
  <c r="U63" i="1"/>
  <c r="T63" i="1"/>
  <c r="T51" i="1"/>
  <c r="U51" i="1"/>
  <c r="T81" i="11"/>
  <c r="U81" i="11"/>
  <c r="T69" i="11"/>
  <c r="U69" i="11"/>
  <c r="U57" i="11"/>
  <c r="T57" i="11"/>
  <c r="AE79" i="13"/>
  <c r="AE67" i="13"/>
  <c r="AE55" i="13"/>
  <c r="AF57" i="13"/>
  <c r="Q86" i="13"/>
  <c r="S86" i="13" s="1"/>
  <c r="Q74" i="13"/>
  <c r="S74" i="13" s="1"/>
  <c r="Q78" i="13"/>
  <c r="S78" i="13" s="1"/>
  <c r="Q82" i="13"/>
  <c r="S82" i="13" s="1"/>
  <c r="Q50" i="13"/>
  <c r="S50" i="13" s="1"/>
  <c r="Q54" i="13"/>
  <c r="S54" i="13" s="1"/>
  <c r="Q58" i="13"/>
  <c r="S58" i="13" s="1"/>
  <c r="Q72" i="13"/>
  <c r="S72" i="13" s="1"/>
  <c r="Q76" i="13"/>
  <c r="S76" i="13" s="1"/>
  <c r="Q49" i="13"/>
  <c r="S49" i="13" s="1"/>
  <c r="I24" i="27"/>
  <c r="J24" i="27"/>
  <c r="K24" i="27"/>
  <c r="L24" i="27"/>
  <c r="M24" i="27"/>
  <c r="I20" i="27"/>
  <c r="J20" i="27"/>
  <c r="K20" i="27"/>
  <c r="L20" i="27"/>
  <c r="M20" i="27"/>
  <c r="I21" i="27"/>
  <c r="J21" i="27"/>
  <c r="K21" i="27"/>
  <c r="L21" i="27"/>
  <c r="M21" i="27"/>
  <c r="I22" i="27"/>
  <c r="J22" i="27"/>
  <c r="K22" i="27"/>
  <c r="L22" i="27"/>
  <c r="M22" i="27"/>
  <c r="I23" i="27"/>
  <c r="J23" i="27"/>
  <c r="K23" i="27"/>
  <c r="L23" i="27"/>
  <c r="M23" i="27"/>
  <c r="J19" i="27"/>
  <c r="K19" i="27"/>
  <c r="L19" i="27"/>
  <c r="M19" i="27"/>
  <c r="I19" i="27"/>
  <c r="I12" i="27"/>
  <c r="J12" i="27"/>
  <c r="K12" i="27"/>
  <c r="L12" i="27"/>
  <c r="M12" i="27"/>
  <c r="I13" i="27"/>
  <c r="J13" i="27"/>
  <c r="K13" i="27"/>
  <c r="L13" i="27"/>
  <c r="M13" i="27"/>
  <c r="I14" i="27"/>
  <c r="J14" i="27"/>
  <c r="K14" i="27"/>
  <c r="L14" i="27"/>
  <c r="M14" i="27"/>
  <c r="I15" i="27"/>
  <c r="J15" i="27"/>
  <c r="K15" i="27"/>
  <c r="L15" i="27"/>
  <c r="M15" i="27"/>
  <c r="I16" i="27"/>
  <c r="J16" i="27"/>
  <c r="K16" i="27"/>
  <c r="L16" i="27"/>
  <c r="M16" i="27"/>
  <c r="J11" i="27"/>
  <c r="K11" i="27"/>
  <c r="L11" i="27"/>
  <c r="M11" i="27"/>
  <c r="I11" i="27"/>
  <c r="I4" i="27"/>
  <c r="J4" i="27"/>
  <c r="K4" i="27"/>
  <c r="L4" i="27"/>
  <c r="M4" i="27"/>
  <c r="I5" i="27"/>
  <c r="J5" i="27"/>
  <c r="K5" i="27"/>
  <c r="L5" i="27"/>
  <c r="M5" i="27"/>
  <c r="I6" i="27"/>
  <c r="J6" i="27"/>
  <c r="K6" i="27"/>
  <c r="L6" i="27"/>
  <c r="M6" i="27"/>
  <c r="I7" i="27"/>
  <c r="J7" i="27"/>
  <c r="K7" i="27"/>
  <c r="L7" i="27"/>
  <c r="M7" i="27"/>
  <c r="I8" i="27"/>
  <c r="J8" i="27"/>
  <c r="K8" i="27"/>
  <c r="L8" i="27"/>
  <c r="M8" i="27"/>
  <c r="J3" i="27"/>
  <c r="K3" i="27"/>
  <c r="L3" i="27"/>
  <c r="M3" i="27"/>
  <c r="I3" i="27"/>
  <c r="T84" i="12"/>
  <c r="T85" i="12"/>
  <c r="U84" i="12"/>
  <c r="U85" i="12"/>
  <c r="T87" i="4"/>
  <c r="T88" i="4"/>
  <c r="U87" i="4"/>
  <c r="U88" i="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Q85" i="13"/>
  <c r="S85" i="13" s="1"/>
  <c r="Q84" i="13"/>
  <c r="S84" i="13" s="1"/>
  <c r="C38" i="1"/>
  <c r="C86" i="1" s="1"/>
  <c r="B38" i="1"/>
  <c r="B86" i="1" s="1"/>
  <c r="B85" i="11"/>
  <c r="C85" i="11"/>
  <c r="B84" i="11"/>
  <c r="C84" i="11"/>
  <c r="B86" i="19"/>
  <c r="C86" i="19"/>
  <c r="Q86" i="19"/>
  <c r="R86" i="19"/>
  <c r="B86" i="20"/>
  <c r="C86" i="20"/>
  <c r="R86" i="20"/>
  <c r="C87" i="14"/>
  <c r="C88" i="14" s="1"/>
  <c r="B88" i="14"/>
  <c r="Q88" i="14"/>
  <c r="S88" i="14" s="1"/>
  <c r="B87" i="14"/>
  <c r="B88" i="4"/>
  <c r="C88" i="4"/>
  <c r="Q88" i="4"/>
  <c r="S88" i="4" s="1"/>
  <c r="B87" i="4"/>
  <c r="C87" i="4"/>
  <c r="B85" i="12"/>
  <c r="C85" i="12"/>
  <c r="Q85" i="12"/>
  <c r="S85" i="12" s="1"/>
  <c r="B84" i="12"/>
  <c r="C84" i="12"/>
  <c r="Q84" i="12"/>
  <c r="S84" i="12" s="1"/>
  <c r="B84" i="18"/>
  <c r="C84" i="18"/>
  <c r="Q84" i="18"/>
  <c r="S84" i="18" s="1"/>
  <c r="T84" i="18"/>
  <c r="U84" i="18"/>
  <c r="Q87" i="4"/>
  <c r="S87" i="4" s="1"/>
  <c r="T86" i="21"/>
  <c r="B86" i="21"/>
  <c r="C86" i="21"/>
  <c r="Q86" i="21"/>
  <c r="S86" i="21" s="1"/>
  <c r="U86" i="21"/>
  <c r="T84" i="21"/>
  <c r="B84" i="21"/>
  <c r="C84" i="21"/>
  <c r="T73" i="21"/>
  <c r="B73" i="21"/>
  <c r="C73" i="21"/>
  <c r="Q73" i="21"/>
  <c r="S73" i="21" s="1"/>
  <c r="T74" i="21"/>
  <c r="B74" i="21"/>
  <c r="C74" i="21"/>
  <c r="B75" i="21"/>
  <c r="C75" i="21"/>
  <c r="T76" i="21"/>
  <c r="B76" i="21"/>
  <c r="C76" i="21"/>
  <c r="U76" i="21"/>
  <c r="T77" i="21"/>
  <c r="B77" i="21"/>
  <c r="C77" i="21"/>
  <c r="T78" i="21"/>
  <c r="B78" i="21"/>
  <c r="C78" i="21"/>
  <c r="U85" i="21"/>
  <c r="B85" i="21"/>
  <c r="C85" i="21"/>
  <c r="Q85" i="21"/>
  <c r="S85" i="21" s="1"/>
  <c r="B79" i="21"/>
  <c r="C79" i="21"/>
  <c r="T80" i="21"/>
  <c r="B80" i="21"/>
  <c r="C80" i="21"/>
  <c r="B81" i="21"/>
  <c r="C81" i="21"/>
  <c r="Q13" i="25"/>
  <c r="U13" i="25"/>
  <c r="S13" i="25"/>
  <c r="W13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40" i="25"/>
  <c r="X6" i="25"/>
  <c r="X34" i="25"/>
  <c r="W34" i="25"/>
  <c r="X33" i="25"/>
  <c r="W33" i="25"/>
  <c r="X32" i="25"/>
  <c r="W32" i="25"/>
  <c r="X31" i="25"/>
  <c r="W31" i="25"/>
  <c r="X30" i="25"/>
  <c r="W30" i="25"/>
  <c r="X29" i="25"/>
  <c r="W29" i="25"/>
  <c r="X28" i="25"/>
  <c r="W28" i="25"/>
  <c r="X27" i="25"/>
  <c r="W27" i="25"/>
  <c r="X26" i="25"/>
  <c r="W26" i="25"/>
  <c r="X25" i="25"/>
  <c r="W25" i="25"/>
  <c r="X24" i="25"/>
  <c r="W24" i="25"/>
  <c r="X23" i="25"/>
  <c r="W23" i="25"/>
  <c r="X22" i="25"/>
  <c r="W22" i="25"/>
  <c r="X21" i="25"/>
  <c r="W21" i="25"/>
  <c r="X20" i="25"/>
  <c r="W20" i="25"/>
  <c r="X19" i="25"/>
  <c r="W19" i="25"/>
  <c r="X18" i="25"/>
  <c r="W18" i="25"/>
  <c r="X17" i="25"/>
  <c r="W17" i="25"/>
  <c r="X16" i="25"/>
  <c r="W16" i="25"/>
  <c r="X15" i="25"/>
  <c r="W15" i="25"/>
  <c r="X14" i="25"/>
  <c r="W14" i="25"/>
  <c r="X13" i="25"/>
  <c r="X12" i="25"/>
  <c r="W12" i="25"/>
  <c r="X11" i="25"/>
  <c r="W11" i="25"/>
  <c r="X9" i="25"/>
  <c r="W9" i="25"/>
  <c r="X8" i="25"/>
  <c r="W8" i="25"/>
  <c r="X7" i="25"/>
  <c r="W7" i="25"/>
  <c r="W6" i="25"/>
  <c r="O7" i="25"/>
  <c r="O8" i="25"/>
  <c r="O9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6" i="25"/>
  <c r="T34" i="25"/>
  <c r="S34" i="25"/>
  <c r="T33" i="25"/>
  <c r="S33" i="25"/>
  <c r="T32" i="25"/>
  <c r="S32" i="25"/>
  <c r="T31" i="25"/>
  <c r="S31" i="25"/>
  <c r="T30" i="25"/>
  <c r="S30" i="25"/>
  <c r="T29" i="25"/>
  <c r="S29" i="25"/>
  <c r="T28" i="25"/>
  <c r="S28" i="25"/>
  <c r="T27" i="25"/>
  <c r="S27" i="25"/>
  <c r="T26" i="25"/>
  <c r="S26" i="25"/>
  <c r="T25" i="25"/>
  <c r="S25" i="25"/>
  <c r="T24" i="25"/>
  <c r="S24" i="25"/>
  <c r="T23" i="25"/>
  <c r="S23" i="25"/>
  <c r="T22" i="25"/>
  <c r="S22" i="25"/>
  <c r="T21" i="25"/>
  <c r="S21" i="25"/>
  <c r="T20" i="25"/>
  <c r="S20" i="25"/>
  <c r="T19" i="25"/>
  <c r="S19" i="25"/>
  <c r="T18" i="25"/>
  <c r="S18" i="25"/>
  <c r="T17" i="25"/>
  <c r="S17" i="25"/>
  <c r="T16" i="25"/>
  <c r="S16" i="25"/>
  <c r="T15" i="25"/>
  <c r="S15" i="25"/>
  <c r="T14" i="25"/>
  <c r="S14" i="25"/>
  <c r="T13" i="25"/>
  <c r="T12" i="25"/>
  <c r="S12" i="25"/>
  <c r="T11" i="25"/>
  <c r="S11" i="25"/>
  <c r="T9" i="25"/>
  <c r="S9" i="25"/>
  <c r="T8" i="25"/>
  <c r="S8" i="25"/>
  <c r="T7" i="25"/>
  <c r="S7" i="25"/>
  <c r="T6" i="25"/>
  <c r="S6" i="25"/>
  <c r="V16" i="25"/>
  <c r="V34" i="25"/>
  <c r="U34" i="25"/>
  <c r="V33" i="25"/>
  <c r="U33" i="25"/>
  <c r="V32" i="25"/>
  <c r="U32" i="25"/>
  <c r="V31" i="25"/>
  <c r="U31" i="25"/>
  <c r="V30" i="25"/>
  <c r="U30" i="25"/>
  <c r="V29" i="25"/>
  <c r="U29" i="25"/>
  <c r="V28" i="25"/>
  <c r="U28" i="25"/>
  <c r="V27" i="25"/>
  <c r="U27" i="25"/>
  <c r="V26" i="25"/>
  <c r="U26" i="25"/>
  <c r="V25" i="25"/>
  <c r="U25" i="25"/>
  <c r="V24" i="25"/>
  <c r="U24" i="25"/>
  <c r="V23" i="25"/>
  <c r="U23" i="25"/>
  <c r="V22" i="25"/>
  <c r="U22" i="25"/>
  <c r="V21" i="25"/>
  <c r="U21" i="25"/>
  <c r="V20" i="25"/>
  <c r="U20" i="25"/>
  <c r="V19" i="25"/>
  <c r="U19" i="25"/>
  <c r="V18" i="25"/>
  <c r="U18" i="25"/>
  <c r="V17" i="25"/>
  <c r="U17" i="25"/>
  <c r="U16" i="25"/>
  <c r="V15" i="25"/>
  <c r="U15" i="25"/>
  <c r="V14" i="25"/>
  <c r="U14" i="25"/>
  <c r="V13" i="25"/>
  <c r="V12" i="25"/>
  <c r="U12" i="25"/>
  <c r="V11" i="25"/>
  <c r="U11" i="25"/>
  <c r="V9" i="25"/>
  <c r="U9" i="25"/>
  <c r="V8" i="25"/>
  <c r="U8" i="25"/>
  <c r="V7" i="25"/>
  <c r="U7" i="25"/>
  <c r="V6" i="25"/>
  <c r="U6" i="25"/>
  <c r="Q7" i="25"/>
  <c r="R7" i="25"/>
  <c r="Q8" i="25"/>
  <c r="R8" i="25"/>
  <c r="Q9" i="25"/>
  <c r="R9" i="25"/>
  <c r="Q11" i="25"/>
  <c r="R11" i="25"/>
  <c r="Q12" i="25"/>
  <c r="R12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Q30" i="25"/>
  <c r="R30" i="25"/>
  <c r="Q31" i="25"/>
  <c r="R31" i="25"/>
  <c r="Q32" i="25"/>
  <c r="R32" i="25"/>
  <c r="Q33" i="25"/>
  <c r="R33" i="25"/>
  <c r="Q34" i="25"/>
  <c r="R34" i="25"/>
  <c r="Q6" i="25"/>
  <c r="R6" i="25"/>
  <c r="L51" i="20"/>
  <c r="AI51" i="20" s="1"/>
  <c r="U81" i="4"/>
  <c r="B81" i="4"/>
  <c r="C81" i="4"/>
  <c r="L51" i="21"/>
  <c r="B80" i="18"/>
  <c r="C80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81" i="18"/>
  <c r="C81" i="18"/>
  <c r="B82" i="18"/>
  <c r="C82" i="18"/>
  <c r="B71" i="18"/>
  <c r="C71" i="18"/>
  <c r="B72" i="18"/>
  <c r="C72" i="18"/>
  <c r="B73" i="18"/>
  <c r="C73" i="18"/>
  <c r="B74" i="18"/>
  <c r="C74" i="18"/>
  <c r="B75" i="18"/>
  <c r="C75" i="18"/>
  <c r="B76" i="18"/>
  <c r="C76" i="18"/>
  <c r="B83" i="18"/>
  <c r="C83" i="18"/>
  <c r="B77" i="18"/>
  <c r="C77" i="18"/>
  <c r="B78" i="18"/>
  <c r="C78" i="18"/>
  <c r="B79" i="18"/>
  <c r="C79" i="18"/>
  <c r="C49" i="18"/>
  <c r="B49" i="18"/>
  <c r="A49" i="18"/>
  <c r="T49" i="18" s="1"/>
  <c r="C49" i="12"/>
  <c r="B49" i="12"/>
  <c r="A49" i="12"/>
  <c r="Q75" i="13"/>
  <c r="S75" i="13" s="1"/>
  <c r="Q73" i="13"/>
  <c r="S73" i="13" s="1"/>
  <c r="Q79" i="13"/>
  <c r="S79" i="13" s="1"/>
  <c r="C80" i="1"/>
  <c r="B80" i="1"/>
  <c r="C79" i="1"/>
  <c r="B79" i="1"/>
  <c r="C78" i="1"/>
  <c r="B78" i="1"/>
  <c r="C85" i="1"/>
  <c r="B85" i="1"/>
  <c r="C77" i="1"/>
  <c r="B77" i="1"/>
  <c r="C76" i="1"/>
  <c r="B76" i="1"/>
  <c r="C75" i="1"/>
  <c r="B75" i="1"/>
  <c r="C74" i="1"/>
  <c r="B74" i="1"/>
  <c r="C73" i="1"/>
  <c r="B73" i="1"/>
  <c r="C84" i="1"/>
  <c r="B84" i="1"/>
  <c r="C83" i="1"/>
  <c r="B8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82" i="1"/>
  <c r="B82" i="1"/>
  <c r="C51" i="1"/>
  <c r="B51" i="1"/>
  <c r="C81" i="1"/>
  <c r="B81" i="1"/>
  <c r="Q79" i="11"/>
  <c r="S79" i="11" s="1"/>
  <c r="C79" i="11"/>
  <c r="B79" i="11"/>
  <c r="Q78" i="11"/>
  <c r="S78" i="11" s="1"/>
  <c r="C78" i="11"/>
  <c r="B78" i="11"/>
  <c r="Q77" i="11"/>
  <c r="S77" i="11" s="1"/>
  <c r="C77" i="11"/>
  <c r="B77" i="11"/>
  <c r="Q76" i="11"/>
  <c r="S76" i="11" s="1"/>
  <c r="C76" i="11"/>
  <c r="B76" i="11"/>
  <c r="Q83" i="11"/>
  <c r="S83" i="11" s="1"/>
  <c r="C83" i="11"/>
  <c r="B83" i="11"/>
  <c r="Q75" i="11"/>
  <c r="S75" i="11" s="1"/>
  <c r="C75" i="11"/>
  <c r="B75" i="11"/>
  <c r="Q74" i="11"/>
  <c r="S74" i="11" s="1"/>
  <c r="C74" i="11"/>
  <c r="B74" i="11"/>
  <c r="Q73" i="11"/>
  <c r="S73" i="11" s="1"/>
  <c r="C73" i="11"/>
  <c r="B73" i="11"/>
  <c r="Q72" i="11"/>
  <c r="S72" i="11" s="1"/>
  <c r="C72" i="11"/>
  <c r="B72" i="11"/>
  <c r="Q71" i="11"/>
  <c r="S71" i="11" s="1"/>
  <c r="C71" i="11"/>
  <c r="B71" i="11"/>
  <c r="Q82" i="11"/>
  <c r="S82" i="11" s="1"/>
  <c r="C82" i="11"/>
  <c r="B82" i="11"/>
  <c r="Q81" i="11"/>
  <c r="S81" i="11" s="1"/>
  <c r="C81" i="11"/>
  <c r="B81" i="11"/>
  <c r="Q70" i="11"/>
  <c r="S70" i="11" s="1"/>
  <c r="C70" i="11"/>
  <c r="B70" i="11"/>
  <c r="Q69" i="11"/>
  <c r="S69" i="11" s="1"/>
  <c r="C69" i="11"/>
  <c r="B69" i="11"/>
  <c r="Q68" i="11"/>
  <c r="S68" i="11" s="1"/>
  <c r="C68" i="11"/>
  <c r="B68" i="11"/>
  <c r="Q67" i="11"/>
  <c r="S67" i="11" s="1"/>
  <c r="C67" i="11"/>
  <c r="B67" i="11"/>
  <c r="Q66" i="11"/>
  <c r="S66" i="11" s="1"/>
  <c r="C66" i="11"/>
  <c r="B66" i="11"/>
  <c r="Q65" i="11"/>
  <c r="S65" i="11" s="1"/>
  <c r="C65" i="11"/>
  <c r="B65" i="11"/>
  <c r="Q64" i="11"/>
  <c r="S64" i="11" s="1"/>
  <c r="C64" i="11"/>
  <c r="B64" i="11"/>
  <c r="Q63" i="11"/>
  <c r="S63" i="11" s="1"/>
  <c r="C63" i="11"/>
  <c r="B63" i="11"/>
  <c r="Q62" i="11"/>
  <c r="S62" i="11" s="1"/>
  <c r="C62" i="11"/>
  <c r="B62" i="11"/>
  <c r="Q61" i="11"/>
  <c r="S61" i="11" s="1"/>
  <c r="C61" i="11"/>
  <c r="B61" i="11"/>
  <c r="Q60" i="11"/>
  <c r="S60" i="11" s="1"/>
  <c r="C60" i="11"/>
  <c r="B60" i="11"/>
  <c r="Q59" i="11"/>
  <c r="S59" i="11" s="1"/>
  <c r="C59" i="11"/>
  <c r="B59" i="11"/>
  <c r="Q58" i="11"/>
  <c r="S58" i="11" s="1"/>
  <c r="C58" i="11"/>
  <c r="B58" i="11"/>
  <c r="Q57" i="11"/>
  <c r="S57" i="11" s="1"/>
  <c r="C57" i="11"/>
  <c r="B57" i="11"/>
  <c r="C56" i="11"/>
  <c r="B56" i="11"/>
  <c r="Q55" i="11"/>
  <c r="S55" i="11" s="1"/>
  <c r="C55" i="11"/>
  <c r="B55" i="11"/>
  <c r="Q54" i="11"/>
  <c r="S54" i="11" s="1"/>
  <c r="C54" i="11"/>
  <c r="B54" i="11"/>
  <c r="C53" i="11"/>
  <c r="B53" i="11"/>
  <c r="Q52" i="11"/>
  <c r="S52" i="11" s="1"/>
  <c r="C52" i="11"/>
  <c r="B52" i="11"/>
  <c r="Q51" i="11"/>
  <c r="S51" i="11" s="1"/>
  <c r="C51" i="11"/>
  <c r="B51" i="11"/>
  <c r="Q50" i="11"/>
  <c r="S50" i="11" s="1"/>
  <c r="C50" i="11"/>
  <c r="B50" i="11"/>
  <c r="C80" i="11"/>
  <c r="B80" i="11"/>
  <c r="P49" i="11"/>
  <c r="M49" i="11"/>
  <c r="AI49" i="11" s="1"/>
  <c r="L49" i="11"/>
  <c r="K49" i="11"/>
  <c r="J49" i="11"/>
  <c r="I49" i="11"/>
  <c r="H49" i="11"/>
  <c r="G49" i="11"/>
  <c r="F49" i="11"/>
  <c r="E49" i="11"/>
  <c r="C49" i="11"/>
  <c r="B49" i="11"/>
  <c r="C82" i="14"/>
  <c r="B82" i="14"/>
  <c r="B51" i="4"/>
  <c r="C51" i="4"/>
  <c r="B83" i="4"/>
  <c r="C83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84" i="4"/>
  <c r="C84" i="4"/>
  <c r="B85" i="4"/>
  <c r="C85" i="4"/>
  <c r="B73" i="4"/>
  <c r="C73" i="4"/>
  <c r="B74" i="4"/>
  <c r="C74" i="4"/>
  <c r="B75" i="4"/>
  <c r="C75" i="4"/>
  <c r="B76" i="4"/>
  <c r="C76" i="4"/>
  <c r="B77" i="4"/>
  <c r="C77" i="4"/>
  <c r="B86" i="4"/>
  <c r="C86" i="4"/>
  <c r="B78" i="4"/>
  <c r="C78" i="4"/>
  <c r="B79" i="4"/>
  <c r="C79" i="4"/>
  <c r="B80" i="4"/>
  <c r="C80" i="4"/>
  <c r="B82" i="4"/>
  <c r="C82" i="4"/>
  <c r="B80" i="12"/>
  <c r="C80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81" i="12"/>
  <c r="C81" i="12"/>
  <c r="B82" i="12"/>
  <c r="C82" i="12"/>
  <c r="B71" i="12"/>
  <c r="C71" i="12"/>
  <c r="B72" i="12"/>
  <c r="C72" i="12"/>
  <c r="B73" i="12"/>
  <c r="C73" i="12"/>
  <c r="B74" i="12"/>
  <c r="C74" i="12"/>
  <c r="B75" i="12"/>
  <c r="C75" i="12"/>
  <c r="B83" i="12"/>
  <c r="C83" i="12"/>
  <c r="B76" i="12"/>
  <c r="C76" i="12"/>
  <c r="B77" i="12"/>
  <c r="C77" i="12"/>
  <c r="B78" i="12"/>
  <c r="C78" i="12"/>
  <c r="B79" i="12"/>
  <c r="C79" i="12"/>
  <c r="P51" i="19"/>
  <c r="M51" i="19"/>
  <c r="R81" i="19"/>
  <c r="Q81" i="19"/>
  <c r="C81" i="19"/>
  <c r="B81" i="19"/>
  <c r="R80" i="19"/>
  <c r="C80" i="19"/>
  <c r="B80" i="19"/>
  <c r="R79" i="19"/>
  <c r="C79" i="19"/>
  <c r="B79" i="19"/>
  <c r="R83" i="19"/>
  <c r="Q83" i="19"/>
  <c r="S83" i="19" s="1"/>
  <c r="C83" i="19"/>
  <c r="B83" i="19"/>
  <c r="R78" i="19"/>
  <c r="Q78" i="19"/>
  <c r="S78" i="19" s="1"/>
  <c r="C78" i="19"/>
  <c r="B78" i="19"/>
  <c r="R77" i="19"/>
  <c r="Q77" i="19"/>
  <c r="S77" i="19" s="1"/>
  <c r="C77" i="19"/>
  <c r="B77" i="19"/>
  <c r="R76" i="19"/>
  <c r="Q76" i="19"/>
  <c r="C76" i="19"/>
  <c r="B76" i="19"/>
  <c r="R75" i="19"/>
  <c r="Q75" i="19"/>
  <c r="C75" i="19"/>
  <c r="B75" i="19"/>
  <c r="R74" i="19"/>
  <c r="C74" i="19"/>
  <c r="B74" i="19"/>
  <c r="R73" i="19"/>
  <c r="Q73" i="19"/>
  <c r="S73" i="19" s="1"/>
  <c r="C73" i="19"/>
  <c r="B73" i="19"/>
  <c r="R85" i="19"/>
  <c r="Q85" i="19"/>
  <c r="S85" i="19" s="1"/>
  <c r="C85" i="19"/>
  <c r="B85" i="19"/>
  <c r="R84" i="19"/>
  <c r="C84" i="19"/>
  <c r="B84" i="19"/>
  <c r="R72" i="19"/>
  <c r="Q72" i="19"/>
  <c r="C72" i="19"/>
  <c r="B72" i="19"/>
  <c r="R71" i="19"/>
  <c r="C71" i="19"/>
  <c r="B71" i="19"/>
  <c r="R70" i="19"/>
  <c r="Q70" i="19"/>
  <c r="C70" i="19"/>
  <c r="B70" i="19"/>
  <c r="R69" i="19"/>
  <c r="Q69" i="19"/>
  <c r="C69" i="19"/>
  <c r="B69" i="19"/>
  <c r="R68" i="19"/>
  <c r="Q68" i="19"/>
  <c r="S68" i="19" s="1"/>
  <c r="C68" i="19"/>
  <c r="B68" i="19"/>
  <c r="R67" i="19"/>
  <c r="Q67" i="19"/>
  <c r="C67" i="19"/>
  <c r="B67" i="19"/>
  <c r="R66" i="19"/>
  <c r="C66" i="19"/>
  <c r="B66" i="19"/>
  <c r="R65" i="19"/>
  <c r="C65" i="19"/>
  <c r="B65" i="19"/>
  <c r="R64" i="19"/>
  <c r="C64" i="19"/>
  <c r="B64" i="19"/>
  <c r="R63" i="19"/>
  <c r="Q63" i="19"/>
  <c r="C63" i="19"/>
  <c r="B63" i="19"/>
  <c r="R62" i="19"/>
  <c r="Q62" i="19"/>
  <c r="S62" i="19" s="1"/>
  <c r="C62" i="19"/>
  <c r="B62" i="19"/>
  <c r="R61" i="19"/>
  <c r="C61" i="19"/>
  <c r="B61" i="19"/>
  <c r="R60" i="19"/>
  <c r="Q60" i="19"/>
  <c r="C60" i="19"/>
  <c r="B60" i="19"/>
  <c r="R59" i="19"/>
  <c r="Q59" i="19"/>
  <c r="C59" i="19"/>
  <c r="B59" i="19"/>
  <c r="R58" i="19"/>
  <c r="Q58" i="19"/>
  <c r="C58" i="19"/>
  <c r="B58" i="19"/>
  <c r="R57" i="19"/>
  <c r="C57" i="19"/>
  <c r="B57" i="19"/>
  <c r="R56" i="19"/>
  <c r="Q56" i="19"/>
  <c r="S56" i="19" s="1"/>
  <c r="C56" i="19"/>
  <c r="B56" i="19"/>
  <c r="R55" i="19"/>
  <c r="Q55" i="19"/>
  <c r="S55" i="19" s="1"/>
  <c r="C55" i="19"/>
  <c r="B55" i="19"/>
  <c r="R54" i="19"/>
  <c r="Q54" i="19"/>
  <c r="C54" i="19"/>
  <c r="B54" i="19"/>
  <c r="R53" i="19"/>
  <c r="Q53" i="19"/>
  <c r="C53" i="19"/>
  <c r="B53" i="19"/>
  <c r="R52" i="19"/>
  <c r="Q52" i="19"/>
  <c r="S52" i="19" s="1"/>
  <c r="C52" i="19"/>
  <c r="B52" i="19"/>
  <c r="R82" i="19"/>
  <c r="Q82" i="19"/>
  <c r="S82" i="19" s="1"/>
  <c r="C82" i="19"/>
  <c r="B82" i="19"/>
  <c r="R51" i="19"/>
  <c r="L51" i="19"/>
  <c r="K51" i="19"/>
  <c r="I51" i="19"/>
  <c r="H51" i="19"/>
  <c r="G51" i="19"/>
  <c r="F51" i="19"/>
  <c r="AB51" i="19" s="1"/>
  <c r="E51" i="19"/>
  <c r="D51" i="19"/>
  <c r="Z51" i="19" s="1"/>
  <c r="C51" i="19"/>
  <c r="B51" i="19"/>
  <c r="M51" i="20"/>
  <c r="AJ51" i="20" s="1"/>
  <c r="I51" i="20"/>
  <c r="K51" i="20"/>
  <c r="D51" i="20"/>
  <c r="T17" i="20"/>
  <c r="P64" i="20" s="1"/>
  <c r="AM64" i="20" s="1"/>
  <c r="K17" i="20"/>
  <c r="H64" i="20" s="1"/>
  <c r="AE64" i="20" s="1"/>
  <c r="P17" i="20"/>
  <c r="M64" i="20" s="1"/>
  <c r="AJ64" i="20" s="1"/>
  <c r="Q82" i="20"/>
  <c r="S82" i="20" s="1"/>
  <c r="R82" i="20"/>
  <c r="Q52" i="20"/>
  <c r="R52" i="20"/>
  <c r="Q53" i="20"/>
  <c r="R53" i="20"/>
  <c r="Q54" i="20"/>
  <c r="R54" i="20"/>
  <c r="R55" i="20"/>
  <c r="R56" i="20"/>
  <c r="R57" i="20"/>
  <c r="Q58" i="20"/>
  <c r="R58" i="20"/>
  <c r="Q59" i="20"/>
  <c r="R59" i="20"/>
  <c r="R60" i="20"/>
  <c r="Q61" i="20"/>
  <c r="R61" i="20"/>
  <c r="Q62" i="20"/>
  <c r="R62" i="20"/>
  <c r="R63" i="20"/>
  <c r="R64" i="20"/>
  <c r="R65" i="20"/>
  <c r="R66" i="20"/>
  <c r="Q67" i="20"/>
  <c r="S67" i="20" s="1"/>
  <c r="R67" i="20"/>
  <c r="R68" i="20"/>
  <c r="Q69" i="20"/>
  <c r="R69" i="20"/>
  <c r="Q70" i="20"/>
  <c r="R70" i="20"/>
  <c r="Q71" i="20"/>
  <c r="R71" i="20"/>
  <c r="R72" i="20"/>
  <c r="R83" i="20"/>
  <c r="Q84" i="20"/>
  <c r="R84" i="20"/>
  <c r="Q73" i="20"/>
  <c r="R73" i="20"/>
  <c r="Q74" i="20"/>
  <c r="R74" i="20"/>
  <c r="R75" i="20"/>
  <c r="Q76" i="20"/>
  <c r="R76" i="20"/>
  <c r="Q77" i="20"/>
  <c r="R77" i="20"/>
  <c r="Q78" i="20"/>
  <c r="R78" i="20"/>
  <c r="Q85" i="20"/>
  <c r="S85" i="20" s="1"/>
  <c r="R85" i="20"/>
  <c r="R79" i="20"/>
  <c r="Q80" i="20"/>
  <c r="R80" i="20"/>
  <c r="Q81" i="20"/>
  <c r="R81" i="20"/>
  <c r="R51" i="21"/>
  <c r="P51" i="21"/>
  <c r="M51" i="21"/>
  <c r="K51" i="21"/>
  <c r="I51" i="21"/>
  <c r="H51" i="21"/>
  <c r="G51" i="21"/>
  <c r="F51" i="21"/>
  <c r="E51" i="21"/>
  <c r="D51" i="21"/>
  <c r="R51" i="20"/>
  <c r="P51" i="20"/>
  <c r="AM51" i="20" s="1"/>
  <c r="H51" i="20"/>
  <c r="G51" i="20"/>
  <c r="F51" i="20"/>
  <c r="E51" i="20"/>
  <c r="B51" i="20"/>
  <c r="C81" i="20"/>
  <c r="B81" i="20"/>
  <c r="C80" i="20"/>
  <c r="B80" i="20"/>
  <c r="C79" i="20"/>
  <c r="B79" i="20"/>
  <c r="C85" i="20"/>
  <c r="B85" i="20"/>
  <c r="C78" i="20"/>
  <c r="B78" i="20"/>
  <c r="C77" i="20"/>
  <c r="B77" i="20"/>
  <c r="C76" i="20"/>
  <c r="B76" i="20"/>
  <c r="C75" i="20"/>
  <c r="B75" i="20"/>
  <c r="C74" i="20"/>
  <c r="B74" i="20"/>
  <c r="C73" i="20"/>
  <c r="B73" i="20"/>
  <c r="C84" i="20"/>
  <c r="B84" i="20"/>
  <c r="C83" i="20"/>
  <c r="B83" i="20"/>
  <c r="C72" i="20"/>
  <c r="B72" i="20"/>
  <c r="C71" i="20"/>
  <c r="B71" i="20"/>
  <c r="C70" i="20"/>
  <c r="B70" i="20"/>
  <c r="C69" i="20"/>
  <c r="B69" i="20"/>
  <c r="C68" i="20"/>
  <c r="B68" i="20"/>
  <c r="C67" i="20"/>
  <c r="B67" i="20"/>
  <c r="C66" i="20"/>
  <c r="B66" i="20"/>
  <c r="C65" i="20"/>
  <c r="B65" i="20"/>
  <c r="C64" i="20"/>
  <c r="B64" i="20"/>
  <c r="C63" i="20"/>
  <c r="B63" i="20"/>
  <c r="C62" i="20"/>
  <c r="B62" i="20"/>
  <c r="C61" i="20"/>
  <c r="B61" i="20"/>
  <c r="C60" i="20"/>
  <c r="B60" i="20"/>
  <c r="C59" i="20"/>
  <c r="B59" i="20"/>
  <c r="C58" i="20"/>
  <c r="B58" i="20"/>
  <c r="C57" i="20"/>
  <c r="B57" i="20"/>
  <c r="C56" i="20"/>
  <c r="B56" i="20"/>
  <c r="C55" i="20"/>
  <c r="B55" i="20"/>
  <c r="C54" i="20"/>
  <c r="B54" i="20"/>
  <c r="C53" i="20"/>
  <c r="B53" i="20"/>
  <c r="C52" i="20"/>
  <c r="B52" i="20"/>
  <c r="C82" i="20"/>
  <c r="B82" i="20"/>
  <c r="C51" i="20"/>
  <c r="C82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83" i="21"/>
  <c r="C51" i="21"/>
  <c r="B82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83" i="21"/>
  <c r="B51" i="21"/>
  <c r="B51" i="14"/>
  <c r="B83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84" i="14"/>
  <c r="B85" i="14"/>
  <c r="B73" i="14"/>
  <c r="B74" i="14"/>
  <c r="B75" i="14"/>
  <c r="B76" i="14"/>
  <c r="B77" i="14"/>
  <c r="B86" i="14"/>
  <c r="B78" i="14"/>
  <c r="B79" i="14"/>
  <c r="B80" i="14"/>
  <c r="B81" i="14"/>
  <c r="U82" i="21"/>
  <c r="T82" i="21"/>
  <c r="T55" i="21"/>
  <c r="T57" i="21"/>
  <c r="T58" i="21"/>
  <c r="U59" i="21"/>
  <c r="U60" i="21"/>
  <c r="U61" i="21"/>
  <c r="U63" i="21"/>
  <c r="T64" i="21"/>
  <c r="T66" i="21"/>
  <c r="T67" i="21"/>
  <c r="A51" i="21"/>
  <c r="T51" i="21" s="1"/>
  <c r="U80" i="18"/>
  <c r="T52" i="18"/>
  <c r="T53" i="18"/>
  <c r="U60" i="18"/>
  <c r="T61" i="18"/>
  <c r="U64" i="18"/>
  <c r="U65" i="18"/>
  <c r="T82" i="18"/>
  <c r="T71" i="18"/>
  <c r="U73" i="18"/>
  <c r="T74" i="18"/>
  <c r="T83" i="18"/>
  <c r="T77" i="18"/>
  <c r="Q78" i="4"/>
  <c r="S78" i="4" s="1"/>
  <c r="R49" i="12"/>
  <c r="P49" i="12"/>
  <c r="M49" i="12"/>
  <c r="L49" i="12"/>
  <c r="K49" i="12"/>
  <c r="J49" i="12"/>
  <c r="I49" i="12"/>
  <c r="H49" i="12"/>
  <c r="G49" i="12"/>
  <c r="F49" i="12"/>
  <c r="E49" i="12"/>
  <c r="D49" i="12"/>
  <c r="Z49" i="11" s="1"/>
  <c r="Q60" i="18"/>
  <c r="S60" i="18" s="1"/>
  <c r="Q81" i="18"/>
  <c r="S81" i="18" s="1"/>
  <c r="R49" i="18"/>
  <c r="P49" i="18"/>
  <c r="M49" i="18"/>
  <c r="L49" i="18"/>
  <c r="K49" i="18"/>
  <c r="I49" i="18"/>
  <c r="H49" i="18"/>
  <c r="G49" i="18"/>
  <c r="F49" i="18"/>
  <c r="E49" i="18"/>
  <c r="D49" i="18"/>
  <c r="T69" i="21"/>
  <c r="U69" i="21"/>
  <c r="U57" i="21"/>
  <c r="T68" i="21"/>
  <c r="U68" i="21"/>
  <c r="T56" i="21"/>
  <c r="U56" i="21"/>
  <c r="U67" i="21"/>
  <c r="U58" i="21"/>
  <c r="T54" i="21"/>
  <c r="U54" i="21"/>
  <c r="T65" i="21"/>
  <c r="U65" i="21"/>
  <c r="T53" i="21"/>
  <c r="U53" i="21"/>
  <c r="T52" i="21"/>
  <c r="U52" i="21"/>
  <c r="T59" i="21"/>
  <c r="U62" i="21"/>
  <c r="T62" i="21"/>
  <c r="U51" i="21"/>
  <c r="T83" i="21"/>
  <c r="U83" i="21"/>
  <c r="T61" i="21"/>
  <c r="T72" i="21"/>
  <c r="U72" i="21"/>
  <c r="T60" i="21"/>
  <c r="U83" i="18"/>
  <c r="T67" i="18"/>
  <c r="U67" i="18"/>
  <c r="T55" i="18"/>
  <c r="U55" i="18"/>
  <c r="T76" i="18"/>
  <c r="U76" i="18"/>
  <c r="U66" i="18"/>
  <c r="T66" i="18"/>
  <c r="T54" i="18"/>
  <c r="U54" i="18"/>
  <c r="T75" i="18"/>
  <c r="U75" i="18"/>
  <c r="T65" i="18"/>
  <c r="T64" i="18"/>
  <c r="U52" i="18"/>
  <c r="T73" i="18"/>
  <c r="T63" i="18"/>
  <c r="U63" i="18"/>
  <c r="T51" i="18"/>
  <c r="U51" i="18"/>
  <c r="U72" i="18"/>
  <c r="T72" i="18"/>
  <c r="U62" i="18"/>
  <c r="T62" i="18"/>
  <c r="U50" i="18"/>
  <c r="T50" i="18"/>
  <c r="T80" i="18"/>
  <c r="U82" i="18"/>
  <c r="T60" i="18"/>
  <c r="U61" i="18"/>
  <c r="T81" i="18"/>
  <c r="U81" i="18"/>
  <c r="T59" i="18"/>
  <c r="U59" i="18"/>
  <c r="T79" i="18"/>
  <c r="U79" i="18"/>
  <c r="T70" i="18"/>
  <c r="U70" i="18"/>
  <c r="T58" i="18"/>
  <c r="U58" i="18"/>
  <c r="Q65" i="20"/>
  <c r="S65" i="20" s="1"/>
  <c r="Q73" i="4"/>
  <c r="S73" i="4" s="1"/>
  <c r="Q55" i="18"/>
  <c r="S55" i="18" s="1"/>
  <c r="Q68" i="20"/>
  <c r="S68" i="20" s="1"/>
  <c r="Q64" i="14"/>
  <c r="S64" i="14" s="1"/>
  <c r="Q58" i="14"/>
  <c r="S58" i="14" s="1"/>
  <c r="Q77" i="14"/>
  <c r="S77" i="14" s="1"/>
  <c r="Q59" i="21"/>
  <c r="S59" i="21" s="1"/>
  <c r="Q61" i="21"/>
  <c r="S61" i="21" s="1"/>
  <c r="Q66" i="21"/>
  <c r="S66" i="21" s="1"/>
  <c r="AV5" i="14"/>
  <c r="AW5" i="14"/>
  <c r="AV4" i="14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C44" i="16"/>
  <c r="D44" i="16" s="1"/>
  <c r="AM42" i="16"/>
  <c r="I42" i="16"/>
  <c r="AG25" i="16" s="1"/>
  <c r="H42" i="16"/>
  <c r="T28" i="16" s="1"/>
  <c r="G42" i="16"/>
  <c r="F42" i="16"/>
  <c r="E42" i="16"/>
  <c r="AE25" i="16" s="1"/>
  <c r="C42" i="16"/>
  <c r="D42" i="16" s="1"/>
  <c r="AM41" i="16"/>
  <c r="I41" i="16"/>
  <c r="AG37" i="16" s="1"/>
  <c r="H41" i="16"/>
  <c r="AF37" i="16" s="1"/>
  <c r="G41" i="16"/>
  <c r="F41" i="16"/>
  <c r="E41" i="16"/>
  <c r="AE37" i="16" s="1"/>
  <c r="C41" i="16"/>
  <c r="D41" i="16" s="1"/>
  <c r="AM40" i="16"/>
  <c r="I40" i="16"/>
  <c r="AG15" i="16"/>
  <c r="H40" i="16"/>
  <c r="AF15" i="16" s="1"/>
  <c r="G40" i="16"/>
  <c r="F40" i="16"/>
  <c r="E40" i="16"/>
  <c r="S24" i="16" s="1"/>
  <c r="C40" i="16"/>
  <c r="D40" i="16"/>
  <c r="AM39" i="16"/>
  <c r="I39" i="16"/>
  <c r="AG18" i="16" s="1"/>
  <c r="H39" i="16"/>
  <c r="AF18" i="16" s="1"/>
  <c r="G39" i="16"/>
  <c r="F39" i="16"/>
  <c r="E39" i="16"/>
  <c r="S32" i="16" s="1"/>
  <c r="AE18" i="16"/>
  <c r="C39" i="16"/>
  <c r="D39" i="16" s="1"/>
  <c r="AM38" i="16"/>
  <c r="I38" i="16"/>
  <c r="AG9" i="16" s="1"/>
  <c r="H38" i="16"/>
  <c r="AF9" i="16" s="1"/>
  <c r="G38" i="16"/>
  <c r="F38" i="16"/>
  <c r="E38" i="16"/>
  <c r="AE9" i="16" s="1"/>
  <c r="C38" i="16"/>
  <c r="D38" i="16" s="1"/>
  <c r="AM37" i="16"/>
  <c r="I37" i="16"/>
  <c r="AG38" i="16" s="1"/>
  <c r="H37" i="16"/>
  <c r="AF38" i="16" s="1"/>
  <c r="G37" i="16"/>
  <c r="F37" i="16"/>
  <c r="E37" i="16"/>
  <c r="AE38" i="16" s="1"/>
  <c r="C37" i="16"/>
  <c r="D37" i="16" s="1"/>
  <c r="AM36" i="16"/>
  <c r="I36" i="16"/>
  <c r="AG24" i="16" s="1"/>
  <c r="H36" i="16"/>
  <c r="AF24" i="16" s="1"/>
  <c r="G36" i="16"/>
  <c r="F36" i="16"/>
  <c r="E36" i="16"/>
  <c r="S30" i="16" s="1"/>
  <c r="C36" i="16"/>
  <c r="D36" i="16" s="1"/>
  <c r="AM35" i="16"/>
  <c r="I35" i="16"/>
  <c r="AG27" i="16" s="1"/>
  <c r="H35" i="16"/>
  <c r="T29" i="16" s="1"/>
  <c r="G35" i="16"/>
  <c r="F35" i="16"/>
  <c r="E35" i="16"/>
  <c r="S29" i="16" s="1"/>
  <c r="C35" i="16"/>
  <c r="D35" i="16" s="1"/>
  <c r="AM34" i="16"/>
  <c r="I34" i="16"/>
  <c r="AG41" i="16" s="1"/>
  <c r="H34" i="16"/>
  <c r="T42" i="16" s="1"/>
  <c r="G34" i="16"/>
  <c r="F34" i="16"/>
  <c r="E34" i="16"/>
  <c r="AE41" i="16" s="1"/>
  <c r="C34" i="16"/>
  <c r="D34" i="16" s="1"/>
  <c r="AM33" i="16"/>
  <c r="I33" i="16"/>
  <c r="AG10" i="16" s="1"/>
  <c r="H33" i="16"/>
  <c r="T14" i="16" s="1"/>
  <c r="G33" i="16"/>
  <c r="F33" i="16"/>
  <c r="E33" i="16"/>
  <c r="AE10" i="16" s="1"/>
  <c r="C33" i="16"/>
  <c r="D33" i="16" s="1"/>
  <c r="AM32" i="16"/>
  <c r="I32" i="16"/>
  <c r="AG39" i="16" s="1"/>
  <c r="H32" i="16"/>
  <c r="AF39" i="16" s="1"/>
  <c r="T26" i="16"/>
  <c r="G32" i="16"/>
  <c r="F32" i="16"/>
  <c r="E32" i="16"/>
  <c r="S26" i="16" s="1"/>
  <c r="AE39" i="16"/>
  <c r="C32" i="16"/>
  <c r="D32" i="16" s="1"/>
  <c r="AM31" i="16"/>
  <c r="I31" i="16"/>
  <c r="AG35" i="16" s="1"/>
  <c r="H31" i="16"/>
  <c r="T39" i="16" s="1"/>
  <c r="G31" i="16"/>
  <c r="F31" i="16"/>
  <c r="E31" i="16"/>
  <c r="S39" i="16" s="1"/>
  <c r="C31" i="16"/>
  <c r="D31" i="16" s="1"/>
  <c r="AM30" i="16"/>
  <c r="I30" i="16"/>
  <c r="AG22" i="16" s="1"/>
  <c r="H30" i="16"/>
  <c r="AF22" i="16" s="1"/>
  <c r="G30" i="16"/>
  <c r="F30" i="16"/>
  <c r="E30" i="16"/>
  <c r="S36" i="16" s="1"/>
  <c r="C30" i="16"/>
  <c r="D30" i="16" s="1"/>
  <c r="AM29" i="16"/>
  <c r="I29" i="16"/>
  <c r="AG28" i="16" s="1"/>
  <c r="H29" i="16"/>
  <c r="AF28" i="16" s="1"/>
  <c r="G29" i="16"/>
  <c r="F29" i="16"/>
  <c r="E29" i="16"/>
  <c r="AE28" i="16" s="1"/>
  <c r="C29" i="16"/>
  <c r="D29" i="16" s="1"/>
  <c r="AM28" i="16"/>
  <c r="I28" i="16"/>
  <c r="AG12" i="16" s="1"/>
  <c r="H28" i="16"/>
  <c r="AF12" i="16" s="1"/>
  <c r="G28" i="16"/>
  <c r="F28" i="16"/>
  <c r="E28" i="16"/>
  <c r="S12" i="16" s="1"/>
  <c r="C28" i="16"/>
  <c r="D28" i="16" s="1"/>
  <c r="AM27" i="16"/>
  <c r="I27" i="16"/>
  <c r="H27" i="16"/>
  <c r="AF13" i="16" s="1"/>
  <c r="G27" i="16"/>
  <c r="F27" i="16"/>
  <c r="E27" i="16"/>
  <c r="S11" i="16" s="1"/>
  <c r="C27" i="16"/>
  <c r="D27" i="16" s="1"/>
  <c r="AM26" i="16"/>
  <c r="I26" i="16"/>
  <c r="AG32" i="16" s="1"/>
  <c r="H26" i="16"/>
  <c r="AF32" i="16" s="1"/>
  <c r="G26" i="16"/>
  <c r="F26" i="16"/>
  <c r="E26" i="16"/>
  <c r="S23" i="16" s="1"/>
  <c r="C26" i="16"/>
  <c r="D26" i="16" s="1"/>
  <c r="AM25" i="16"/>
  <c r="I25" i="16"/>
  <c r="AG7" i="16" s="1"/>
  <c r="H25" i="16"/>
  <c r="T10" i="16" s="1"/>
  <c r="G25" i="16"/>
  <c r="F25" i="16"/>
  <c r="E25" i="16"/>
  <c r="AE7" i="16" s="1"/>
  <c r="C25" i="16"/>
  <c r="D25" i="16" s="1"/>
  <c r="AM24" i="16"/>
  <c r="I24" i="16"/>
  <c r="AG36" i="16" s="1"/>
  <c r="H24" i="16"/>
  <c r="AF36" i="16" s="1"/>
  <c r="G24" i="16"/>
  <c r="F24" i="16"/>
  <c r="E24" i="16"/>
  <c r="S20" i="16" s="1"/>
  <c r="C24" i="16"/>
  <c r="D24" i="16" s="1"/>
  <c r="AM23" i="16"/>
  <c r="I23" i="16"/>
  <c r="AG21" i="16" s="1"/>
  <c r="H23" i="16"/>
  <c r="G23" i="16"/>
  <c r="F23" i="16"/>
  <c r="E23" i="16"/>
  <c r="S27" i="16" s="1"/>
  <c r="C23" i="16"/>
  <c r="D23" i="16" s="1"/>
  <c r="AM22" i="16"/>
  <c r="I22" i="16"/>
  <c r="AG17" i="16" s="1"/>
  <c r="H22" i="16"/>
  <c r="T22" i="16" s="1"/>
  <c r="G22" i="16"/>
  <c r="F22" i="16"/>
  <c r="E22" i="16"/>
  <c r="S22" i="16" s="1"/>
  <c r="C22" i="16"/>
  <c r="D22" i="16" s="1"/>
  <c r="AM21" i="16"/>
  <c r="I21" i="16"/>
  <c r="AG34" i="16" s="1"/>
  <c r="H21" i="16"/>
  <c r="AF34" i="16" s="1"/>
  <c r="G21" i="16"/>
  <c r="F21" i="16"/>
  <c r="E21" i="16"/>
  <c r="S33" i="16" s="1"/>
  <c r="C21" i="16"/>
  <c r="D21" i="16" s="1"/>
  <c r="AM20" i="16"/>
  <c r="I20" i="16"/>
  <c r="AG30" i="16" s="1"/>
  <c r="H20" i="16"/>
  <c r="T19" i="16" s="1"/>
  <c r="G20" i="16"/>
  <c r="F20" i="16"/>
  <c r="E20" i="16"/>
  <c r="S19" i="16" s="1"/>
  <c r="C20" i="16"/>
  <c r="D20" i="16" s="1"/>
  <c r="AM19" i="16"/>
  <c r="I19" i="16"/>
  <c r="AG11" i="16" s="1"/>
  <c r="H19" i="16"/>
  <c r="T16" i="16" s="1"/>
  <c r="G19" i="16"/>
  <c r="F19" i="16"/>
  <c r="E19" i="16"/>
  <c r="AE11" i="16" s="1"/>
  <c r="C19" i="16"/>
  <c r="D19" i="16" s="1"/>
  <c r="AM18" i="16"/>
  <c r="I18" i="16"/>
  <c r="AG14" i="16" s="1"/>
  <c r="H18" i="16"/>
  <c r="T21" i="16" s="1"/>
  <c r="G18" i="16"/>
  <c r="F18" i="16"/>
  <c r="E18" i="16"/>
  <c r="AE14" i="16" s="1"/>
  <c r="C18" i="16"/>
  <c r="D18" i="16" s="1"/>
  <c r="AM17" i="16"/>
  <c r="I17" i="16"/>
  <c r="AG23" i="16" s="1"/>
  <c r="H17" i="16"/>
  <c r="AF23" i="16" s="1"/>
  <c r="G17" i="16"/>
  <c r="F17" i="16"/>
  <c r="E17" i="16"/>
  <c r="AE23" i="16" s="1"/>
  <c r="C17" i="16"/>
  <c r="D17" i="16" s="1"/>
  <c r="AM16" i="16"/>
  <c r="I16" i="16"/>
  <c r="AG40" i="16" s="1"/>
  <c r="H16" i="16"/>
  <c r="AF40" i="16" s="1"/>
  <c r="G16" i="16"/>
  <c r="F16" i="16"/>
  <c r="E16" i="16"/>
  <c r="S9" i="16" s="1"/>
  <c r="C16" i="16"/>
  <c r="D16" i="16" s="1"/>
  <c r="AM15" i="16"/>
  <c r="I15" i="16"/>
  <c r="AG19" i="16" s="1"/>
  <c r="H15" i="16"/>
  <c r="T31" i="16" s="1"/>
  <c r="G15" i="16"/>
  <c r="F15" i="16"/>
  <c r="E15" i="16"/>
  <c r="AE19" i="16" s="1"/>
  <c r="C15" i="16"/>
  <c r="D15" i="16" s="1"/>
  <c r="AM14" i="16"/>
  <c r="I14" i="16"/>
  <c r="AG29" i="16" s="1"/>
  <c r="H14" i="16"/>
  <c r="AF29" i="16" s="1"/>
  <c r="G14" i="16"/>
  <c r="F14" i="16"/>
  <c r="E14" i="16"/>
  <c r="AE29" i="16" s="1"/>
  <c r="C14" i="16"/>
  <c r="D14" i="16" s="1"/>
  <c r="AM13" i="16"/>
  <c r="I13" i="16"/>
  <c r="AG31" i="16" s="1"/>
  <c r="H13" i="16"/>
  <c r="AF31" i="16" s="1"/>
  <c r="G13" i="16"/>
  <c r="F13" i="16"/>
  <c r="E13" i="16"/>
  <c r="AE31" i="16" s="1"/>
  <c r="C13" i="16"/>
  <c r="D13" i="16" s="1"/>
  <c r="AM12" i="16"/>
  <c r="I12" i="16"/>
  <c r="AG42" i="16" s="1"/>
  <c r="H12" i="16"/>
  <c r="AF42" i="16" s="1"/>
  <c r="G12" i="16"/>
  <c r="F12" i="16"/>
  <c r="E12" i="16"/>
  <c r="AE42" i="16" s="1"/>
  <c r="C12" i="16"/>
  <c r="D12" i="16" s="1"/>
  <c r="AM11" i="16"/>
  <c r="I11" i="16"/>
  <c r="AG8" i="16" s="1"/>
  <c r="H11" i="16"/>
  <c r="T7" i="16" s="1"/>
  <c r="G11" i="16"/>
  <c r="F11" i="16"/>
  <c r="E11" i="16"/>
  <c r="AE8" i="16" s="1"/>
  <c r="C11" i="16"/>
  <c r="D11" i="16" s="1"/>
  <c r="AM10" i="16"/>
  <c r="I10" i="16"/>
  <c r="AG26" i="16" s="1"/>
  <c r="H10" i="16"/>
  <c r="AF26" i="16" s="1"/>
  <c r="G10" i="16"/>
  <c r="F10" i="16"/>
  <c r="E10" i="16"/>
  <c r="AE26" i="16" s="1"/>
  <c r="C10" i="16"/>
  <c r="D10" i="16" s="1"/>
  <c r="AM9" i="16"/>
  <c r="I9" i="16"/>
  <c r="AG20" i="16" s="1"/>
  <c r="H9" i="16"/>
  <c r="AF20" i="16" s="1"/>
  <c r="G9" i="16"/>
  <c r="F9" i="16"/>
  <c r="E9" i="16"/>
  <c r="AE20" i="16" s="1"/>
  <c r="C9" i="16"/>
  <c r="D9" i="16" s="1"/>
  <c r="AM8" i="16"/>
  <c r="I8" i="16"/>
  <c r="AG33" i="16" s="1"/>
  <c r="H8" i="16"/>
  <c r="AF33" i="16" s="1"/>
  <c r="G8" i="16"/>
  <c r="F8" i="16"/>
  <c r="E8" i="16"/>
  <c r="AE33" i="16" s="1"/>
  <c r="C8" i="16"/>
  <c r="D8" i="16" s="1"/>
  <c r="AM7" i="16"/>
  <c r="I7" i="16"/>
  <c r="AG16" i="16" s="1"/>
  <c r="H7" i="16"/>
  <c r="T17" i="16" s="1"/>
  <c r="G7" i="16"/>
  <c r="F7" i="16"/>
  <c r="E7" i="16"/>
  <c r="AE16" i="16" s="1"/>
  <c r="C7" i="16"/>
  <c r="D7" i="16" s="1"/>
  <c r="AM6" i="16"/>
  <c r="I6" i="16"/>
  <c r="AG6" i="16" s="1"/>
  <c r="H6" i="16"/>
  <c r="T6" i="16" s="1"/>
  <c r="G6" i="16"/>
  <c r="F6" i="16"/>
  <c r="E6" i="16"/>
  <c r="AE6" i="16" s="1"/>
  <c r="C6" i="16"/>
  <c r="D6" i="16" s="1"/>
  <c r="AF10" i="16"/>
  <c r="AF11" i="16"/>
  <c r="AE30" i="16"/>
  <c r="AV40" i="14"/>
  <c r="AW40" i="14" s="1"/>
  <c r="AW4" i="14"/>
  <c r="AV6" i="14"/>
  <c r="AW6" i="14" s="1"/>
  <c r="AV7" i="14"/>
  <c r="AW7" i="14"/>
  <c r="AV8" i="14"/>
  <c r="AW8" i="14" s="1"/>
  <c r="AV9" i="14"/>
  <c r="AW9" i="14"/>
  <c r="AV10" i="14"/>
  <c r="AW10" i="14"/>
  <c r="AV11" i="14"/>
  <c r="AW11" i="14"/>
  <c r="AV12" i="14"/>
  <c r="AW12" i="14" s="1"/>
  <c r="AV13" i="14"/>
  <c r="AW13" i="14"/>
  <c r="AV14" i="14"/>
  <c r="AW14" i="14" s="1"/>
  <c r="AV15" i="14"/>
  <c r="AW15" i="14"/>
  <c r="AV16" i="14"/>
  <c r="AW16" i="14"/>
  <c r="AV17" i="14"/>
  <c r="AW17" i="14"/>
  <c r="AV18" i="14"/>
  <c r="AW18" i="14" s="1"/>
  <c r="AV19" i="14"/>
  <c r="AW19" i="14"/>
  <c r="AV20" i="14"/>
  <c r="AW20" i="14" s="1"/>
  <c r="AV21" i="14"/>
  <c r="AW21" i="14"/>
  <c r="AV22" i="14"/>
  <c r="AW22" i="14"/>
  <c r="AV23" i="14"/>
  <c r="AW23" i="14"/>
  <c r="AV24" i="14"/>
  <c r="AW24" i="14" s="1"/>
  <c r="AV25" i="14"/>
  <c r="AW25" i="14"/>
  <c r="AV26" i="14"/>
  <c r="AW26" i="14" s="1"/>
  <c r="AV27" i="14"/>
  <c r="AW27" i="14"/>
  <c r="AV28" i="14"/>
  <c r="AW28" i="14"/>
  <c r="AV29" i="14"/>
  <c r="AW29" i="14"/>
  <c r="AV30" i="14"/>
  <c r="AW30" i="14" s="1"/>
  <c r="AV31" i="14"/>
  <c r="AW31" i="14"/>
  <c r="AV32" i="14"/>
  <c r="AW32" i="14" s="1"/>
  <c r="AV33" i="14"/>
  <c r="AW33" i="14"/>
  <c r="AV34" i="14"/>
  <c r="AW34" i="14"/>
  <c r="AV35" i="14"/>
  <c r="AW35" i="14"/>
  <c r="AV36" i="14"/>
  <c r="AW36" i="14" s="1"/>
  <c r="AV37" i="14"/>
  <c r="AW37" i="14"/>
  <c r="AV38" i="14"/>
  <c r="AW38" i="14" s="1"/>
  <c r="AV39" i="14"/>
  <c r="AW39" i="14"/>
  <c r="AV3" i="14"/>
  <c r="AW3" i="14"/>
  <c r="U113" i="10"/>
  <c r="T113" i="10"/>
  <c r="S113" i="10"/>
  <c r="R113" i="10"/>
  <c r="Q113" i="10"/>
  <c r="P113" i="10"/>
  <c r="O113" i="10"/>
  <c r="N113" i="10"/>
  <c r="M113" i="10"/>
  <c r="L113" i="10"/>
  <c r="J113" i="10"/>
  <c r="I113" i="10"/>
  <c r="H113" i="10"/>
  <c r="G113" i="10"/>
  <c r="F113" i="10"/>
  <c r="E113" i="10"/>
  <c r="C113" i="10"/>
  <c r="U112" i="10"/>
  <c r="T112" i="10"/>
  <c r="S112" i="10"/>
  <c r="R112" i="10"/>
  <c r="Q112" i="10"/>
  <c r="P112" i="10"/>
  <c r="O112" i="10"/>
  <c r="N112" i="10"/>
  <c r="M112" i="10"/>
  <c r="L112" i="10"/>
  <c r="J112" i="10"/>
  <c r="I112" i="10"/>
  <c r="H112" i="10"/>
  <c r="G112" i="10"/>
  <c r="F112" i="10"/>
  <c r="E112" i="10"/>
  <c r="C112" i="10"/>
  <c r="U111" i="10"/>
  <c r="T111" i="10"/>
  <c r="S111" i="10"/>
  <c r="R111" i="10"/>
  <c r="Q111" i="10"/>
  <c r="P111" i="10"/>
  <c r="O111" i="10"/>
  <c r="N111" i="10"/>
  <c r="M111" i="10"/>
  <c r="L111" i="10"/>
  <c r="J111" i="10"/>
  <c r="I111" i="10"/>
  <c r="H111" i="10"/>
  <c r="G111" i="10"/>
  <c r="F111" i="10"/>
  <c r="E111" i="10"/>
  <c r="C111" i="10"/>
  <c r="U110" i="10"/>
  <c r="T110" i="10"/>
  <c r="S110" i="10"/>
  <c r="R110" i="10"/>
  <c r="Q110" i="10"/>
  <c r="P110" i="10"/>
  <c r="O110" i="10"/>
  <c r="N110" i="10"/>
  <c r="M110" i="10"/>
  <c r="L110" i="10"/>
  <c r="J110" i="10"/>
  <c r="I110" i="10"/>
  <c r="H110" i="10"/>
  <c r="G110" i="10"/>
  <c r="F110" i="10"/>
  <c r="E110" i="10"/>
  <c r="C110" i="10"/>
  <c r="U109" i="10"/>
  <c r="T109" i="10"/>
  <c r="S109" i="10"/>
  <c r="R109" i="10"/>
  <c r="Q109" i="10"/>
  <c r="P109" i="10"/>
  <c r="O109" i="10"/>
  <c r="N109" i="10"/>
  <c r="M109" i="10"/>
  <c r="L109" i="10"/>
  <c r="J109" i="10"/>
  <c r="I109" i="10"/>
  <c r="H109" i="10"/>
  <c r="G109" i="10"/>
  <c r="F109" i="10"/>
  <c r="E109" i="10"/>
  <c r="C109" i="10"/>
  <c r="U108" i="10"/>
  <c r="T108" i="10"/>
  <c r="S108" i="10"/>
  <c r="R108" i="10"/>
  <c r="Q108" i="10"/>
  <c r="P108" i="10"/>
  <c r="O108" i="10"/>
  <c r="N108" i="10"/>
  <c r="M108" i="10"/>
  <c r="L108" i="10"/>
  <c r="J108" i="10"/>
  <c r="I108" i="10"/>
  <c r="H108" i="10"/>
  <c r="G108" i="10"/>
  <c r="F108" i="10"/>
  <c r="E108" i="10"/>
  <c r="C108" i="10"/>
  <c r="U107" i="10"/>
  <c r="T107" i="10"/>
  <c r="S107" i="10"/>
  <c r="R107" i="10"/>
  <c r="Q107" i="10"/>
  <c r="P107" i="10"/>
  <c r="O107" i="10"/>
  <c r="N107" i="10"/>
  <c r="M107" i="10"/>
  <c r="L107" i="10"/>
  <c r="J107" i="10"/>
  <c r="I107" i="10"/>
  <c r="H107" i="10"/>
  <c r="G107" i="10"/>
  <c r="F107" i="10"/>
  <c r="E107" i="10"/>
  <c r="C107" i="10"/>
  <c r="U106" i="10"/>
  <c r="T106" i="10"/>
  <c r="S106" i="10"/>
  <c r="R106" i="10"/>
  <c r="Q106" i="10"/>
  <c r="P106" i="10"/>
  <c r="O106" i="10"/>
  <c r="N106" i="10"/>
  <c r="M106" i="10"/>
  <c r="L106" i="10"/>
  <c r="J106" i="10"/>
  <c r="I106" i="10"/>
  <c r="H106" i="10"/>
  <c r="G106" i="10"/>
  <c r="F106" i="10"/>
  <c r="E106" i="10"/>
  <c r="C106" i="10"/>
  <c r="U105" i="10"/>
  <c r="T105" i="10"/>
  <c r="S105" i="10"/>
  <c r="R105" i="10"/>
  <c r="Q105" i="10"/>
  <c r="P105" i="10"/>
  <c r="O105" i="10"/>
  <c r="N105" i="10"/>
  <c r="M105" i="10"/>
  <c r="L105" i="10"/>
  <c r="J105" i="10"/>
  <c r="I105" i="10"/>
  <c r="H105" i="10"/>
  <c r="G105" i="10"/>
  <c r="F105" i="10"/>
  <c r="E105" i="10"/>
  <c r="C105" i="10"/>
  <c r="U104" i="10"/>
  <c r="T104" i="10"/>
  <c r="S104" i="10"/>
  <c r="R104" i="10"/>
  <c r="Q104" i="10"/>
  <c r="P104" i="10"/>
  <c r="O104" i="10"/>
  <c r="N104" i="10"/>
  <c r="M104" i="10"/>
  <c r="L104" i="10"/>
  <c r="J104" i="10"/>
  <c r="I104" i="10"/>
  <c r="H104" i="10"/>
  <c r="G104" i="10"/>
  <c r="F104" i="10"/>
  <c r="E104" i="10"/>
  <c r="C104" i="10"/>
  <c r="U103" i="10"/>
  <c r="T103" i="10"/>
  <c r="S103" i="10"/>
  <c r="R103" i="10"/>
  <c r="Q103" i="10"/>
  <c r="P103" i="10"/>
  <c r="O103" i="10"/>
  <c r="N103" i="10"/>
  <c r="M103" i="10"/>
  <c r="L103" i="10"/>
  <c r="J103" i="10"/>
  <c r="I103" i="10"/>
  <c r="H103" i="10"/>
  <c r="G103" i="10"/>
  <c r="F103" i="10"/>
  <c r="E103" i="10"/>
  <c r="C103" i="10"/>
  <c r="U102" i="10"/>
  <c r="T102" i="10"/>
  <c r="S102" i="10"/>
  <c r="R102" i="10"/>
  <c r="Q102" i="10"/>
  <c r="P102" i="10"/>
  <c r="O102" i="10"/>
  <c r="N102" i="10"/>
  <c r="M102" i="10"/>
  <c r="L102" i="10"/>
  <c r="J102" i="10"/>
  <c r="I102" i="10"/>
  <c r="H102" i="10"/>
  <c r="G102" i="10"/>
  <c r="F102" i="10"/>
  <c r="E102" i="10"/>
  <c r="C102" i="10"/>
  <c r="U101" i="10"/>
  <c r="T101" i="10"/>
  <c r="S101" i="10"/>
  <c r="R101" i="10"/>
  <c r="Q101" i="10"/>
  <c r="P101" i="10"/>
  <c r="O101" i="10"/>
  <c r="N101" i="10"/>
  <c r="M101" i="10"/>
  <c r="L101" i="10"/>
  <c r="J101" i="10"/>
  <c r="I101" i="10"/>
  <c r="H101" i="10"/>
  <c r="G101" i="10"/>
  <c r="F101" i="10"/>
  <c r="E101" i="10"/>
  <c r="C101" i="10"/>
  <c r="U100" i="10"/>
  <c r="T100" i="10"/>
  <c r="S100" i="10"/>
  <c r="R100" i="10"/>
  <c r="Q100" i="10"/>
  <c r="P100" i="10"/>
  <c r="O100" i="10"/>
  <c r="N100" i="10"/>
  <c r="M100" i="10"/>
  <c r="L100" i="10"/>
  <c r="J100" i="10"/>
  <c r="I100" i="10"/>
  <c r="H100" i="10"/>
  <c r="G100" i="10"/>
  <c r="F100" i="10"/>
  <c r="E100" i="10"/>
  <c r="C100" i="10"/>
  <c r="U99" i="10"/>
  <c r="T99" i="10"/>
  <c r="S99" i="10"/>
  <c r="R99" i="10"/>
  <c r="Q99" i="10"/>
  <c r="P99" i="10"/>
  <c r="O99" i="10"/>
  <c r="N99" i="10"/>
  <c r="M99" i="10"/>
  <c r="L99" i="10"/>
  <c r="J99" i="10"/>
  <c r="I99" i="10"/>
  <c r="H99" i="10"/>
  <c r="G99" i="10"/>
  <c r="F99" i="10"/>
  <c r="E99" i="10"/>
  <c r="C99" i="10"/>
  <c r="U98" i="10"/>
  <c r="T98" i="10"/>
  <c r="S98" i="10"/>
  <c r="R98" i="10"/>
  <c r="Q98" i="10"/>
  <c r="P98" i="10"/>
  <c r="O98" i="10"/>
  <c r="N98" i="10"/>
  <c r="M98" i="10"/>
  <c r="L98" i="10"/>
  <c r="J98" i="10"/>
  <c r="I98" i="10"/>
  <c r="H98" i="10"/>
  <c r="G98" i="10"/>
  <c r="F98" i="10"/>
  <c r="E98" i="10"/>
  <c r="C98" i="10"/>
  <c r="U97" i="10"/>
  <c r="T97" i="10"/>
  <c r="T18" i="10" s="1"/>
  <c r="S97" i="10"/>
  <c r="R97" i="10"/>
  <c r="Q97" i="10"/>
  <c r="P97" i="10"/>
  <c r="O97" i="10"/>
  <c r="N97" i="10"/>
  <c r="M97" i="10"/>
  <c r="L97" i="10"/>
  <c r="J97" i="10"/>
  <c r="I97" i="10"/>
  <c r="H97" i="10"/>
  <c r="G97" i="10"/>
  <c r="F97" i="10"/>
  <c r="E97" i="10"/>
  <c r="C97" i="10"/>
  <c r="U96" i="10"/>
  <c r="T96" i="10"/>
  <c r="S96" i="10"/>
  <c r="R96" i="10"/>
  <c r="Q96" i="10"/>
  <c r="P96" i="10"/>
  <c r="O96" i="10"/>
  <c r="N96" i="10"/>
  <c r="M96" i="10"/>
  <c r="L96" i="10"/>
  <c r="J96" i="10"/>
  <c r="I96" i="10"/>
  <c r="H96" i="10"/>
  <c r="G96" i="10"/>
  <c r="F96" i="10"/>
  <c r="E96" i="10"/>
  <c r="C96" i="10"/>
  <c r="U95" i="10"/>
  <c r="T95" i="10"/>
  <c r="S95" i="10"/>
  <c r="R95" i="10"/>
  <c r="Q95" i="10"/>
  <c r="P95" i="10"/>
  <c r="O95" i="10"/>
  <c r="N95" i="10"/>
  <c r="M95" i="10"/>
  <c r="L95" i="10"/>
  <c r="J95" i="10"/>
  <c r="I95" i="10"/>
  <c r="H95" i="10"/>
  <c r="G95" i="10"/>
  <c r="F95" i="10"/>
  <c r="E95" i="10"/>
  <c r="C95" i="10"/>
  <c r="U94" i="10"/>
  <c r="T94" i="10"/>
  <c r="S94" i="10"/>
  <c r="R94" i="10"/>
  <c r="Q94" i="10"/>
  <c r="P94" i="10"/>
  <c r="O94" i="10"/>
  <c r="N94" i="10"/>
  <c r="M94" i="10"/>
  <c r="L94" i="10"/>
  <c r="J94" i="10"/>
  <c r="I94" i="10"/>
  <c r="H94" i="10"/>
  <c r="G94" i="10"/>
  <c r="F94" i="10"/>
  <c r="E94" i="10"/>
  <c r="C94" i="10"/>
  <c r="U93" i="10"/>
  <c r="T93" i="10"/>
  <c r="S93" i="10"/>
  <c r="R93" i="10"/>
  <c r="Q93" i="10"/>
  <c r="P93" i="10"/>
  <c r="O93" i="10"/>
  <c r="N93" i="10"/>
  <c r="M93" i="10"/>
  <c r="L93" i="10"/>
  <c r="J93" i="10"/>
  <c r="I93" i="10"/>
  <c r="H93" i="10"/>
  <c r="G93" i="10"/>
  <c r="F93" i="10"/>
  <c r="E93" i="10"/>
  <c r="C93" i="10"/>
  <c r="U92" i="10"/>
  <c r="T92" i="10"/>
  <c r="S92" i="10"/>
  <c r="R92" i="10"/>
  <c r="Q92" i="10"/>
  <c r="P92" i="10"/>
  <c r="O92" i="10"/>
  <c r="N92" i="10"/>
  <c r="M92" i="10"/>
  <c r="L92" i="10"/>
  <c r="J92" i="10"/>
  <c r="I92" i="10"/>
  <c r="H92" i="10"/>
  <c r="G92" i="10"/>
  <c r="F92" i="10"/>
  <c r="E92" i="10"/>
  <c r="C92" i="10"/>
  <c r="U91" i="10"/>
  <c r="T91" i="10"/>
  <c r="S91" i="10"/>
  <c r="R91" i="10"/>
  <c r="Q91" i="10"/>
  <c r="P91" i="10"/>
  <c r="O91" i="10"/>
  <c r="N91" i="10"/>
  <c r="M91" i="10"/>
  <c r="L91" i="10"/>
  <c r="J91" i="10"/>
  <c r="I91" i="10"/>
  <c r="H91" i="10"/>
  <c r="G91" i="10"/>
  <c r="F91" i="10"/>
  <c r="E91" i="10"/>
  <c r="C91" i="10"/>
  <c r="B91" i="10" s="1"/>
  <c r="U90" i="10"/>
  <c r="T90" i="10"/>
  <c r="S90" i="10"/>
  <c r="R90" i="10"/>
  <c r="Q90" i="10"/>
  <c r="P90" i="10"/>
  <c r="O90" i="10"/>
  <c r="N90" i="10"/>
  <c r="M90" i="10"/>
  <c r="L90" i="10"/>
  <c r="J90" i="10"/>
  <c r="I90" i="10"/>
  <c r="H90" i="10"/>
  <c r="G90" i="10"/>
  <c r="F90" i="10"/>
  <c r="F11" i="10" s="1"/>
  <c r="E90" i="10"/>
  <c r="D90" i="10" s="1"/>
  <c r="C90" i="10"/>
  <c r="U89" i="10"/>
  <c r="T89" i="10"/>
  <c r="S89" i="10"/>
  <c r="R89" i="10"/>
  <c r="Q89" i="10"/>
  <c r="P89" i="10"/>
  <c r="O89" i="10"/>
  <c r="N89" i="10"/>
  <c r="M89" i="10"/>
  <c r="L89" i="10"/>
  <c r="J89" i="10"/>
  <c r="I89" i="10"/>
  <c r="H89" i="10"/>
  <c r="G89" i="10"/>
  <c r="F89" i="10"/>
  <c r="E89" i="10"/>
  <c r="C89" i="10"/>
  <c r="U88" i="10"/>
  <c r="T88" i="10"/>
  <c r="S88" i="10"/>
  <c r="R88" i="10"/>
  <c r="Q88" i="10"/>
  <c r="P88" i="10"/>
  <c r="O88" i="10"/>
  <c r="N88" i="10"/>
  <c r="M88" i="10"/>
  <c r="L88" i="10"/>
  <c r="K88" i="10" s="1"/>
  <c r="J88" i="10"/>
  <c r="I88" i="10"/>
  <c r="H88" i="10"/>
  <c r="G88" i="10"/>
  <c r="F88" i="10"/>
  <c r="E88" i="10"/>
  <c r="C88" i="10"/>
  <c r="U87" i="10"/>
  <c r="T87" i="10"/>
  <c r="S87" i="10"/>
  <c r="R87" i="10"/>
  <c r="Q87" i="10"/>
  <c r="P87" i="10"/>
  <c r="O87" i="10"/>
  <c r="N87" i="10"/>
  <c r="M87" i="10"/>
  <c r="L87" i="10"/>
  <c r="K87" i="10" s="1"/>
  <c r="J87" i="10"/>
  <c r="I87" i="10"/>
  <c r="H87" i="10"/>
  <c r="G87" i="10"/>
  <c r="F87" i="10"/>
  <c r="E87" i="10"/>
  <c r="C87" i="10"/>
  <c r="U86" i="10"/>
  <c r="T86" i="10"/>
  <c r="S86" i="10"/>
  <c r="R86" i="10"/>
  <c r="Q86" i="10"/>
  <c r="P86" i="10"/>
  <c r="O86" i="10"/>
  <c r="O7" i="10" s="1"/>
  <c r="N86" i="10"/>
  <c r="M86" i="10"/>
  <c r="L86" i="10"/>
  <c r="J86" i="10"/>
  <c r="I86" i="10"/>
  <c r="H86" i="10"/>
  <c r="G86" i="10"/>
  <c r="F86" i="10"/>
  <c r="E86" i="10"/>
  <c r="C86" i="10"/>
  <c r="U85" i="10"/>
  <c r="T85" i="10"/>
  <c r="T6" i="10" s="1"/>
  <c r="S85" i="10"/>
  <c r="R85" i="10"/>
  <c r="Q85" i="10"/>
  <c r="P85" i="10"/>
  <c r="O85" i="10"/>
  <c r="N85" i="10"/>
  <c r="M85" i="10"/>
  <c r="L85" i="10"/>
  <c r="J85" i="10"/>
  <c r="I85" i="10"/>
  <c r="H85" i="10"/>
  <c r="G85" i="10"/>
  <c r="F85" i="10"/>
  <c r="E85" i="10"/>
  <c r="C85" i="10"/>
  <c r="B85" i="10" s="1"/>
  <c r="U84" i="10"/>
  <c r="T84" i="10"/>
  <c r="S84" i="10"/>
  <c r="R84" i="10"/>
  <c r="Q84" i="10"/>
  <c r="P84" i="10"/>
  <c r="O84" i="10"/>
  <c r="N84" i="10"/>
  <c r="N5" i="10" s="1"/>
  <c r="M84" i="10"/>
  <c r="L84" i="10"/>
  <c r="K84" i="10" s="1"/>
  <c r="J84" i="10"/>
  <c r="J5" i="10" s="1"/>
  <c r="I84" i="10"/>
  <c r="H84" i="10"/>
  <c r="G84" i="10"/>
  <c r="F84" i="10"/>
  <c r="E84" i="10"/>
  <c r="D84" i="10" s="1"/>
  <c r="C84" i="10"/>
  <c r="U72" i="10"/>
  <c r="T72" i="10"/>
  <c r="T34" i="10" s="1"/>
  <c r="S72" i="10"/>
  <c r="R72" i="10"/>
  <c r="Q72" i="10"/>
  <c r="Q34" i="10" s="1"/>
  <c r="P72" i="10"/>
  <c r="P34" i="10" s="1"/>
  <c r="O72" i="10"/>
  <c r="N72" i="10"/>
  <c r="M72" i="10"/>
  <c r="L72" i="10"/>
  <c r="J72" i="10"/>
  <c r="I72" i="10"/>
  <c r="I34" i="10" s="1"/>
  <c r="H72" i="10"/>
  <c r="G72" i="10"/>
  <c r="G34" i="10" s="1"/>
  <c r="F72" i="10"/>
  <c r="E72" i="10"/>
  <c r="C72" i="10"/>
  <c r="C34" i="10" s="1"/>
  <c r="U71" i="10"/>
  <c r="U33" i="10" s="1"/>
  <c r="T71" i="10"/>
  <c r="S71" i="10"/>
  <c r="R71" i="10"/>
  <c r="Q71" i="10"/>
  <c r="P71" i="10"/>
  <c r="O71" i="10"/>
  <c r="O33" i="10" s="1"/>
  <c r="N71" i="10"/>
  <c r="M71" i="10"/>
  <c r="M33" i="10" s="1"/>
  <c r="L71" i="10"/>
  <c r="J71" i="10"/>
  <c r="I71" i="10"/>
  <c r="I33" i="10" s="1"/>
  <c r="H71" i="10"/>
  <c r="H33" i="10" s="1"/>
  <c r="G71" i="10"/>
  <c r="F71" i="10"/>
  <c r="E71" i="10"/>
  <c r="C71" i="10"/>
  <c r="U70" i="10"/>
  <c r="T70" i="10"/>
  <c r="T32" i="10" s="1"/>
  <c r="S70" i="10"/>
  <c r="R70" i="10"/>
  <c r="R32" i="10" s="1"/>
  <c r="Q70" i="10"/>
  <c r="P70" i="10"/>
  <c r="O70" i="10"/>
  <c r="O32" i="10" s="1"/>
  <c r="N70" i="10"/>
  <c r="N32" i="10" s="1"/>
  <c r="M70" i="10"/>
  <c r="L70" i="10"/>
  <c r="J70" i="10"/>
  <c r="I70" i="10"/>
  <c r="H70" i="10"/>
  <c r="G70" i="10"/>
  <c r="G32" i="10" s="1"/>
  <c r="F70" i="10"/>
  <c r="E70" i="10"/>
  <c r="E32" i="10" s="1"/>
  <c r="C70" i="10"/>
  <c r="U69" i="10"/>
  <c r="T69" i="10"/>
  <c r="T31" i="10" s="1"/>
  <c r="S69" i="10"/>
  <c r="S31" i="10" s="1"/>
  <c r="R69" i="10"/>
  <c r="Q69" i="10"/>
  <c r="P69" i="10"/>
  <c r="O69" i="10"/>
  <c r="N69" i="10"/>
  <c r="M69" i="10"/>
  <c r="M31" i="10" s="1"/>
  <c r="L69" i="10"/>
  <c r="J69" i="10"/>
  <c r="J31" i="10" s="1"/>
  <c r="I69" i="10"/>
  <c r="H69" i="10"/>
  <c r="G69" i="10"/>
  <c r="G31" i="10" s="1"/>
  <c r="F69" i="10"/>
  <c r="F31" i="10" s="1"/>
  <c r="E69" i="10"/>
  <c r="C69" i="10"/>
  <c r="U68" i="10"/>
  <c r="T68" i="10"/>
  <c r="S68" i="10"/>
  <c r="R68" i="10"/>
  <c r="R30" i="10" s="1"/>
  <c r="Q68" i="10"/>
  <c r="P68" i="10"/>
  <c r="P30" i="10" s="1"/>
  <c r="O68" i="10"/>
  <c r="N68" i="10"/>
  <c r="M68" i="10"/>
  <c r="M30" i="10" s="1"/>
  <c r="L68" i="10"/>
  <c r="L30" i="10" s="1"/>
  <c r="J68" i="10"/>
  <c r="I68" i="10"/>
  <c r="H68" i="10"/>
  <c r="G68" i="10"/>
  <c r="F68" i="10"/>
  <c r="E68" i="10"/>
  <c r="E30" i="10" s="1"/>
  <c r="C68" i="10"/>
  <c r="U67" i="10"/>
  <c r="U29" i="10" s="1"/>
  <c r="T67" i="10"/>
  <c r="S67" i="10"/>
  <c r="R67" i="10"/>
  <c r="R29" i="10" s="1"/>
  <c r="Q67" i="10"/>
  <c r="Q29" i="10" s="1"/>
  <c r="P67" i="10"/>
  <c r="O67" i="10"/>
  <c r="N67" i="10"/>
  <c r="M67" i="10"/>
  <c r="L67" i="10"/>
  <c r="J67" i="10"/>
  <c r="J29" i="10" s="1"/>
  <c r="I67" i="10"/>
  <c r="H67" i="10"/>
  <c r="H29" i="10" s="1"/>
  <c r="G67" i="10"/>
  <c r="F67" i="10"/>
  <c r="E67" i="10"/>
  <c r="E29" i="10" s="1"/>
  <c r="C67" i="10"/>
  <c r="C29" i="10" s="1"/>
  <c r="U66" i="10"/>
  <c r="T66" i="10"/>
  <c r="S66" i="10"/>
  <c r="R66" i="10"/>
  <c r="Q66" i="10"/>
  <c r="P66" i="10"/>
  <c r="P28" i="10" s="1"/>
  <c r="O66" i="10"/>
  <c r="N66" i="10"/>
  <c r="N28" i="10" s="1"/>
  <c r="M66" i="10"/>
  <c r="L66" i="10"/>
  <c r="J66" i="10"/>
  <c r="J28" i="10" s="1"/>
  <c r="I66" i="10"/>
  <c r="I28" i="10" s="1"/>
  <c r="H66" i="10"/>
  <c r="G66" i="10"/>
  <c r="F66" i="10"/>
  <c r="E66" i="10"/>
  <c r="C66" i="10"/>
  <c r="U65" i="10"/>
  <c r="U27" i="10" s="1"/>
  <c r="T65" i="10"/>
  <c r="S65" i="10"/>
  <c r="S27" i="10" s="1"/>
  <c r="R65" i="10"/>
  <c r="Q65" i="10"/>
  <c r="P65" i="10"/>
  <c r="P27" i="10" s="1"/>
  <c r="O65" i="10"/>
  <c r="O27" i="10" s="1"/>
  <c r="N65" i="10"/>
  <c r="M65" i="10"/>
  <c r="L65" i="10"/>
  <c r="J65" i="10"/>
  <c r="I65" i="10"/>
  <c r="H65" i="10"/>
  <c r="H27" i="10" s="1"/>
  <c r="G65" i="10"/>
  <c r="F65" i="10"/>
  <c r="F27" i="10" s="1"/>
  <c r="E65" i="10"/>
  <c r="C65" i="10"/>
  <c r="U64" i="10"/>
  <c r="U26" i="10" s="1"/>
  <c r="T64" i="10"/>
  <c r="T26" i="10" s="1"/>
  <c r="S64" i="10"/>
  <c r="R64" i="10"/>
  <c r="Q64" i="10"/>
  <c r="P64" i="10"/>
  <c r="O64" i="10"/>
  <c r="N64" i="10"/>
  <c r="N26" i="10" s="1"/>
  <c r="M64" i="10"/>
  <c r="L64" i="10"/>
  <c r="L26" i="10" s="1"/>
  <c r="J64" i="10"/>
  <c r="I64" i="10"/>
  <c r="H64" i="10"/>
  <c r="H26" i="10" s="1"/>
  <c r="G64" i="10"/>
  <c r="G26" i="10" s="1"/>
  <c r="F64" i="10"/>
  <c r="E64" i="10"/>
  <c r="C64" i="10"/>
  <c r="U63" i="10"/>
  <c r="T63" i="10"/>
  <c r="S63" i="10"/>
  <c r="S25" i="10" s="1"/>
  <c r="R63" i="10"/>
  <c r="Q63" i="10"/>
  <c r="Q25" i="10" s="1"/>
  <c r="P63" i="10"/>
  <c r="O63" i="10"/>
  <c r="N63" i="10"/>
  <c r="N25" i="10" s="1"/>
  <c r="M63" i="10"/>
  <c r="M25" i="10" s="1"/>
  <c r="L63" i="10"/>
  <c r="J63" i="10"/>
  <c r="I63" i="10"/>
  <c r="H63" i="10"/>
  <c r="G63" i="10"/>
  <c r="F63" i="10"/>
  <c r="F25" i="10" s="1"/>
  <c r="E63" i="10"/>
  <c r="C63" i="10"/>
  <c r="C25" i="10" s="1"/>
  <c r="U62" i="10"/>
  <c r="T62" i="10"/>
  <c r="S62" i="10"/>
  <c r="S24" i="10" s="1"/>
  <c r="R62" i="10"/>
  <c r="R24" i="10" s="1"/>
  <c r="Q62" i="10"/>
  <c r="Q24" i="10" s="1"/>
  <c r="P62" i="10"/>
  <c r="O62" i="10"/>
  <c r="N62" i="10"/>
  <c r="M62" i="10"/>
  <c r="L62" i="10"/>
  <c r="L24" i="10" s="1"/>
  <c r="J62" i="10"/>
  <c r="I62" i="10"/>
  <c r="I24" i="10" s="1"/>
  <c r="H62" i="10"/>
  <c r="G62" i="10"/>
  <c r="F62" i="10"/>
  <c r="F24" i="10" s="1"/>
  <c r="E62" i="10"/>
  <c r="C62" i="10"/>
  <c r="U61" i="10"/>
  <c r="T61" i="10"/>
  <c r="S61" i="10"/>
  <c r="S23" i="10" s="1"/>
  <c r="R61" i="10"/>
  <c r="R23" i="10" s="1"/>
  <c r="Q61" i="10"/>
  <c r="P61" i="10"/>
  <c r="P23" i="10" s="1"/>
  <c r="O61" i="10"/>
  <c r="N61" i="10"/>
  <c r="M61" i="10"/>
  <c r="M23" i="10" s="1"/>
  <c r="L61" i="10"/>
  <c r="J61" i="10"/>
  <c r="I61" i="10"/>
  <c r="H61" i="10"/>
  <c r="G61" i="10"/>
  <c r="F61" i="10"/>
  <c r="F23" i="10" s="1"/>
  <c r="E61" i="10"/>
  <c r="E23" i="10" s="1"/>
  <c r="C61" i="10"/>
  <c r="C23" i="10" s="1"/>
  <c r="U60" i="10"/>
  <c r="U22" i="10" s="1"/>
  <c r="T60" i="10"/>
  <c r="S60" i="10"/>
  <c r="R60" i="10"/>
  <c r="R22" i="10" s="1"/>
  <c r="Q60" i="10"/>
  <c r="P60" i="10"/>
  <c r="O60" i="10"/>
  <c r="N60" i="10"/>
  <c r="M60" i="10"/>
  <c r="L60" i="10"/>
  <c r="L22" i="10" s="1"/>
  <c r="J60" i="10"/>
  <c r="I60" i="10"/>
  <c r="I22" i="10" s="1"/>
  <c r="H60" i="10"/>
  <c r="G60" i="10"/>
  <c r="F60" i="10"/>
  <c r="F22" i="10" s="1"/>
  <c r="E60" i="10"/>
  <c r="E22" i="10" s="1"/>
  <c r="C60" i="10"/>
  <c r="U59" i="10"/>
  <c r="T59" i="10"/>
  <c r="S59" i="10"/>
  <c r="R59" i="10"/>
  <c r="Q59" i="10"/>
  <c r="Q21" i="10" s="1"/>
  <c r="P59" i="10"/>
  <c r="P21" i="10" s="1"/>
  <c r="O59" i="10"/>
  <c r="O21" i="10" s="1"/>
  <c r="N59" i="10"/>
  <c r="M59" i="10"/>
  <c r="L59" i="10"/>
  <c r="L21" i="10" s="1"/>
  <c r="J59" i="10"/>
  <c r="I59" i="10"/>
  <c r="H59" i="10"/>
  <c r="G59" i="10"/>
  <c r="F59" i="10"/>
  <c r="E59" i="10"/>
  <c r="C59" i="10"/>
  <c r="C21" i="10" s="1"/>
  <c r="U58" i="10"/>
  <c r="U20" i="10" s="1"/>
  <c r="T58" i="10"/>
  <c r="S58" i="10"/>
  <c r="R58" i="10"/>
  <c r="Q58" i="10"/>
  <c r="Q20" i="10" s="1"/>
  <c r="P58" i="10"/>
  <c r="O58" i="10"/>
  <c r="N58" i="10"/>
  <c r="M58" i="10"/>
  <c r="L58" i="10"/>
  <c r="J58" i="10"/>
  <c r="I58" i="10"/>
  <c r="I20" i="10" s="1"/>
  <c r="H58" i="10"/>
  <c r="H20" i="10" s="1"/>
  <c r="G58" i="10"/>
  <c r="F58" i="10"/>
  <c r="E58" i="10"/>
  <c r="E20" i="10" s="1"/>
  <c r="C58" i="10"/>
  <c r="C20" i="10" s="1"/>
  <c r="U57" i="10"/>
  <c r="T57" i="10"/>
  <c r="S57" i="10"/>
  <c r="R57" i="10"/>
  <c r="Q57" i="10"/>
  <c r="P57" i="10"/>
  <c r="P19" i="10" s="1"/>
  <c r="O57" i="10"/>
  <c r="N57" i="10"/>
  <c r="N19" i="10" s="1"/>
  <c r="M57" i="10"/>
  <c r="L57" i="10"/>
  <c r="J57" i="10"/>
  <c r="J19" i="10" s="1"/>
  <c r="I57" i="10"/>
  <c r="I19" i="10" s="1"/>
  <c r="H57" i="10"/>
  <c r="G57" i="10"/>
  <c r="F57" i="10"/>
  <c r="E57" i="10"/>
  <c r="C57" i="10"/>
  <c r="C19" i="10" s="1"/>
  <c r="U56" i="10"/>
  <c r="U18" i="10" s="1"/>
  <c r="T56" i="10"/>
  <c r="S56" i="10"/>
  <c r="R56" i="10"/>
  <c r="R18" i="10" s="1"/>
  <c r="Q56" i="10"/>
  <c r="Q18" i="10" s="1"/>
  <c r="P56" i="10"/>
  <c r="O56" i="10"/>
  <c r="N56" i="10"/>
  <c r="M56" i="10"/>
  <c r="L56" i="10"/>
  <c r="J56" i="10"/>
  <c r="I56" i="10"/>
  <c r="I18" i="10" s="1"/>
  <c r="H56" i="10"/>
  <c r="G56" i="10"/>
  <c r="G18" i="10" s="1"/>
  <c r="F56" i="10"/>
  <c r="F18" i="10" s="1"/>
  <c r="E56" i="10"/>
  <c r="C56" i="10"/>
  <c r="U55" i="10"/>
  <c r="T55" i="10"/>
  <c r="S55" i="10"/>
  <c r="R55" i="10"/>
  <c r="Q55" i="10"/>
  <c r="P55" i="10"/>
  <c r="P17" i="10" s="1"/>
  <c r="AM17" i="10" s="1"/>
  <c r="O55" i="10"/>
  <c r="O17" i="10" s="1"/>
  <c r="N55" i="10"/>
  <c r="M55" i="10"/>
  <c r="L55" i="10"/>
  <c r="L17" i="10" s="1"/>
  <c r="J55" i="10"/>
  <c r="I55" i="10"/>
  <c r="I17" i="10" s="1"/>
  <c r="H55" i="10"/>
  <c r="G55" i="10"/>
  <c r="F55" i="10"/>
  <c r="E55" i="10"/>
  <c r="C55" i="10"/>
  <c r="U54" i="10"/>
  <c r="T54" i="10"/>
  <c r="T16" i="10" s="1"/>
  <c r="S54" i="10"/>
  <c r="R54" i="10"/>
  <c r="Q54" i="10"/>
  <c r="Q16" i="10" s="1"/>
  <c r="P54" i="10"/>
  <c r="P16" i="10" s="1"/>
  <c r="O54" i="10"/>
  <c r="O16" i="10" s="1"/>
  <c r="N54" i="10"/>
  <c r="N16" i="10" s="1"/>
  <c r="M54" i="10"/>
  <c r="L54" i="10"/>
  <c r="J54" i="10"/>
  <c r="I54" i="10"/>
  <c r="H54" i="10"/>
  <c r="H16" i="10" s="1"/>
  <c r="G54" i="10"/>
  <c r="G16" i="10" s="1"/>
  <c r="F54" i="10"/>
  <c r="E54" i="10"/>
  <c r="C54" i="10"/>
  <c r="U53" i="10"/>
  <c r="U15" i="10" s="1"/>
  <c r="T53" i="10"/>
  <c r="T15" i="10" s="1"/>
  <c r="S53" i="10"/>
  <c r="R53" i="10"/>
  <c r="Q53" i="10"/>
  <c r="P53" i="10"/>
  <c r="O53" i="10"/>
  <c r="N53" i="10"/>
  <c r="M53" i="10"/>
  <c r="M15" i="10" s="1"/>
  <c r="L53" i="10"/>
  <c r="L15" i="10" s="1"/>
  <c r="J53" i="10"/>
  <c r="I53" i="10"/>
  <c r="I15" i="10" s="1"/>
  <c r="H53" i="10"/>
  <c r="H15" i="10" s="1"/>
  <c r="G53" i="10"/>
  <c r="F53" i="10"/>
  <c r="E53" i="10"/>
  <c r="E15" i="10" s="1"/>
  <c r="C53" i="10"/>
  <c r="U52" i="10"/>
  <c r="T52" i="10"/>
  <c r="S52" i="10"/>
  <c r="S14" i="10" s="1"/>
  <c r="R52" i="10"/>
  <c r="R14" i="10" s="1"/>
  <c r="Q52" i="10"/>
  <c r="P52" i="10"/>
  <c r="P14" i="10" s="1"/>
  <c r="O52" i="10"/>
  <c r="O14" i="10" s="1"/>
  <c r="N52" i="10"/>
  <c r="M52" i="10"/>
  <c r="L52" i="10"/>
  <c r="J52" i="10"/>
  <c r="I52" i="10"/>
  <c r="H52" i="10"/>
  <c r="G52" i="10"/>
  <c r="F52" i="10"/>
  <c r="F14" i="10" s="1"/>
  <c r="E52" i="10"/>
  <c r="C52" i="10"/>
  <c r="U51" i="10"/>
  <c r="T51" i="10"/>
  <c r="S51" i="10"/>
  <c r="R51" i="10"/>
  <c r="Q51" i="10"/>
  <c r="P51" i="10"/>
  <c r="O51" i="10"/>
  <c r="N51" i="10"/>
  <c r="M51" i="10"/>
  <c r="L51" i="10"/>
  <c r="J51" i="10"/>
  <c r="J13" i="10" s="1"/>
  <c r="I51" i="10"/>
  <c r="I13" i="10" s="1"/>
  <c r="H51" i="10"/>
  <c r="H13" i="10" s="1"/>
  <c r="G51" i="10"/>
  <c r="F51" i="10"/>
  <c r="E51" i="10"/>
  <c r="C51" i="10"/>
  <c r="U50" i="10"/>
  <c r="T50" i="10"/>
  <c r="S50" i="10"/>
  <c r="R50" i="10"/>
  <c r="Q50" i="10"/>
  <c r="P50" i="10"/>
  <c r="O50" i="10"/>
  <c r="O12" i="10" s="1"/>
  <c r="N50" i="10"/>
  <c r="N12" i="10" s="1"/>
  <c r="M50" i="10"/>
  <c r="L50" i="10"/>
  <c r="J50" i="10"/>
  <c r="I50" i="10"/>
  <c r="H50" i="10"/>
  <c r="G50" i="10"/>
  <c r="F50" i="10"/>
  <c r="F12" i="10"/>
  <c r="E50" i="10"/>
  <c r="C50" i="10"/>
  <c r="U49" i="10"/>
  <c r="T49" i="10"/>
  <c r="T11" i="10" s="1"/>
  <c r="S49" i="10"/>
  <c r="R49" i="10"/>
  <c r="Q49" i="10"/>
  <c r="P49" i="10"/>
  <c r="O49" i="10"/>
  <c r="N49" i="10"/>
  <c r="M49" i="10"/>
  <c r="L49" i="10"/>
  <c r="J49" i="10"/>
  <c r="I49" i="10"/>
  <c r="H49" i="10"/>
  <c r="H11" i="10" s="1"/>
  <c r="G49" i="10"/>
  <c r="G11" i="10" s="1"/>
  <c r="F49" i="10"/>
  <c r="E49" i="10"/>
  <c r="C49" i="10"/>
  <c r="U48" i="10"/>
  <c r="T48" i="10"/>
  <c r="S48" i="10"/>
  <c r="S10" i="10" s="1"/>
  <c r="R48" i="10"/>
  <c r="Q48" i="10"/>
  <c r="P48" i="10"/>
  <c r="O48" i="10"/>
  <c r="N48" i="10"/>
  <c r="N10" i="10" s="1"/>
  <c r="M48" i="10"/>
  <c r="M10" i="10" s="1"/>
  <c r="L48" i="10"/>
  <c r="J48" i="10"/>
  <c r="I48" i="10"/>
  <c r="H48" i="10"/>
  <c r="G48" i="10"/>
  <c r="F48" i="10"/>
  <c r="E48" i="10"/>
  <c r="C48" i="10"/>
  <c r="U47" i="10"/>
  <c r="T47" i="10"/>
  <c r="S47" i="10"/>
  <c r="R47" i="10"/>
  <c r="Q47" i="10"/>
  <c r="P47" i="10"/>
  <c r="O47" i="10"/>
  <c r="N47" i="10"/>
  <c r="M47" i="10"/>
  <c r="L47" i="10"/>
  <c r="J47" i="10"/>
  <c r="I47" i="10"/>
  <c r="H47" i="10"/>
  <c r="G47" i="10"/>
  <c r="F47" i="10"/>
  <c r="E47" i="10"/>
  <c r="E9" i="10" s="1"/>
  <c r="C47" i="10"/>
  <c r="U46" i="10"/>
  <c r="T46" i="10"/>
  <c r="S46" i="10"/>
  <c r="R46" i="10"/>
  <c r="Q46" i="10"/>
  <c r="P46" i="10"/>
  <c r="O46" i="10"/>
  <c r="N46" i="10"/>
  <c r="M46" i="10"/>
  <c r="L46" i="10"/>
  <c r="J46" i="10"/>
  <c r="J8" i="10" s="1"/>
  <c r="I46" i="10"/>
  <c r="H46" i="10"/>
  <c r="G46" i="10"/>
  <c r="F46" i="10"/>
  <c r="E46" i="10"/>
  <c r="C46" i="10"/>
  <c r="U45" i="10"/>
  <c r="T45" i="10"/>
  <c r="S45" i="10"/>
  <c r="R45" i="10"/>
  <c r="Q45" i="10"/>
  <c r="P45" i="10"/>
  <c r="O45" i="10"/>
  <c r="N45" i="10"/>
  <c r="M45" i="10"/>
  <c r="L45" i="10"/>
  <c r="J45" i="10"/>
  <c r="I45" i="10"/>
  <c r="H45" i="10"/>
  <c r="G45" i="10"/>
  <c r="F45" i="10"/>
  <c r="E45" i="10"/>
  <c r="C45" i="10"/>
  <c r="U44" i="10"/>
  <c r="T44" i="10"/>
  <c r="S44" i="10"/>
  <c r="R44" i="10"/>
  <c r="Q44" i="10"/>
  <c r="P44" i="10"/>
  <c r="O44" i="10"/>
  <c r="N44" i="10"/>
  <c r="M44" i="10"/>
  <c r="L44" i="10"/>
  <c r="J44" i="10"/>
  <c r="I44" i="10"/>
  <c r="H44" i="10"/>
  <c r="G44" i="10"/>
  <c r="F44" i="10"/>
  <c r="E44" i="10"/>
  <c r="C44" i="10"/>
  <c r="U43" i="10"/>
  <c r="T43" i="10"/>
  <c r="S43" i="10"/>
  <c r="R43" i="10"/>
  <c r="Q43" i="10"/>
  <c r="P43" i="10"/>
  <c r="O43" i="10"/>
  <c r="N43" i="10"/>
  <c r="M43" i="10"/>
  <c r="L43" i="10"/>
  <c r="J43" i="10"/>
  <c r="I43" i="10"/>
  <c r="H43" i="10"/>
  <c r="G43" i="10"/>
  <c r="F43" i="10"/>
  <c r="E43" i="10"/>
  <c r="C43" i="10"/>
  <c r="U34" i="10"/>
  <c r="S34" i="10"/>
  <c r="R34" i="10"/>
  <c r="O34" i="10"/>
  <c r="N34" i="10"/>
  <c r="M34" i="10"/>
  <c r="L34" i="10"/>
  <c r="J34" i="10"/>
  <c r="H34" i="10"/>
  <c r="F34" i="10"/>
  <c r="E34" i="10"/>
  <c r="T33" i="10"/>
  <c r="S33" i="10"/>
  <c r="R33" i="10"/>
  <c r="Q33" i="10"/>
  <c r="P33" i="10"/>
  <c r="N33" i="10"/>
  <c r="L33" i="10"/>
  <c r="J33" i="10"/>
  <c r="G33" i="10"/>
  <c r="F33" i="10"/>
  <c r="E33" i="10"/>
  <c r="C33" i="10"/>
  <c r="U32" i="10"/>
  <c r="S32" i="10"/>
  <c r="Q32" i="10"/>
  <c r="P32" i="10"/>
  <c r="M32" i="10"/>
  <c r="L32" i="10"/>
  <c r="J32" i="10"/>
  <c r="I32" i="10"/>
  <c r="H32" i="10"/>
  <c r="F32" i="10"/>
  <c r="C32" i="10"/>
  <c r="U31" i="10"/>
  <c r="R31" i="10"/>
  <c r="Q31" i="10"/>
  <c r="P31" i="10"/>
  <c r="O31" i="10"/>
  <c r="N31" i="10"/>
  <c r="L31" i="10"/>
  <c r="I31" i="10"/>
  <c r="H31" i="10"/>
  <c r="E31" i="10"/>
  <c r="C31" i="10"/>
  <c r="U30" i="10"/>
  <c r="T30" i="10"/>
  <c r="S30" i="10"/>
  <c r="Q30" i="10"/>
  <c r="O30" i="10"/>
  <c r="N30" i="10"/>
  <c r="J30" i="10"/>
  <c r="I30" i="10"/>
  <c r="H30" i="10"/>
  <c r="G30" i="10"/>
  <c r="F30" i="10"/>
  <c r="C30" i="10"/>
  <c r="T29" i="10"/>
  <c r="S29" i="10"/>
  <c r="P29" i="10"/>
  <c r="O29" i="10"/>
  <c r="N29" i="10"/>
  <c r="M29" i="10"/>
  <c r="L29" i="10"/>
  <c r="I29" i="10"/>
  <c r="G29" i="10"/>
  <c r="F29" i="10"/>
  <c r="U28" i="10"/>
  <c r="T28" i="10"/>
  <c r="S28" i="10"/>
  <c r="R28" i="10"/>
  <c r="Q28" i="10"/>
  <c r="O28" i="10"/>
  <c r="M28" i="10"/>
  <c r="L28" i="10"/>
  <c r="H28" i="10"/>
  <c r="G28" i="10"/>
  <c r="F28" i="10"/>
  <c r="E28" i="10"/>
  <c r="C28" i="10"/>
  <c r="T27" i="10"/>
  <c r="R27" i="10"/>
  <c r="Q27" i="10"/>
  <c r="N27" i="10"/>
  <c r="M27" i="10"/>
  <c r="L27" i="10"/>
  <c r="J27" i="10"/>
  <c r="I27" i="10"/>
  <c r="G27" i="10"/>
  <c r="E27" i="10"/>
  <c r="C27" i="10"/>
  <c r="S26" i="10"/>
  <c r="R26" i="10"/>
  <c r="Q26" i="10"/>
  <c r="P26" i="10"/>
  <c r="O26" i="10"/>
  <c r="M26" i="10"/>
  <c r="J26" i="10"/>
  <c r="I26" i="10"/>
  <c r="F26" i="10"/>
  <c r="E26" i="10"/>
  <c r="C26" i="10"/>
  <c r="U25" i="10"/>
  <c r="T25" i="10"/>
  <c r="R25" i="10"/>
  <c r="P25" i="10"/>
  <c r="O25" i="10"/>
  <c r="L25" i="10"/>
  <c r="J25" i="10"/>
  <c r="I25" i="10"/>
  <c r="H25" i="10"/>
  <c r="G25" i="10"/>
  <c r="E25" i="10"/>
  <c r="U24" i="10"/>
  <c r="T24" i="10"/>
  <c r="P24" i="10"/>
  <c r="O24" i="10"/>
  <c r="N24" i="10"/>
  <c r="M24" i="10"/>
  <c r="J24" i="10"/>
  <c r="H24" i="10"/>
  <c r="G24" i="10"/>
  <c r="C24" i="10"/>
  <c r="U23" i="10"/>
  <c r="T23" i="10"/>
  <c r="Q23" i="10"/>
  <c r="O23" i="10"/>
  <c r="N23" i="10"/>
  <c r="I23" i="10"/>
  <c r="H23" i="10"/>
  <c r="G23" i="10"/>
  <c r="T22" i="10"/>
  <c r="S22" i="10"/>
  <c r="P22" i="10"/>
  <c r="O22" i="10"/>
  <c r="N22" i="10"/>
  <c r="M22" i="10"/>
  <c r="J22" i="10"/>
  <c r="H22" i="10"/>
  <c r="G22" i="10"/>
  <c r="T21" i="10"/>
  <c r="S21" i="10"/>
  <c r="R21" i="10"/>
  <c r="N21" i="10"/>
  <c r="M21" i="10"/>
  <c r="G21" i="10"/>
  <c r="F21" i="10"/>
  <c r="E21" i="10"/>
  <c r="T20" i="10"/>
  <c r="S20" i="10"/>
  <c r="R20" i="10"/>
  <c r="M20" i="10"/>
  <c r="J20" i="10"/>
  <c r="G20" i="10"/>
  <c r="F20" i="10"/>
  <c r="R19" i="10"/>
  <c r="Q19" i="10"/>
  <c r="O19" i="10"/>
  <c r="M19" i="10"/>
  <c r="L19" i="10"/>
  <c r="E19" i="10"/>
  <c r="S18" i="10"/>
  <c r="P18" i="10"/>
  <c r="O18" i="10"/>
  <c r="J18" i="10"/>
  <c r="H18" i="10"/>
  <c r="E18" i="10"/>
  <c r="C18" i="10"/>
  <c r="U17" i="10"/>
  <c r="T17" i="10"/>
  <c r="N17" i="10"/>
  <c r="M17" i="10"/>
  <c r="J17" i="10"/>
  <c r="H17" i="10"/>
  <c r="G17" i="10"/>
  <c r="U16" i="10"/>
  <c r="S16" i="10"/>
  <c r="M16" i="10"/>
  <c r="F16" i="10"/>
  <c r="C16" i="10"/>
  <c r="S15" i="10"/>
  <c r="R15" i="10"/>
  <c r="N15" i="10"/>
  <c r="F15" i="10"/>
  <c r="Q14" i="10"/>
  <c r="N14" i="10"/>
  <c r="L14" i="10"/>
  <c r="J14" i="10"/>
  <c r="C14" i="10"/>
  <c r="P13" i="10"/>
  <c r="G13" i="10"/>
  <c r="Q12" i="10"/>
  <c r="P12" i="10"/>
  <c r="L12" i="10"/>
  <c r="H12" i="10"/>
  <c r="C12" i="10"/>
  <c r="T10" i="10"/>
  <c r="M8" i="10"/>
  <c r="H8" i="10"/>
  <c r="X113" i="9"/>
  <c r="W113" i="9"/>
  <c r="U113" i="9"/>
  <c r="T113" i="9"/>
  <c r="S113" i="9"/>
  <c r="R113" i="9"/>
  <c r="Q113" i="9"/>
  <c r="P113" i="9"/>
  <c r="O113" i="9"/>
  <c r="N113" i="9"/>
  <c r="M113" i="9"/>
  <c r="L113" i="9"/>
  <c r="J113" i="9"/>
  <c r="I113" i="9"/>
  <c r="H113" i="9"/>
  <c r="G113" i="9"/>
  <c r="F113" i="9"/>
  <c r="E113" i="9"/>
  <c r="C113" i="9"/>
  <c r="X112" i="9"/>
  <c r="W112" i="9"/>
  <c r="U112" i="9"/>
  <c r="T112" i="9"/>
  <c r="S112" i="9"/>
  <c r="R112" i="9"/>
  <c r="Q112" i="9"/>
  <c r="P112" i="9"/>
  <c r="O112" i="9"/>
  <c r="N112" i="9"/>
  <c r="M112" i="9"/>
  <c r="L112" i="9"/>
  <c r="J112" i="9"/>
  <c r="I112" i="9"/>
  <c r="H112" i="9"/>
  <c r="G112" i="9"/>
  <c r="F112" i="9"/>
  <c r="E112" i="9"/>
  <c r="C112" i="9"/>
  <c r="X111" i="9"/>
  <c r="W111" i="9"/>
  <c r="U111" i="9"/>
  <c r="T111" i="9"/>
  <c r="S111" i="9"/>
  <c r="R111" i="9"/>
  <c r="Q111" i="9"/>
  <c r="P111" i="9"/>
  <c r="O111" i="9"/>
  <c r="N111" i="9"/>
  <c r="M111" i="9"/>
  <c r="L111" i="9"/>
  <c r="J111" i="9"/>
  <c r="I111" i="9"/>
  <c r="H111" i="9"/>
  <c r="G111" i="9"/>
  <c r="F111" i="9"/>
  <c r="E111" i="9"/>
  <c r="C111" i="9"/>
  <c r="X110" i="9"/>
  <c r="W110" i="9"/>
  <c r="U110" i="9"/>
  <c r="T110" i="9"/>
  <c r="S110" i="9"/>
  <c r="R110" i="9"/>
  <c r="Q110" i="9"/>
  <c r="P110" i="9"/>
  <c r="O110" i="9"/>
  <c r="N110" i="9"/>
  <c r="M110" i="9"/>
  <c r="L110" i="9"/>
  <c r="J110" i="9"/>
  <c r="I110" i="9"/>
  <c r="H110" i="9"/>
  <c r="G110" i="9"/>
  <c r="F110" i="9"/>
  <c r="E110" i="9"/>
  <c r="C110" i="9"/>
  <c r="X109" i="9"/>
  <c r="W109" i="9"/>
  <c r="U109" i="9"/>
  <c r="T109" i="9"/>
  <c r="S109" i="9"/>
  <c r="R109" i="9"/>
  <c r="Q109" i="9"/>
  <c r="P109" i="9"/>
  <c r="O109" i="9"/>
  <c r="N109" i="9"/>
  <c r="M109" i="9"/>
  <c r="L109" i="9"/>
  <c r="J109" i="9"/>
  <c r="I109" i="9"/>
  <c r="H109" i="9"/>
  <c r="G109" i="9"/>
  <c r="F109" i="9"/>
  <c r="E109" i="9"/>
  <c r="C109" i="9"/>
  <c r="X108" i="9"/>
  <c r="W108" i="9"/>
  <c r="U108" i="9"/>
  <c r="T108" i="9"/>
  <c r="S108" i="9"/>
  <c r="R108" i="9"/>
  <c r="Q108" i="9"/>
  <c r="P108" i="9"/>
  <c r="O108" i="9"/>
  <c r="N108" i="9"/>
  <c r="M108" i="9"/>
  <c r="L108" i="9"/>
  <c r="J108" i="9"/>
  <c r="I108" i="9"/>
  <c r="H108" i="9"/>
  <c r="G108" i="9"/>
  <c r="F108" i="9"/>
  <c r="E108" i="9"/>
  <c r="C108" i="9"/>
  <c r="X107" i="9"/>
  <c r="W107" i="9"/>
  <c r="W28" i="9" s="1"/>
  <c r="U107" i="9"/>
  <c r="T107" i="9"/>
  <c r="S107" i="9"/>
  <c r="R107" i="9"/>
  <c r="Q107" i="9"/>
  <c r="P107" i="9"/>
  <c r="O107" i="9"/>
  <c r="N107" i="9"/>
  <c r="M107" i="9"/>
  <c r="L107" i="9"/>
  <c r="J107" i="9"/>
  <c r="I107" i="9"/>
  <c r="H107" i="9"/>
  <c r="G107" i="9"/>
  <c r="F107" i="9"/>
  <c r="E107" i="9"/>
  <c r="C107" i="9"/>
  <c r="X106" i="9"/>
  <c r="W106" i="9"/>
  <c r="U106" i="9"/>
  <c r="T106" i="9"/>
  <c r="S106" i="9"/>
  <c r="R106" i="9"/>
  <c r="Q106" i="9"/>
  <c r="P106" i="9"/>
  <c r="O106" i="9"/>
  <c r="N106" i="9"/>
  <c r="M106" i="9"/>
  <c r="L106" i="9"/>
  <c r="J106" i="9"/>
  <c r="I106" i="9"/>
  <c r="H106" i="9"/>
  <c r="G106" i="9"/>
  <c r="F106" i="9"/>
  <c r="E106" i="9"/>
  <c r="C106" i="9"/>
  <c r="X105" i="9"/>
  <c r="W105" i="9"/>
  <c r="U105" i="9"/>
  <c r="T105" i="9"/>
  <c r="S105" i="9"/>
  <c r="R105" i="9"/>
  <c r="Q105" i="9"/>
  <c r="P105" i="9"/>
  <c r="O105" i="9"/>
  <c r="N105" i="9"/>
  <c r="M105" i="9"/>
  <c r="L105" i="9"/>
  <c r="J105" i="9"/>
  <c r="I105" i="9"/>
  <c r="H105" i="9"/>
  <c r="G105" i="9"/>
  <c r="F105" i="9"/>
  <c r="E105" i="9"/>
  <c r="C105" i="9"/>
  <c r="X104" i="9"/>
  <c r="W104" i="9"/>
  <c r="U104" i="9"/>
  <c r="T104" i="9"/>
  <c r="S104" i="9"/>
  <c r="R104" i="9"/>
  <c r="Q104" i="9"/>
  <c r="P104" i="9"/>
  <c r="O104" i="9"/>
  <c r="N104" i="9"/>
  <c r="M104" i="9"/>
  <c r="L104" i="9"/>
  <c r="J104" i="9"/>
  <c r="I104" i="9"/>
  <c r="H104" i="9"/>
  <c r="G104" i="9"/>
  <c r="F104" i="9"/>
  <c r="E104" i="9"/>
  <c r="C104" i="9"/>
  <c r="X103" i="9"/>
  <c r="W103" i="9"/>
  <c r="U103" i="9"/>
  <c r="T103" i="9"/>
  <c r="S103" i="9"/>
  <c r="R103" i="9"/>
  <c r="Q103" i="9"/>
  <c r="P103" i="9"/>
  <c r="O103" i="9"/>
  <c r="N103" i="9"/>
  <c r="M103" i="9"/>
  <c r="L103" i="9"/>
  <c r="J103" i="9"/>
  <c r="I103" i="9"/>
  <c r="H103" i="9"/>
  <c r="G103" i="9"/>
  <c r="F103" i="9"/>
  <c r="E103" i="9"/>
  <c r="C103" i="9"/>
  <c r="X102" i="9"/>
  <c r="W102" i="9"/>
  <c r="U102" i="9"/>
  <c r="T102" i="9"/>
  <c r="S102" i="9"/>
  <c r="R102" i="9"/>
  <c r="Q102" i="9"/>
  <c r="P102" i="9"/>
  <c r="O102" i="9"/>
  <c r="N102" i="9"/>
  <c r="M102" i="9"/>
  <c r="L102" i="9"/>
  <c r="J102" i="9"/>
  <c r="I102" i="9"/>
  <c r="H102" i="9"/>
  <c r="H23" i="9" s="1"/>
  <c r="G102" i="9"/>
  <c r="F102" i="9"/>
  <c r="E102" i="9"/>
  <c r="C102" i="9"/>
  <c r="X101" i="9"/>
  <c r="W101" i="9"/>
  <c r="U101" i="9"/>
  <c r="T101" i="9"/>
  <c r="S101" i="9"/>
  <c r="R101" i="9"/>
  <c r="Q101" i="9"/>
  <c r="P101" i="9"/>
  <c r="O101" i="9"/>
  <c r="N101" i="9"/>
  <c r="M101" i="9"/>
  <c r="L101" i="9"/>
  <c r="J101" i="9"/>
  <c r="I101" i="9"/>
  <c r="H101" i="9"/>
  <c r="G101" i="9"/>
  <c r="F101" i="9"/>
  <c r="E101" i="9"/>
  <c r="C101" i="9"/>
  <c r="X100" i="9"/>
  <c r="W100" i="9"/>
  <c r="U100" i="9"/>
  <c r="T100" i="9"/>
  <c r="S100" i="9"/>
  <c r="R100" i="9"/>
  <c r="Q100" i="9"/>
  <c r="P100" i="9"/>
  <c r="O100" i="9"/>
  <c r="N100" i="9"/>
  <c r="M100" i="9"/>
  <c r="L100" i="9"/>
  <c r="J100" i="9"/>
  <c r="I100" i="9"/>
  <c r="H100" i="9"/>
  <c r="G100" i="9"/>
  <c r="F100" i="9"/>
  <c r="E100" i="9"/>
  <c r="C100" i="9"/>
  <c r="X99" i="9"/>
  <c r="W99" i="9"/>
  <c r="U99" i="9"/>
  <c r="T99" i="9"/>
  <c r="S99" i="9"/>
  <c r="R99" i="9"/>
  <c r="Q99" i="9"/>
  <c r="P99" i="9"/>
  <c r="O99" i="9"/>
  <c r="O20" i="9" s="1"/>
  <c r="N99" i="9"/>
  <c r="M99" i="9"/>
  <c r="L99" i="9"/>
  <c r="J99" i="9"/>
  <c r="I99" i="9"/>
  <c r="H99" i="9"/>
  <c r="G99" i="9"/>
  <c r="F99" i="9"/>
  <c r="E99" i="9"/>
  <c r="E20" i="9" s="1"/>
  <c r="C99" i="9"/>
  <c r="X98" i="9"/>
  <c r="W98" i="9"/>
  <c r="U98" i="9"/>
  <c r="T98" i="9"/>
  <c r="S98" i="9"/>
  <c r="R98" i="9"/>
  <c r="Q98" i="9"/>
  <c r="P98" i="9"/>
  <c r="O98" i="9"/>
  <c r="O19" i="9" s="1"/>
  <c r="N98" i="9"/>
  <c r="M98" i="9"/>
  <c r="L98" i="9"/>
  <c r="J98" i="9"/>
  <c r="I98" i="9"/>
  <c r="H98" i="9"/>
  <c r="G98" i="9"/>
  <c r="F98" i="9"/>
  <c r="E98" i="9"/>
  <c r="C98" i="9"/>
  <c r="X97" i="9"/>
  <c r="W97" i="9"/>
  <c r="U97" i="9"/>
  <c r="T97" i="9"/>
  <c r="T18" i="9" s="1"/>
  <c r="S97" i="9"/>
  <c r="R97" i="9"/>
  <c r="Q97" i="9"/>
  <c r="P97" i="9"/>
  <c r="O97" i="9"/>
  <c r="N97" i="9"/>
  <c r="M97" i="9"/>
  <c r="L97" i="9"/>
  <c r="J97" i="9"/>
  <c r="I97" i="9"/>
  <c r="H97" i="9"/>
  <c r="G97" i="9"/>
  <c r="G18" i="9" s="1"/>
  <c r="F97" i="9"/>
  <c r="E97" i="9"/>
  <c r="C97" i="9"/>
  <c r="X96" i="9"/>
  <c r="W96" i="9"/>
  <c r="W17" i="9" s="1"/>
  <c r="U96" i="9"/>
  <c r="T96" i="9"/>
  <c r="S96" i="9"/>
  <c r="R96" i="9"/>
  <c r="Q96" i="9"/>
  <c r="P96" i="9"/>
  <c r="O96" i="9"/>
  <c r="N96" i="9"/>
  <c r="M96" i="9"/>
  <c r="L96" i="9"/>
  <c r="J96" i="9"/>
  <c r="I96" i="9"/>
  <c r="H96" i="9"/>
  <c r="G96" i="9"/>
  <c r="F96" i="9"/>
  <c r="E96" i="9"/>
  <c r="D96" i="9" s="1"/>
  <c r="C96" i="9"/>
  <c r="X95" i="9"/>
  <c r="W95" i="9"/>
  <c r="W16" i="9" s="1"/>
  <c r="U95" i="9"/>
  <c r="T95" i="9"/>
  <c r="S95" i="9"/>
  <c r="R95" i="9"/>
  <c r="Q95" i="9"/>
  <c r="P95" i="9"/>
  <c r="O95" i="9"/>
  <c r="N95" i="9"/>
  <c r="M95" i="9"/>
  <c r="L95" i="9"/>
  <c r="J95" i="9"/>
  <c r="I95" i="9"/>
  <c r="I16" i="9" s="1"/>
  <c r="H95" i="9"/>
  <c r="G95" i="9"/>
  <c r="F95" i="9"/>
  <c r="E95" i="9"/>
  <c r="C95" i="9"/>
  <c r="X94" i="9"/>
  <c r="W94" i="9"/>
  <c r="U94" i="9"/>
  <c r="T94" i="9"/>
  <c r="S94" i="9"/>
  <c r="R94" i="9"/>
  <c r="Q94" i="9"/>
  <c r="Q15" i="9" s="1"/>
  <c r="P94" i="9"/>
  <c r="O94" i="9"/>
  <c r="N94" i="9"/>
  <c r="M94" i="9"/>
  <c r="L94" i="9"/>
  <c r="J94" i="9"/>
  <c r="I94" i="9"/>
  <c r="H94" i="9"/>
  <c r="G94" i="9"/>
  <c r="F94" i="9"/>
  <c r="E94" i="9"/>
  <c r="C94" i="9"/>
  <c r="X93" i="9"/>
  <c r="W93" i="9"/>
  <c r="U93" i="9"/>
  <c r="U14" i="9" s="1"/>
  <c r="T93" i="9"/>
  <c r="S93" i="9"/>
  <c r="R93" i="9"/>
  <c r="Q93" i="9"/>
  <c r="P93" i="9"/>
  <c r="O93" i="9"/>
  <c r="N93" i="9"/>
  <c r="M93" i="9"/>
  <c r="L93" i="9"/>
  <c r="L14" i="9" s="1"/>
  <c r="J93" i="9"/>
  <c r="I93" i="9"/>
  <c r="H93" i="9"/>
  <c r="G93" i="9"/>
  <c r="F93" i="9"/>
  <c r="E93" i="9"/>
  <c r="C93" i="9"/>
  <c r="X92" i="9"/>
  <c r="W92" i="9"/>
  <c r="W13" i="9" s="1"/>
  <c r="U92" i="9"/>
  <c r="U13" i="9" s="1"/>
  <c r="T92" i="9"/>
  <c r="S92" i="9"/>
  <c r="S13" i="9" s="1"/>
  <c r="R92" i="9"/>
  <c r="Q92" i="9"/>
  <c r="P92" i="9"/>
  <c r="O92" i="9"/>
  <c r="N92" i="9"/>
  <c r="M92" i="9"/>
  <c r="L92" i="9"/>
  <c r="J92" i="9"/>
  <c r="I92" i="9"/>
  <c r="H92" i="9"/>
  <c r="H13" i="9" s="1"/>
  <c r="G92" i="9"/>
  <c r="F92" i="9"/>
  <c r="F13" i="9" s="1"/>
  <c r="E92" i="9"/>
  <c r="C92" i="9"/>
  <c r="X91" i="9"/>
  <c r="W91" i="9"/>
  <c r="W12" i="9" s="1"/>
  <c r="U91" i="9"/>
  <c r="T91" i="9"/>
  <c r="S91" i="9"/>
  <c r="R91" i="9"/>
  <c r="Q91" i="9"/>
  <c r="P91" i="9"/>
  <c r="O91" i="9"/>
  <c r="N91" i="9"/>
  <c r="M91" i="9"/>
  <c r="L91" i="9"/>
  <c r="K91" i="9" s="1"/>
  <c r="J91" i="9"/>
  <c r="I91" i="9"/>
  <c r="H91" i="9"/>
  <c r="G91" i="9"/>
  <c r="F91" i="9"/>
  <c r="E91" i="9"/>
  <c r="C91" i="9"/>
  <c r="X90" i="9"/>
  <c r="W90" i="9"/>
  <c r="U90" i="9"/>
  <c r="T90" i="9"/>
  <c r="S90" i="9"/>
  <c r="R90" i="9"/>
  <c r="Q90" i="9"/>
  <c r="P90" i="9"/>
  <c r="O90" i="9"/>
  <c r="N90" i="9"/>
  <c r="M90" i="9"/>
  <c r="L90" i="9"/>
  <c r="J90" i="9"/>
  <c r="I90" i="9"/>
  <c r="H90" i="9"/>
  <c r="H11" i="9" s="1"/>
  <c r="G90" i="9"/>
  <c r="F90" i="9"/>
  <c r="E90" i="9"/>
  <c r="D90" i="9" s="1"/>
  <c r="C90" i="9"/>
  <c r="X89" i="9"/>
  <c r="W89" i="9"/>
  <c r="U89" i="9"/>
  <c r="T89" i="9"/>
  <c r="S89" i="9"/>
  <c r="R89" i="9"/>
  <c r="R10" i="9" s="1"/>
  <c r="Q89" i="9"/>
  <c r="P89" i="9"/>
  <c r="P10" i="9" s="1"/>
  <c r="O89" i="9"/>
  <c r="N89" i="9"/>
  <c r="M89" i="9"/>
  <c r="M10" i="9" s="1"/>
  <c r="L89" i="9"/>
  <c r="K89" i="9" s="1"/>
  <c r="J89" i="9"/>
  <c r="I89" i="9"/>
  <c r="H89" i="9"/>
  <c r="G89" i="9"/>
  <c r="F89" i="9"/>
  <c r="E89" i="9"/>
  <c r="D89" i="9" s="1"/>
  <c r="C89" i="9"/>
  <c r="X88" i="9"/>
  <c r="W88" i="9"/>
  <c r="U88" i="9"/>
  <c r="T88" i="9"/>
  <c r="S88" i="9"/>
  <c r="R88" i="9"/>
  <c r="Q88" i="9"/>
  <c r="P88" i="9"/>
  <c r="O88" i="9"/>
  <c r="N88" i="9"/>
  <c r="M88" i="9"/>
  <c r="M9" i="9" s="1"/>
  <c r="L88" i="9"/>
  <c r="J88" i="9"/>
  <c r="J9" i="9" s="1"/>
  <c r="I88" i="9"/>
  <c r="H88" i="9"/>
  <c r="G88" i="9"/>
  <c r="F88" i="9"/>
  <c r="E88" i="9"/>
  <c r="D88" i="9" s="1"/>
  <c r="C88" i="9"/>
  <c r="X87" i="9"/>
  <c r="W87" i="9"/>
  <c r="W8" i="9" s="1"/>
  <c r="U87" i="9"/>
  <c r="T87" i="9"/>
  <c r="S87" i="9"/>
  <c r="R87" i="9"/>
  <c r="R8" i="9" s="1"/>
  <c r="Q87" i="9"/>
  <c r="P87" i="9"/>
  <c r="O87" i="9"/>
  <c r="O8" i="9" s="1"/>
  <c r="N87" i="9"/>
  <c r="M87" i="9"/>
  <c r="L87" i="9"/>
  <c r="K87" i="9" s="1"/>
  <c r="J87" i="9"/>
  <c r="I87" i="9"/>
  <c r="H87" i="9"/>
  <c r="G87" i="9"/>
  <c r="F87" i="9"/>
  <c r="E87" i="9"/>
  <c r="D87" i="9" s="1"/>
  <c r="C87" i="9"/>
  <c r="B87" i="9" s="1"/>
  <c r="X86" i="9"/>
  <c r="W86" i="9"/>
  <c r="W7" i="9" s="1"/>
  <c r="U86" i="9"/>
  <c r="T86" i="9"/>
  <c r="S86" i="9"/>
  <c r="R86" i="9"/>
  <c r="Q86" i="9"/>
  <c r="P86" i="9"/>
  <c r="O86" i="9"/>
  <c r="N86" i="9"/>
  <c r="M86" i="9"/>
  <c r="M7" i="9" s="1"/>
  <c r="L86" i="9"/>
  <c r="K86" i="9" s="1"/>
  <c r="J86" i="9"/>
  <c r="I86" i="9"/>
  <c r="H86" i="9"/>
  <c r="G86" i="9"/>
  <c r="F86" i="9"/>
  <c r="E86" i="9"/>
  <c r="C86" i="9"/>
  <c r="X85" i="9"/>
  <c r="W85" i="9"/>
  <c r="W6" i="9" s="1"/>
  <c r="U85" i="9"/>
  <c r="T85" i="9"/>
  <c r="T6" i="9" s="1"/>
  <c r="S85" i="9"/>
  <c r="R85" i="9"/>
  <c r="Q85" i="9"/>
  <c r="Q6" i="9" s="1"/>
  <c r="P85" i="9"/>
  <c r="O85" i="9"/>
  <c r="N85" i="9"/>
  <c r="M85" i="9"/>
  <c r="L85" i="9"/>
  <c r="K85" i="9" s="1"/>
  <c r="J85" i="9"/>
  <c r="I85" i="9"/>
  <c r="H85" i="9"/>
  <c r="G85" i="9"/>
  <c r="F85" i="9"/>
  <c r="E85" i="9"/>
  <c r="D85" i="9" s="1"/>
  <c r="C85" i="9"/>
  <c r="B85" i="9" s="1"/>
  <c r="X84" i="9"/>
  <c r="W84" i="9"/>
  <c r="W5" i="9" s="1"/>
  <c r="U84" i="9"/>
  <c r="T84" i="9"/>
  <c r="S84" i="9"/>
  <c r="R84" i="9"/>
  <c r="Q84" i="9"/>
  <c r="P84" i="9"/>
  <c r="O84" i="9"/>
  <c r="O5" i="9" s="1"/>
  <c r="N84" i="9"/>
  <c r="M84" i="9"/>
  <c r="L84" i="9"/>
  <c r="K84" i="9" s="1"/>
  <c r="J84" i="9"/>
  <c r="I84" i="9"/>
  <c r="H84" i="9"/>
  <c r="G84" i="9"/>
  <c r="F84" i="9"/>
  <c r="E84" i="9"/>
  <c r="C84" i="9"/>
  <c r="B84" i="9" s="1"/>
  <c r="Y72" i="9"/>
  <c r="U72" i="9"/>
  <c r="U34" i="9" s="1"/>
  <c r="T72" i="9"/>
  <c r="S72" i="9"/>
  <c r="S34" i="9" s="1"/>
  <c r="R72" i="9"/>
  <c r="R34" i="9" s="1"/>
  <c r="Q72" i="9"/>
  <c r="P72" i="9"/>
  <c r="O72" i="9"/>
  <c r="N72" i="9"/>
  <c r="M72" i="9"/>
  <c r="L72" i="9"/>
  <c r="J72" i="9"/>
  <c r="I72" i="9"/>
  <c r="I34" i="9" s="1"/>
  <c r="H72" i="9"/>
  <c r="G72" i="9"/>
  <c r="F72" i="9"/>
  <c r="F34" i="9" s="1"/>
  <c r="E72" i="9"/>
  <c r="E34" i="9" s="1"/>
  <c r="C72" i="9"/>
  <c r="Y71" i="9"/>
  <c r="U71" i="9"/>
  <c r="T71" i="9"/>
  <c r="S71" i="9"/>
  <c r="R71" i="9"/>
  <c r="Q71" i="9"/>
  <c r="P71" i="9"/>
  <c r="O71" i="9"/>
  <c r="N71" i="9"/>
  <c r="M71" i="9"/>
  <c r="M33" i="9" s="1"/>
  <c r="L71" i="9"/>
  <c r="L33" i="9" s="1"/>
  <c r="J71" i="9"/>
  <c r="I71" i="9"/>
  <c r="H71" i="9"/>
  <c r="G71" i="9"/>
  <c r="F71" i="9"/>
  <c r="E71" i="9"/>
  <c r="C71" i="9"/>
  <c r="Y70" i="9"/>
  <c r="U70" i="9"/>
  <c r="T70" i="9"/>
  <c r="S70" i="9"/>
  <c r="K70" i="9" s="1"/>
  <c r="R70" i="9"/>
  <c r="Q70" i="9"/>
  <c r="P70" i="9"/>
  <c r="O70" i="9"/>
  <c r="N70" i="9"/>
  <c r="M70" i="9"/>
  <c r="L70" i="9"/>
  <c r="J70" i="9"/>
  <c r="I70" i="9"/>
  <c r="H70" i="9"/>
  <c r="G70" i="9"/>
  <c r="F70" i="9"/>
  <c r="F32" i="9" s="1"/>
  <c r="E70" i="9"/>
  <c r="C70" i="9"/>
  <c r="Y69" i="9"/>
  <c r="U69" i="9"/>
  <c r="T69" i="9"/>
  <c r="S69" i="9"/>
  <c r="R69" i="9"/>
  <c r="R31" i="9"/>
  <c r="Q69" i="9"/>
  <c r="P69" i="9"/>
  <c r="O69" i="9"/>
  <c r="N69" i="9"/>
  <c r="K69" i="9" s="1"/>
  <c r="M69" i="9"/>
  <c r="L69" i="9"/>
  <c r="L31" i="9" s="1"/>
  <c r="J69" i="9"/>
  <c r="I69" i="9"/>
  <c r="H69" i="9"/>
  <c r="G69" i="9"/>
  <c r="F69" i="9"/>
  <c r="E69" i="9"/>
  <c r="E31" i="9" s="1"/>
  <c r="C69" i="9"/>
  <c r="Y68" i="9"/>
  <c r="U68" i="9"/>
  <c r="T68" i="9"/>
  <c r="S68" i="9"/>
  <c r="S30" i="9" s="1"/>
  <c r="R68" i="9"/>
  <c r="R30" i="9" s="1"/>
  <c r="Q68" i="9"/>
  <c r="P68" i="9"/>
  <c r="O68" i="9"/>
  <c r="N68" i="9"/>
  <c r="M68" i="9"/>
  <c r="L68" i="9"/>
  <c r="L30" i="9" s="1"/>
  <c r="J68" i="9"/>
  <c r="J30" i="9" s="1"/>
  <c r="I68" i="9"/>
  <c r="H68" i="9"/>
  <c r="G68" i="9"/>
  <c r="F68" i="9"/>
  <c r="E68" i="9"/>
  <c r="C68" i="9"/>
  <c r="Y67" i="9"/>
  <c r="U67" i="9"/>
  <c r="T67" i="9"/>
  <c r="S67" i="9"/>
  <c r="R67" i="9"/>
  <c r="R29" i="9"/>
  <c r="Q67" i="9"/>
  <c r="P67" i="9"/>
  <c r="O67" i="9"/>
  <c r="N67" i="9"/>
  <c r="M67" i="9"/>
  <c r="L67" i="9"/>
  <c r="J67" i="9"/>
  <c r="I67" i="9"/>
  <c r="H67" i="9"/>
  <c r="G67" i="9"/>
  <c r="F67" i="9"/>
  <c r="E67" i="9"/>
  <c r="E29" i="9" s="1"/>
  <c r="C67" i="9"/>
  <c r="Y66" i="9"/>
  <c r="U66" i="9"/>
  <c r="T66" i="9"/>
  <c r="S66" i="9"/>
  <c r="R66" i="9"/>
  <c r="R28" i="9"/>
  <c r="Q66" i="9"/>
  <c r="P66" i="9"/>
  <c r="O66" i="9"/>
  <c r="N66" i="9"/>
  <c r="M66" i="9"/>
  <c r="M28" i="9" s="1"/>
  <c r="L66" i="9"/>
  <c r="J66" i="9"/>
  <c r="I66" i="9"/>
  <c r="H66" i="9"/>
  <c r="G66" i="9"/>
  <c r="F66" i="9"/>
  <c r="F28" i="9"/>
  <c r="E66" i="9"/>
  <c r="E28" i="9" s="1"/>
  <c r="C66" i="9"/>
  <c r="Y65" i="9"/>
  <c r="U65" i="9"/>
  <c r="T65" i="9"/>
  <c r="K65" i="9" s="1"/>
  <c r="S65" i="9"/>
  <c r="R65" i="9"/>
  <c r="Q65" i="9"/>
  <c r="P65" i="9"/>
  <c r="O65" i="9"/>
  <c r="N65" i="9"/>
  <c r="M65" i="9"/>
  <c r="M27" i="9" s="1"/>
  <c r="L65" i="9"/>
  <c r="L27" i="9"/>
  <c r="J65" i="9"/>
  <c r="I65" i="9"/>
  <c r="H65" i="9"/>
  <c r="H27" i="9" s="1"/>
  <c r="G65" i="9"/>
  <c r="F65" i="9"/>
  <c r="E65" i="9"/>
  <c r="E27" i="9" s="1"/>
  <c r="C65" i="9"/>
  <c r="Y64" i="9"/>
  <c r="U64" i="9"/>
  <c r="T64" i="9"/>
  <c r="T26" i="9"/>
  <c r="S64" i="9"/>
  <c r="R64" i="9"/>
  <c r="R26" i="9"/>
  <c r="Q64" i="9"/>
  <c r="K64" i="9" s="1"/>
  <c r="P64" i="9"/>
  <c r="O64" i="9"/>
  <c r="N64" i="9"/>
  <c r="M64" i="9"/>
  <c r="L64" i="9"/>
  <c r="J64" i="9"/>
  <c r="I64" i="9"/>
  <c r="H64" i="9"/>
  <c r="H26" i="9" s="1"/>
  <c r="G64" i="9"/>
  <c r="G26" i="9"/>
  <c r="F64" i="9"/>
  <c r="F26" i="9" s="1"/>
  <c r="E64" i="9"/>
  <c r="E26" i="9" s="1"/>
  <c r="C64" i="9"/>
  <c r="Y63" i="9"/>
  <c r="U63" i="9"/>
  <c r="T63" i="9"/>
  <c r="S63" i="9"/>
  <c r="R63" i="9"/>
  <c r="R25" i="9" s="1"/>
  <c r="Q63" i="9"/>
  <c r="P63" i="9"/>
  <c r="O63" i="9"/>
  <c r="N63" i="9"/>
  <c r="M63" i="9"/>
  <c r="M25" i="9" s="1"/>
  <c r="L63" i="9"/>
  <c r="L25" i="9" s="1"/>
  <c r="J63" i="9"/>
  <c r="I63" i="9"/>
  <c r="H63" i="9"/>
  <c r="G63" i="9"/>
  <c r="F63" i="9"/>
  <c r="E63" i="9"/>
  <c r="E25" i="9"/>
  <c r="C63" i="9"/>
  <c r="Y62" i="9"/>
  <c r="U62" i="9"/>
  <c r="T62" i="9"/>
  <c r="T24" i="9" s="1"/>
  <c r="S62" i="9"/>
  <c r="S24" i="9" s="1"/>
  <c r="R62" i="9"/>
  <c r="R24" i="9" s="1"/>
  <c r="Q62" i="9"/>
  <c r="P62" i="9"/>
  <c r="O62" i="9"/>
  <c r="N62" i="9"/>
  <c r="M62" i="9"/>
  <c r="L62" i="9"/>
  <c r="J62" i="9"/>
  <c r="I62" i="9"/>
  <c r="I24" i="9" s="1"/>
  <c r="H62" i="9"/>
  <c r="G62" i="9"/>
  <c r="G24" i="9" s="1"/>
  <c r="F62" i="9"/>
  <c r="F24" i="9" s="1"/>
  <c r="E62" i="9"/>
  <c r="E24" i="9" s="1"/>
  <c r="C62" i="9"/>
  <c r="Y61" i="9"/>
  <c r="U61" i="9"/>
  <c r="T61" i="9"/>
  <c r="T23" i="9" s="1"/>
  <c r="S61" i="9"/>
  <c r="R61" i="9"/>
  <c r="Q61" i="9"/>
  <c r="P61" i="9"/>
  <c r="O61" i="9"/>
  <c r="N61" i="9"/>
  <c r="M61" i="9"/>
  <c r="M23" i="9" s="1"/>
  <c r="L61" i="9"/>
  <c r="L23" i="9" s="1"/>
  <c r="J61" i="9"/>
  <c r="J23" i="9" s="1"/>
  <c r="I61" i="9"/>
  <c r="H61" i="9"/>
  <c r="G61" i="9"/>
  <c r="F61" i="9"/>
  <c r="F23" i="9" s="1"/>
  <c r="E61" i="9"/>
  <c r="D61" i="9" s="1"/>
  <c r="B61" i="9" s="1"/>
  <c r="V61" i="9" s="1"/>
  <c r="X61" i="9" s="1"/>
  <c r="X23" i="9" s="1"/>
  <c r="C61" i="9"/>
  <c r="Y60" i="9"/>
  <c r="U60" i="9"/>
  <c r="U22" i="9" s="1"/>
  <c r="T60" i="9"/>
  <c r="S60" i="9"/>
  <c r="S22" i="9" s="1"/>
  <c r="R60" i="9"/>
  <c r="R22" i="9"/>
  <c r="Q60" i="9"/>
  <c r="P60" i="9"/>
  <c r="O60" i="9"/>
  <c r="N60" i="9"/>
  <c r="M60" i="9"/>
  <c r="L60" i="9"/>
  <c r="L22" i="9" s="1"/>
  <c r="J60" i="9"/>
  <c r="I60" i="9"/>
  <c r="H60" i="9"/>
  <c r="H22" i="9"/>
  <c r="G60" i="9"/>
  <c r="F60" i="9"/>
  <c r="F22" i="9" s="1"/>
  <c r="E60" i="9"/>
  <c r="E22" i="9" s="1"/>
  <c r="C60" i="9"/>
  <c r="Y59" i="9"/>
  <c r="U59" i="9"/>
  <c r="T59" i="9"/>
  <c r="S59" i="9"/>
  <c r="R59" i="9"/>
  <c r="R21" i="9" s="1"/>
  <c r="Q59" i="9"/>
  <c r="Q21" i="9" s="1"/>
  <c r="P59" i="9"/>
  <c r="P21" i="9" s="1"/>
  <c r="O59" i="9"/>
  <c r="O21" i="9" s="1"/>
  <c r="N59" i="9"/>
  <c r="M59" i="9"/>
  <c r="K59" i="9" s="1"/>
  <c r="L59" i="9"/>
  <c r="L21" i="9" s="1"/>
  <c r="J59" i="9"/>
  <c r="I59" i="9"/>
  <c r="H59" i="9"/>
  <c r="G59" i="9"/>
  <c r="F59" i="9"/>
  <c r="E59" i="9"/>
  <c r="C59" i="9"/>
  <c r="C21" i="9" s="1"/>
  <c r="Y58" i="9"/>
  <c r="U58" i="9"/>
  <c r="T58" i="9"/>
  <c r="T20" i="9" s="1"/>
  <c r="S58" i="9"/>
  <c r="R58" i="9"/>
  <c r="Q58" i="9"/>
  <c r="P58" i="9"/>
  <c r="O58" i="9"/>
  <c r="N58" i="9"/>
  <c r="M58" i="9"/>
  <c r="L58" i="9"/>
  <c r="L20" i="9" s="1"/>
  <c r="J58" i="9"/>
  <c r="I58" i="9"/>
  <c r="H58" i="9"/>
  <c r="G58" i="9"/>
  <c r="G20" i="9" s="1"/>
  <c r="F58" i="9"/>
  <c r="F20" i="9" s="1"/>
  <c r="E58" i="9"/>
  <c r="C58" i="9"/>
  <c r="Y57" i="9"/>
  <c r="U57" i="9"/>
  <c r="T57" i="9"/>
  <c r="S57" i="9"/>
  <c r="S19" i="9" s="1"/>
  <c r="R57" i="9"/>
  <c r="R19" i="9"/>
  <c r="Q57" i="9"/>
  <c r="P57" i="9"/>
  <c r="O57" i="9"/>
  <c r="N57" i="9"/>
  <c r="M57" i="9"/>
  <c r="L57" i="9"/>
  <c r="J57" i="9"/>
  <c r="J19" i="9" s="1"/>
  <c r="I57" i="9"/>
  <c r="H57" i="9"/>
  <c r="G57" i="9"/>
  <c r="G19" i="9" s="1"/>
  <c r="F57" i="9"/>
  <c r="E57" i="9"/>
  <c r="E19" i="9" s="1"/>
  <c r="C57" i="9"/>
  <c r="C19" i="9" s="1"/>
  <c r="Y56" i="9"/>
  <c r="U56" i="9"/>
  <c r="T56" i="9"/>
  <c r="S56" i="9"/>
  <c r="S18" i="9" s="1"/>
  <c r="R56" i="9"/>
  <c r="R18" i="9"/>
  <c r="Q56" i="9"/>
  <c r="P56" i="9"/>
  <c r="P18" i="9" s="1"/>
  <c r="O56" i="9"/>
  <c r="N56" i="9"/>
  <c r="M56" i="9"/>
  <c r="M18" i="9" s="1"/>
  <c r="L56" i="9"/>
  <c r="L18" i="9" s="1"/>
  <c r="J56" i="9"/>
  <c r="J18" i="9" s="1"/>
  <c r="I56" i="9"/>
  <c r="H56" i="9"/>
  <c r="G56" i="9"/>
  <c r="F56" i="9"/>
  <c r="E56" i="9"/>
  <c r="C56" i="9"/>
  <c r="C18" i="9" s="1"/>
  <c r="Y55" i="9"/>
  <c r="U55" i="9"/>
  <c r="T55" i="9"/>
  <c r="S55" i="9"/>
  <c r="R55" i="9"/>
  <c r="Q55" i="9"/>
  <c r="Q17" i="9" s="1"/>
  <c r="P55" i="9"/>
  <c r="O55" i="9"/>
  <c r="N55" i="9"/>
  <c r="M55" i="9"/>
  <c r="M17" i="9" s="1"/>
  <c r="L55" i="9"/>
  <c r="J55" i="9"/>
  <c r="I55" i="9"/>
  <c r="H55" i="9"/>
  <c r="G55" i="9"/>
  <c r="F55" i="9"/>
  <c r="E55" i="9"/>
  <c r="E17" i="9" s="1"/>
  <c r="C55" i="9"/>
  <c r="Y54" i="9"/>
  <c r="U54" i="9"/>
  <c r="T54" i="9"/>
  <c r="S54" i="9"/>
  <c r="R54" i="9"/>
  <c r="Q54" i="9"/>
  <c r="P54" i="9"/>
  <c r="O54" i="9"/>
  <c r="O16" i="9" s="1"/>
  <c r="N54" i="9"/>
  <c r="M54" i="9"/>
  <c r="L54" i="9"/>
  <c r="J54" i="9"/>
  <c r="J16" i="9" s="1"/>
  <c r="I54" i="9"/>
  <c r="H54" i="9"/>
  <c r="G54" i="9"/>
  <c r="F54" i="9"/>
  <c r="E54" i="9"/>
  <c r="C54" i="9"/>
  <c r="Y53" i="9"/>
  <c r="U53" i="9"/>
  <c r="T53" i="9"/>
  <c r="S53" i="9"/>
  <c r="R53" i="9"/>
  <c r="R15" i="9" s="1"/>
  <c r="Q53" i="9"/>
  <c r="P53" i="9"/>
  <c r="O53" i="9"/>
  <c r="O15" i="9" s="1"/>
  <c r="N53" i="9"/>
  <c r="M53" i="9"/>
  <c r="L53" i="9"/>
  <c r="J53" i="9"/>
  <c r="J15" i="9" s="1"/>
  <c r="I53" i="9"/>
  <c r="H53" i="9"/>
  <c r="G53" i="9"/>
  <c r="F53" i="9"/>
  <c r="E53" i="9"/>
  <c r="E15" i="9"/>
  <c r="C53" i="9"/>
  <c r="Y52" i="9"/>
  <c r="U52" i="9"/>
  <c r="T52" i="9"/>
  <c r="T14" i="9" s="1"/>
  <c r="S52" i="9"/>
  <c r="R52" i="9"/>
  <c r="R14" i="9" s="1"/>
  <c r="Q52" i="9"/>
  <c r="P52" i="9"/>
  <c r="O52" i="9"/>
  <c r="K52" i="9" s="1"/>
  <c r="N52" i="9"/>
  <c r="M52" i="9"/>
  <c r="L52" i="9"/>
  <c r="J52" i="9"/>
  <c r="I52" i="9"/>
  <c r="H52" i="9"/>
  <c r="G52" i="9"/>
  <c r="G14" i="9" s="1"/>
  <c r="F52" i="9"/>
  <c r="E52" i="9"/>
  <c r="E14" i="9"/>
  <c r="C52" i="9"/>
  <c r="Y51" i="9"/>
  <c r="U51" i="9"/>
  <c r="T51" i="9"/>
  <c r="S51" i="9"/>
  <c r="R51" i="9"/>
  <c r="Q51" i="9"/>
  <c r="P51" i="9"/>
  <c r="O51" i="9"/>
  <c r="K51" i="9" s="1"/>
  <c r="N51" i="9"/>
  <c r="M51" i="9"/>
  <c r="M13" i="9" s="1"/>
  <c r="L51" i="9"/>
  <c r="J51" i="9"/>
  <c r="I51" i="9"/>
  <c r="D51" i="9" s="1"/>
  <c r="H51" i="9"/>
  <c r="G51" i="9"/>
  <c r="F51" i="9"/>
  <c r="E51" i="9"/>
  <c r="C51" i="9"/>
  <c r="Y50" i="9"/>
  <c r="U50" i="9"/>
  <c r="T50" i="9"/>
  <c r="S50" i="9"/>
  <c r="S12" i="9" s="1"/>
  <c r="R50" i="9"/>
  <c r="R12" i="9" s="1"/>
  <c r="Q50" i="9"/>
  <c r="P50" i="9"/>
  <c r="O50" i="9"/>
  <c r="N50" i="9"/>
  <c r="M50" i="9"/>
  <c r="L50" i="9"/>
  <c r="J50" i="9"/>
  <c r="I50" i="9"/>
  <c r="H50" i="9"/>
  <c r="G50" i="9"/>
  <c r="G12" i="9" s="1"/>
  <c r="F50" i="9"/>
  <c r="F12" i="9" s="1"/>
  <c r="E50" i="9"/>
  <c r="E12" i="9" s="1"/>
  <c r="C50" i="9"/>
  <c r="Y49" i="9"/>
  <c r="U49" i="9"/>
  <c r="T49" i="9"/>
  <c r="S49" i="9"/>
  <c r="S11" i="9" s="1"/>
  <c r="R49" i="9"/>
  <c r="R11" i="9" s="1"/>
  <c r="Q49" i="9"/>
  <c r="P49" i="9"/>
  <c r="O49" i="9"/>
  <c r="O11" i="9" s="1"/>
  <c r="N49" i="9"/>
  <c r="N11" i="9" s="1"/>
  <c r="M49" i="9"/>
  <c r="L49" i="9"/>
  <c r="J49" i="9"/>
  <c r="I49" i="9"/>
  <c r="I11" i="9"/>
  <c r="H49" i="9"/>
  <c r="G49" i="9"/>
  <c r="F49" i="9"/>
  <c r="E49" i="9"/>
  <c r="C49" i="9"/>
  <c r="Y48" i="9"/>
  <c r="U48" i="9"/>
  <c r="U10" i="9" s="1"/>
  <c r="T48" i="9"/>
  <c r="S48" i="9"/>
  <c r="R48" i="9"/>
  <c r="Q48" i="9"/>
  <c r="Q10" i="9" s="1"/>
  <c r="P48" i="9"/>
  <c r="O48" i="9"/>
  <c r="N48" i="9"/>
  <c r="M48" i="9"/>
  <c r="L48" i="9"/>
  <c r="J48" i="9"/>
  <c r="I48" i="9"/>
  <c r="H48" i="9"/>
  <c r="H10" i="9" s="1"/>
  <c r="G48" i="9"/>
  <c r="F48" i="9"/>
  <c r="F10" i="9" s="1"/>
  <c r="E48" i="9"/>
  <c r="C48" i="9"/>
  <c r="Y47" i="9"/>
  <c r="U47" i="9"/>
  <c r="T47" i="9"/>
  <c r="T9" i="9" s="1"/>
  <c r="S47" i="9"/>
  <c r="R47" i="9"/>
  <c r="Q47" i="9"/>
  <c r="P47" i="9"/>
  <c r="K47" i="9" s="1"/>
  <c r="O47" i="9"/>
  <c r="N47" i="9"/>
  <c r="M47" i="9"/>
  <c r="L47" i="9"/>
  <c r="J47" i="9"/>
  <c r="I47" i="9"/>
  <c r="H47" i="9"/>
  <c r="G47" i="9"/>
  <c r="F47" i="9"/>
  <c r="E47" i="9"/>
  <c r="D47" i="9" s="1"/>
  <c r="B47" i="9" s="1"/>
  <c r="C47" i="9"/>
  <c r="Y46" i="9"/>
  <c r="U46" i="9"/>
  <c r="T46" i="9"/>
  <c r="S46" i="9"/>
  <c r="R46" i="9"/>
  <c r="Q46" i="9"/>
  <c r="Q8" i="9" s="1"/>
  <c r="P46" i="9"/>
  <c r="O46" i="9"/>
  <c r="N46" i="9"/>
  <c r="M46" i="9"/>
  <c r="L46" i="9"/>
  <c r="K46" i="9" s="1"/>
  <c r="J46" i="9"/>
  <c r="J8" i="9"/>
  <c r="I46" i="9"/>
  <c r="H46" i="9"/>
  <c r="G46" i="9"/>
  <c r="F46" i="9"/>
  <c r="F8" i="9" s="1"/>
  <c r="E46" i="9"/>
  <c r="C46" i="9"/>
  <c r="Y45" i="9"/>
  <c r="U45" i="9"/>
  <c r="T45" i="9"/>
  <c r="S45" i="9"/>
  <c r="R45" i="9"/>
  <c r="Q45" i="9"/>
  <c r="K45" i="9" s="1"/>
  <c r="P45" i="9"/>
  <c r="O45" i="9"/>
  <c r="N45" i="9"/>
  <c r="M45" i="9"/>
  <c r="L45" i="9"/>
  <c r="J45" i="9"/>
  <c r="I45" i="9"/>
  <c r="H45" i="9"/>
  <c r="G45" i="9"/>
  <c r="F45" i="9"/>
  <c r="E45" i="9"/>
  <c r="C45" i="9"/>
  <c r="Y44" i="9"/>
  <c r="U44" i="9"/>
  <c r="T44" i="9"/>
  <c r="S44" i="9"/>
  <c r="R44" i="9"/>
  <c r="Q44" i="9"/>
  <c r="P44" i="9"/>
  <c r="O44" i="9"/>
  <c r="N44" i="9"/>
  <c r="M44" i="9"/>
  <c r="L44" i="9"/>
  <c r="J44" i="9"/>
  <c r="I44" i="9"/>
  <c r="H44" i="9"/>
  <c r="G44" i="9"/>
  <c r="D44" i="9" s="1"/>
  <c r="B44" i="9" s="1"/>
  <c r="F44" i="9"/>
  <c r="E44" i="9"/>
  <c r="C44" i="9"/>
  <c r="Y43" i="9"/>
  <c r="U43" i="9"/>
  <c r="T43" i="9"/>
  <c r="S43" i="9"/>
  <c r="R43" i="9"/>
  <c r="Q43" i="9"/>
  <c r="P43" i="9"/>
  <c r="O43" i="9"/>
  <c r="N43" i="9"/>
  <c r="M43" i="9"/>
  <c r="L43" i="9"/>
  <c r="J43" i="9"/>
  <c r="I43" i="9"/>
  <c r="H43" i="9"/>
  <c r="G43" i="9"/>
  <c r="F43" i="9"/>
  <c r="D43" i="9" s="1"/>
  <c r="E43" i="9"/>
  <c r="C43" i="9"/>
  <c r="W34" i="9"/>
  <c r="T34" i="9"/>
  <c r="Q34" i="9"/>
  <c r="O34" i="9"/>
  <c r="N34" i="9"/>
  <c r="M34" i="9"/>
  <c r="L34" i="9"/>
  <c r="J34" i="9"/>
  <c r="H34" i="9"/>
  <c r="G34" i="9"/>
  <c r="C34" i="9"/>
  <c r="W33" i="9"/>
  <c r="U33" i="9"/>
  <c r="T33" i="9"/>
  <c r="S33" i="9"/>
  <c r="R33" i="9"/>
  <c r="Q33" i="9"/>
  <c r="P33" i="9"/>
  <c r="O33" i="9"/>
  <c r="N33" i="9"/>
  <c r="J33" i="9"/>
  <c r="I33" i="9"/>
  <c r="H33" i="9"/>
  <c r="G33" i="9"/>
  <c r="F33" i="9"/>
  <c r="E33" i="9"/>
  <c r="C33" i="9"/>
  <c r="W32" i="9"/>
  <c r="U32" i="9"/>
  <c r="T32" i="9"/>
  <c r="S32" i="9"/>
  <c r="Q32" i="9"/>
  <c r="P32" i="9"/>
  <c r="O32" i="9"/>
  <c r="N32" i="9"/>
  <c r="M32" i="9"/>
  <c r="L32" i="9"/>
  <c r="J32" i="9"/>
  <c r="I32" i="9"/>
  <c r="H32" i="9"/>
  <c r="G32" i="9"/>
  <c r="C32" i="9"/>
  <c r="W31" i="9"/>
  <c r="U31" i="9"/>
  <c r="T31" i="9"/>
  <c r="S31" i="9"/>
  <c r="Q31" i="9"/>
  <c r="P31" i="9"/>
  <c r="O31" i="9"/>
  <c r="J31" i="9"/>
  <c r="I31" i="9"/>
  <c r="H31" i="9"/>
  <c r="G31" i="9"/>
  <c r="F31" i="9"/>
  <c r="C31" i="9"/>
  <c r="W30" i="9"/>
  <c r="U30" i="9"/>
  <c r="Q30" i="9"/>
  <c r="P30" i="9"/>
  <c r="O30" i="9"/>
  <c r="N30" i="9"/>
  <c r="M30" i="9"/>
  <c r="I30" i="9"/>
  <c r="H30" i="9"/>
  <c r="F30" i="9"/>
  <c r="W29" i="9"/>
  <c r="U29" i="9"/>
  <c r="T29" i="9"/>
  <c r="S29" i="9"/>
  <c r="Q29" i="9"/>
  <c r="P29" i="9"/>
  <c r="O29" i="9"/>
  <c r="N29" i="9"/>
  <c r="M29" i="9"/>
  <c r="J29" i="9"/>
  <c r="I29" i="9"/>
  <c r="H29" i="9"/>
  <c r="G29" i="9"/>
  <c r="F29" i="9"/>
  <c r="C29" i="9"/>
  <c r="U28" i="9"/>
  <c r="T28" i="9"/>
  <c r="S28" i="9"/>
  <c r="Q28" i="9"/>
  <c r="P28" i="9"/>
  <c r="O28" i="9"/>
  <c r="L28" i="9"/>
  <c r="J28" i="9"/>
  <c r="H28" i="9"/>
  <c r="G28" i="9"/>
  <c r="C28" i="9"/>
  <c r="W27" i="9"/>
  <c r="U27" i="9"/>
  <c r="S27" i="9"/>
  <c r="R27" i="9"/>
  <c r="P27" i="9"/>
  <c r="O27" i="9"/>
  <c r="J27" i="9"/>
  <c r="I27" i="9"/>
  <c r="G27" i="9"/>
  <c r="F27" i="9"/>
  <c r="W26" i="9"/>
  <c r="U26" i="9"/>
  <c r="S26" i="9"/>
  <c r="P26" i="9"/>
  <c r="O26" i="9"/>
  <c r="N26" i="9"/>
  <c r="M26" i="9"/>
  <c r="J26" i="9"/>
  <c r="C26" i="9"/>
  <c r="W25" i="9"/>
  <c r="U25" i="9"/>
  <c r="T25" i="9"/>
  <c r="Q25" i="9"/>
  <c r="P25" i="9"/>
  <c r="O25" i="9"/>
  <c r="N25" i="9"/>
  <c r="J25" i="9"/>
  <c r="I25" i="9"/>
  <c r="H25" i="9"/>
  <c r="G25" i="9"/>
  <c r="W24" i="9"/>
  <c r="U24" i="9"/>
  <c r="Q24" i="9"/>
  <c r="P24" i="9"/>
  <c r="O24" i="9"/>
  <c r="M24" i="9"/>
  <c r="H24" i="9"/>
  <c r="C24" i="9"/>
  <c r="W23" i="9"/>
  <c r="S23" i="9"/>
  <c r="R23" i="9"/>
  <c r="Q23" i="9"/>
  <c r="P23" i="9"/>
  <c r="O23" i="9"/>
  <c r="N23" i="9"/>
  <c r="I23" i="9"/>
  <c r="G23" i="9"/>
  <c r="E23" i="9"/>
  <c r="C23" i="9"/>
  <c r="W22" i="9"/>
  <c r="T22" i="9"/>
  <c r="Q22" i="9"/>
  <c r="O22" i="9"/>
  <c r="N22" i="9"/>
  <c r="J22" i="9"/>
  <c r="I22" i="9"/>
  <c r="G22" i="9"/>
  <c r="C22" i="9"/>
  <c r="W21" i="9"/>
  <c r="U21" i="9"/>
  <c r="S21" i="9"/>
  <c r="N21" i="9"/>
  <c r="M21" i="9"/>
  <c r="I21" i="9"/>
  <c r="F21" i="9"/>
  <c r="E21" i="9"/>
  <c r="W20" i="9"/>
  <c r="U20" i="9"/>
  <c r="S20" i="9"/>
  <c r="Q20" i="9"/>
  <c r="N20" i="9"/>
  <c r="M20" i="9"/>
  <c r="J20" i="9"/>
  <c r="I20" i="9"/>
  <c r="W19" i="9"/>
  <c r="U19" i="9"/>
  <c r="Q19" i="9"/>
  <c r="F19" i="9"/>
  <c r="W18" i="9"/>
  <c r="N18" i="9"/>
  <c r="I18" i="9"/>
  <c r="U17" i="9"/>
  <c r="T17" i="9"/>
  <c r="S17" i="9"/>
  <c r="O17" i="9"/>
  <c r="H17" i="9"/>
  <c r="G17" i="9"/>
  <c r="T16" i="9"/>
  <c r="P16" i="9"/>
  <c r="W15" i="9"/>
  <c r="U15" i="9"/>
  <c r="I15" i="9"/>
  <c r="H15" i="9"/>
  <c r="W14" i="9"/>
  <c r="Q14" i="9"/>
  <c r="P14" i="9"/>
  <c r="M14" i="9"/>
  <c r="C14" i="9"/>
  <c r="T13" i="9"/>
  <c r="J13" i="9"/>
  <c r="G13" i="9"/>
  <c r="T12" i="9"/>
  <c r="O12" i="9"/>
  <c r="N12" i="9"/>
  <c r="W11" i="9"/>
  <c r="W10" i="9"/>
  <c r="C10" i="9"/>
  <c r="W9" i="9"/>
  <c r="D71" i="10"/>
  <c r="D52" i="10"/>
  <c r="B52" i="10" s="1"/>
  <c r="V52" i="10" s="1"/>
  <c r="D59" i="10"/>
  <c r="B59" i="10" s="1"/>
  <c r="D64" i="10"/>
  <c r="B64" i="10" s="1"/>
  <c r="V64" i="10" s="1"/>
  <c r="F16" i="9"/>
  <c r="L13" i="9"/>
  <c r="U8" i="9"/>
  <c r="H20" i="9"/>
  <c r="L7" i="10"/>
  <c r="S8" i="10"/>
  <c r="N9" i="10"/>
  <c r="H10" i="10"/>
  <c r="U10" i="10"/>
  <c r="AR10" i="10" s="1"/>
  <c r="P11" i="10"/>
  <c r="J12" i="10"/>
  <c r="E13" i="10"/>
  <c r="R13" i="10"/>
  <c r="M14" i="10"/>
  <c r="G15" i="10"/>
  <c r="E30" i="9"/>
  <c r="P13" i="9"/>
  <c r="I14" i="9"/>
  <c r="C13" i="9"/>
  <c r="Q13" i="9"/>
  <c r="J24" i="9"/>
  <c r="E11" i="9"/>
  <c r="R9" i="10"/>
  <c r="D44" i="10"/>
  <c r="K50" i="10"/>
  <c r="D51" i="10"/>
  <c r="B51" i="10" s="1"/>
  <c r="D56" i="10"/>
  <c r="B56" i="10"/>
  <c r="B18" i="10" s="1"/>
  <c r="Y18" i="10" s="1"/>
  <c r="K62" i="10"/>
  <c r="D68" i="10"/>
  <c r="B68" i="10" s="1"/>
  <c r="D61" i="10"/>
  <c r="B61" i="10" s="1"/>
  <c r="Q10" i="10"/>
  <c r="AN10" i="10" s="1"/>
  <c r="L11" i="10"/>
  <c r="AI11" i="10" s="1"/>
  <c r="S12" i="10"/>
  <c r="N13" i="10"/>
  <c r="H14" i="10"/>
  <c r="U14" i="10"/>
  <c r="P15" i="10"/>
  <c r="J16" i="10"/>
  <c r="E17" i="10"/>
  <c r="R17" i="10"/>
  <c r="AO17" i="10" s="1"/>
  <c r="M18" i="10"/>
  <c r="AJ18" i="10" s="1"/>
  <c r="G19" i="10"/>
  <c r="T19" i="10"/>
  <c r="O20" i="10"/>
  <c r="AL20" i="10"/>
  <c r="I21" i="10"/>
  <c r="C22" i="10"/>
  <c r="Q22" i="10"/>
  <c r="L23" i="10"/>
  <c r="AI23" i="10" s="1"/>
  <c r="F8" i="10"/>
  <c r="I9" i="10"/>
  <c r="AF9" i="10" s="1"/>
  <c r="D70" i="9"/>
  <c r="B70" i="9" s="1"/>
  <c r="K71" i="9"/>
  <c r="V71" i="9" s="1"/>
  <c r="X71" i="9" s="1"/>
  <c r="X33" i="9" s="1"/>
  <c r="K60" i="10"/>
  <c r="K22" i="10" s="1"/>
  <c r="AH22" i="10" s="1"/>
  <c r="T7" i="10"/>
  <c r="K53" i="10"/>
  <c r="D54" i="10"/>
  <c r="B54" i="10" s="1"/>
  <c r="D63" i="10"/>
  <c r="B63" i="10" s="1"/>
  <c r="K72" i="10"/>
  <c r="T12" i="10"/>
  <c r="I14" i="10"/>
  <c r="AF14" i="10" s="1"/>
  <c r="C15" i="10"/>
  <c r="Q15" i="10"/>
  <c r="F17" i="10"/>
  <c r="S17" i="10"/>
  <c r="AP17" i="10" s="1"/>
  <c r="N18" i="10"/>
  <c r="H19" i="10"/>
  <c r="U19" i="10"/>
  <c r="P20" i="10"/>
  <c r="K46" i="10"/>
  <c r="D47" i="10"/>
  <c r="B47" i="10" s="1"/>
  <c r="K58" i="10"/>
  <c r="K65" i="10"/>
  <c r="V65" i="10" s="1"/>
  <c r="K67" i="10"/>
  <c r="K70" i="10"/>
  <c r="Q8" i="10"/>
  <c r="K57" i="9"/>
  <c r="J21" i="9"/>
  <c r="P22" i="9"/>
  <c r="U23" i="9"/>
  <c r="N24" i="9"/>
  <c r="F25" i="9"/>
  <c r="S25" i="9"/>
  <c r="L26" i="9"/>
  <c r="C27" i="9"/>
  <c r="Q27" i="9"/>
  <c r="I28" i="9"/>
  <c r="G30" i="9"/>
  <c r="T30" i="9"/>
  <c r="M31" i="9"/>
  <c r="E32" i="9"/>
  <c r="R32" i="9"/>
  <c r="P34" i="9"/>
  <c r="D45" i="10"/>
  <c r="K51" i="10"/>
  <c r="D57" i="10"/>
  <c r="B57" i="10" s="1"/>
  <c r="V57" i="10" s="1"/>
  <c r="D69" i="10"/>
  <c r="B69" i="10" s="1"/>
  <c r="D53" i="9"/>
  <c r="D63" i="9"/>
  <c r="B63" i="9" s="1"/>
  <c r="P17" i="9"/>
  <c r="H18" i="9"/>
  <c r="U18" i="9"/>
  <c r="N19" i="9"/>
  <c r="K56" i="10"/>
  <c r="K68" i="10"/>
  <c r="Q6" i="10"/>
  <c r="AN6" i="10" s="1"/>
  <c r="F15" i="9"/>
  <c r="S15" i="9"/>
  <c r="L16" i="9"/>
  <c r="C17" i="9"/>
  <c r="K49" i="10"/>
  <c r="D50" i="10"/>
  <c r="B50" i="10" s="1"/>
  <c r="V50" i="10" s="1"/>
  <c r="K61" i="10"/>
  <c r="V61" i="10" s="1"/>
  <c r="D62" i="10"/>
  <c r="B62" i="10" s="1"/>
  <c r="V62" i="10" s="1"/>
  <c r="D59" i="9"/>
  <c r="B59" i="9" s="1"/>
  <c r="D69" i="9"/>
  <c r="B69" i="9" s="1"/>
  <c r="D43" i="10"/>
  <c r="D5" i="10" s="1"/>
  <c r="D48" i="10"/>
  <c r="B48" i="10" s="1"/>
  <c r="K54" i="10"/>
  <c r="D55" i="10"/>
  <c r="B55" i="10"/>
  <c r="D60" i="10"/>
  <c r="B60" i="10" s="1"/>
  <c r="K63" i="10"/>
  <c r="K66" i="10"/>
  <c r="E18" i="9"/>
  <c r="D65" i="9"/>
  <c r="B65" i="9" s="1"/>
  <c r="K68" i="9"/>
  <c r="K47" i="10"/>
  <c r="D53" i="10"/>
  <c r="B53" i="10" s="1"/>
  <c r="K59" i="10"/>
  <c r="D65" i="10"/>
  <c r="B65" i="10" s="1"/>
  <c r="B27" i="10" s="1"/>
  <c r="Y27" i="10" s="1"/>
  <c r="D72" i="10"/>
  <c r="B72" i="10"/>
  <c r="D71" i="9"/>
  <c r="B71" i="9"/>
  <c r="K52" i="10"/>
  <c r="K64" i="10"/>
  <c r="D70" i="10"/>
  <c r="H6" i="10"/>
  <c r="P7" i="10"/>
  <c r="E13" i="9"/>
  <c r="D54" i="9"/>
  <c r="F13" i="10"/>
  <c r="K45" i="10"/>
  <c r="K57" i="10"/>
  <c r="D58" i="10"/>
  <c r="B58" i="10" s="1"/>
  <c r="D67" i="10"/>
  <c r="D66" i="9"/>
  <c r="B66" i="9" s="1"/>
  <c r="K67" i="9"/>
  <c r="Q11" i="9"/>
  <c r="I12" i="9"/>
  <c r="O13" i="9"/>
  <c r="M15" i="9"/>
  <c r="E16" i="9"/>
  <c r="R16" i="9"/>
  <c r="J17" i="9"/>
  <c r="H19" i="9"/>
  <c r="K43" i="10"/>
  <c r="D49" i="10"/>
  <c r="B49" i="10" s="1"/>
  <c r="B11" i="10" s="1"/>
  <c r="Y11" i="10" s="1"/>
  <c r="K55" i="10"/>
  <c r="K69" i="10"/>
  <c r="V69" i="10" s="1"/>
  <c r="K71" i="10"/>
  <c r="P10" i="10"/>
  <c r="J11" i="10"/>
  <c r="R12" i="10"/>
  <c r="T14" i="10"/>
  <c r="O15" i="10"/>
  <c r="I16" i="10"/>
  <c r="Q17" i="10"/>
  <c r="L18" i="10"/>
  <c r="F19" i="10"/>
  <c r="S19" i="10"/>
  <c r="N20" i="10"/>
  <c r="H21" i="10"/>
  <c r="U21" i="10"/>
  <c r="J23" i="10"/>
  <c r="E24" i="10"/>
  <c r="C17" i="10"/>
  <c r="L6" i="10"/>
  <c r="O8" i="10"/>
  <c r="R10" i="10"/>
  <c r="D99" i="9"/>
  <c r="D110" i="9"/>
  <c r="D93" i="9"/>
  <c r="B93" i="9"/>
  <c r="O5" i="10"/>
  <c r="D113" i="10"/>
  <c r="D107" i="10"/>
  <c r="D28" i="10" s="1"/>
  <c r="D91" i="9"/>
  <c r="D98" i="9"/>
  <c r="D103" i="9"/>
  <c r="B103" i="9"/>
  <c r="R20" i="9"/>
  <c r="D95" i="9"/>
  <c r="D16" i="9" s="1"/>
  <c r="D92" i="9"/>
  <c r="D97" i="9"/>
  <c r="D109" i="9"/>
  <c r="D94" i="9"/>
  <c r="J12" i="9"/>
  <c r="K61" i="9"/>
  <c r="K58" i="9"/>
  <c r="N16" i="9"/>
  <c r="K60" i="9"/>
  <c r="D101" i="9"/>
  <c r="B101" i="9"/>
  <c r="D106" i="9"/>
  <c r="D111" i="9"/>
  <c r="D32" i="9" s="1"/>
  <c r="I6" i="10"/>
  <c r="AF6" i="10" s="1"/>
  <c r="F9" i="10"/>
  <c r="AC9" i="10" s="1"/>
  <c r="S9" i="10"/>
  <c r="U11" i="10"/>
  <c r="D93" i="10"/>
  <c r="K99" i="10"/>
  <c r="D105" i="10"/>
  <c r="K111" i="10"/>
  <c r="AI32" i="10" s="1"/>
  <c r="N28" i="9"/>
  <c r="K102" i="9"/>
  <c r="K23" i="9" s="1"/>
  <c r="L16" i="10"/>
  <c r="L20" i="10"/>
  <c r="D46" i="10"/>
  <c r="B46" i="10" s="1"/>
  <c r="D108" i="9"/>
  <c r="B108" i="9"/>
  <c r="C10" i="10"/>
  <c r="K44" i="10"/>
  <c r="K48" i="10"/>
  <c r="V48" i="10" s="1"/>
  <c r="K85" i="10"/>
  <c r="F7" i="10"/>
  <c r="S7" i="10"/>
  <c r="N8" i="10"/>
  <c r="H9" i="10"/>
  <c r="AE9" i="10" s="1"/>
  <c r="U9" i="10"/>
  <c r="D91" i="10"/>
  <c r="M13" i="10"/>
  <c r="G14" i="10"/>
  <c r="K97" i="10"/>
  <c r="V97" i="10" s="1"/>
  <c r="D103" i="10"/>
  <c r="K109" i="10"/>
  <c r="AR30" i="10" s="1"/>
  <c r="R5" i="10"/>
  <c r="AO5" i="10" s="1"/>
  <c r="M6" i="10"/>
  <c r="G7" i="10"/>
  <c r="S5" i="10"/>
  <c r="J9" i="10"/>
  <c r="D89" i="10"/>
  <c r="M11" i="10"/>
  <c r="G12" i="10"/>
  <c r="O13" i="10"/>
  <c r="AL13" i="10" s="1"/>
  <c r="K95" i="10"/>
  <c r="AN16" i="10" s="1"/>
  <c r="AP16" i="10"/>
  <c r="D101" i="10"/>
  <c r="K107" i="10"/>
  <c r="K28" i="10" s="1"/>
  <c r="AH28" i="10" s="1"/>
  <c r="D100" i="9"/>
  <c r="D105" i="9"/>
  <c r="B105" i="9"/>
  <c r="K101" i="9"/>
  <c r="J7" i="10"/>
  <c r="R8" i="10"/>
  <c r="M9" i="10"/>
  <c r="G10" i="10"/>
  <c r="AD10" i="10" s="1"/>
  <c r="O11" i="10"/>
  <c r="I12" i="10"/>
  <c r="Q13" i="10"/>
  <c r="K93" i="10"/>
  <c r="D99" i="10"/>
  <c r="D20" i="10" s="1"/>
  <c r="K105" i="10"/>
  <c r="AO26" i="10" s="1"/>
  <c r="D111" i="10"/>
  <c r="D102" i="9"/>
  <c r="D107" i="9"/>
  <c r="B107" i="9"/>
  <c r="D112" i="9"/>
  <c r="D33" i="9" s="1"/>
  <c r="K103" i="9"/>
  <c r="G8" i="10"/>
  <c r="I10" i="10"/>
  <c r="Q11" i="10"/>
  <c r="AN11" i="10" s="1"/>
  <c r="K91" i="10"/>
  <c r="S13" i="10"/>
  <c r="D97" i="10"/>
  <c r="D18" i="10" s="1"/>
  <c r="K103" i="10"/>
  <c r="AL24" i="10" s="1"/>
  <c r="D109" i="10"/>
  <c r="D104" i="9"/>
  <c r="D25" i="9" s="1"/>
  <c r="B104" i="9"/>
  <c r="B25" i="9" s="1"/>
  <c r="G6" i="10"/>
  <c r="AD6" i="10" s="1"/>
  <c r="I8" i="10"/>
  <c r="Q9" i="10"/>
  <c r="K89" i="10"/>
  <c r="AM10" i="10" s="1"/>
  <c r="S11" i="10"/>
  <c r="AP11" i="10" s="1"/>
  <c r="U13" i="10"/>
  <c r="D95" i="10"/>
  <c r="D16" i="10" s="1"/>
  <c r="K101" i="10"/>
  <c r="AQ22" i="10" s="1"/>
  <c r="K113" i="10"/>
  <c r="AJ34" i="10" s="1"/>
  <c r="K100" i="9"/>
  <c r="U6" i="10"/>
  <c r="AR6" i="10" s="1"/>
  <c r="E10" i="10"/>
  <c r="AB10" i="10" s="1"/>
  <c r="C11" i="10"/>
  <c r="E12" i="10"/>
  <c r="C13" i="10"/>
  <c r="Z13" i="10" s="1"/>
  <c r="E14" i="10"/>
  <c r="K86" i="10"/>
  <c r="K7" i="10" s="1"/>
  <c r="AH7" i="10" s="1"/>
  <c r="D88" i="10"/>
  <c r="K90" i="10"/>
  <c r="V90" i="10" s="1"/>
  <c r="D92" i="10"/>
  <c r="K92" i="10"/>
  <c r="D94" i="10"/>
  <c r="K94" i="10"/>
  <c r="K15" i="10"/>
  <c r="AH15" i="10" s="1"/>
  <c r="D96" i="10"/>
  <c r="D17" i="10" s="1"/>
  <c r="K96" i="10"/>
  <c r="D98" i="10"/>
  <c r="K98" i="10"/>
  <c r="AL19" i="10" s="1"/>
  <c r="D100" i="10"/>
  <c r="K100" i="10"/>
  <c r="AN21" i="10" s="1"/>
  <c r="D102" i="10"/>
  <c r="K102" i="10"/>
  <c r="B103" i="10"/>
  <c r="D104" i="10"/>
  <c r="K104" i="10"/>
  <c r="K25" i="10" s="1"/>
  <c r="AH25" i="10" s="1"/>
  <c r="D106" i="10"/>
  <c r="K106" i="10"/>
  <c r="AR27" i="10" s="1"/>
  <c r="D108" i="10"/>
  <c r="K108" i="10"/>
  <c r="AP29" i="10" s="1"/>
  <c r="D110" i="10"/>
  <c r="K110" i="10"/>
  <c r="D112" i="10"/>
  <c r="K112" i="10"/>
  <c r="AR33" i="10" s="1"/>
  <c r="B113" i="10"/>
  <c r="B34" i="10" s="1"/>
  <c r="Y34" i="10" s="1"/>
  <c r="C6" i="10"/>
  <c r="C9" i="10"/>
  <c r="Z9" i="10" s="1"/>
  <c r="K90" i="9"/>
  <c r="K92" i="9"/>
  <c r="K93" i="9"/>
  <c r="K94" i="9"/>
  <c r="K95" i="9"/>
  <c r="K96" i="9"/>
  <c r="K97" i="9"/>
  <c r="K99" i="9"/>
  <c r="K104" i="9"/>
  <c r="K105" i="9"/>
  <c r="K106" i="9"/>
  <c r="K107" i="9"/>
  <c r="K108" i="9"/>
  <c r="K109" i="9"/>
  <c r="K30" i="9" s="1"/>
  <c r="K110" i="9"/>
  <c r="K113" i="9"/>
  <c r="K112" i="9"/>
  <c r="K33" i="9" s="1"/>
  <c r="K111" i="9"/>
  <c r="D113" i="9"/>
  <c r="B113" i="9"/>
  <c r="B105" i="10"/>
  <c r="AB26" i="10" s="1"/>
  <c r="B101" i="10"/>
  <c r="AO20" i="10"/>
  <c r="B107" i="10"/>
  <c r="AC28" i="10" s="1"/>
  <c r="B97" i="9"/>
  <c r="B100" i="9"/>
  <c r="B89" i="10"/>
  <c r="B10" i="10" s="1"/>
  <c r="Y10" i="10" s="1"/>
  <c r="B99" i="10"/>
  <c r="AG20" i="10" s="1"/>
  <c r="B111" i="10"/>
  <c r="B98" i="10"/>
  <c r="V98" i="10" s="1"/>
  <c r="V19" i="10" s="1"/>
  <c r="AS19" i="10" s="1"/>
  <c r="B97" i="10"/>
  <c r="AG18" i="10" s="1"/>
  <c r="B95" i="10"/>
  <c r="B106" i="10"/>
  <c r="AE27" i="10" s="1"/>
  <c r="B98" i="9"/>
  <c r="AK16" i="10"/>
  <c r="AJ30" i="10"/>
  <c r="AI24" i="10"/>
  <c r="B109" i="10"/>
  <c r="V109" i="10" s="1"/>
  <c r="B93" i="10"/>
  <c r="Z14" i="10" s="1"/>
  <c r="B102" i="10"/>
  <c r="B88" i="10"/>
  <c r="AB9" i="10" s="1"/>
  <c r="B94" i="10"/>
  <c r="Z15" i="10" s="1"/>
  <c r="AK34" i="10"/>
  <c r="B112" i="10"/>
  <c r="AG33" i="10" s="1"/>
  <c r="AN31" i="10"/>
  <c r="B108" i="10"/>
  <c r="AG29" i="10" s="1"/>
  <c r="B104" i="10"/>
  <c r="Z25" i="10" s="1"/>
  <c r="B100" i="10"/>
  <c r="B96" i="10"/>
  <c r="B17" i="10" s="1"/>
  <c r="Y17" i="10" s="1"/>
  <c r="B92" i="10"/>
  <c r="B110" i="10"/>
  <c r="B90" i="10"/>
  <c r="B86" i="10"/>
  <c r="AB18" i="10"/>
  <c r="AC15" i="10"/>
  <c r="AF13" i="10"/>
  <c r="B25" i="10"/>
  <c r="Y25" i="10" s="1"/>
  <c r="J34" i="16"/>
  <c r="AF41" i="16"/>
  <c r="Q62" i="13"/>
  <c r="S62" i="13" s="1"/>
  <c r="S14" i="16"/>
  <c r="AF17" i="16"/>
  <c r="Q51" i="13"/>
  <c r="T18" i="16"/>
  <c r="Q53" i="13"/>
  <c r="T41" i="16"/>
  <c r="T40" i="16"/>
  <c r="AF27" i="16"/>
  <c r="T27" i="16"/>
  <c r="AF21" i="16"/>
  <c r="S8" i="16"/>
  <c r="T24" i="16"/>
  <c r="J40" i="16"/>
  <c r="AE27" i="16"/>
  <c r="Q72" i="1"/>
  <c r="S72" i="1" s="1"/>
  <c r="Q79" i="1"/>
  <c r="S79" i="1" s="1"/>
  <c r="B86" i="9"/>
  <c r="B110" i="9"/>
  <c r="P8" i="9"/>
  <c r="F11" i="9"/>
  <c r="Q77" i="1"/>
  <c r="S77" i="1" s="1"/>
  <c r="Q81" i="4"/>
  <c r="S81" i="4" s="1"/>
  <c r="B9" i="10"/>
  <c r="Y9" i="10" s="1"/>
  <c r="AN19" i="10"/>
  <c r="AP13" i="10"/>
  <c r="E5" i="10"/>
  <c r="AD26" i="10"/>
  <c r="AK30" i="10"/>
  <c r="AJ8" i="10"/>
  <c r="Q79" i="12"/>
  <c r="S79" i="12" s="1"/>
  <c r="Q75" i="12"/>
  <c r="S75" i="12" s="1"/>
  <c r="Q63" i="12"/>
  <c r="S63" i="12" s="1"/>
  <c r="Q58" i="12"/>
  <c r="S58" i="12" s="1"/>
  <c r="Q54" i="12"/>
  <c r="S54" i="12" s="1"/>
  <c r="Q71" i="12"/>
  <c r="S71" i="12" s="1"/>
  <c r="AN34" i="10"/>
  <c r="V63" i="10"/>
  <c r="V99" i="10"/>
  <c r="B94" i="9"/>
  <c r="B109" i="9"/>
  <c r="AR34" i="10"/>
  <c r="AF24" i="10"/>
  <c r="B112" i="9"/>
  <c r="B33" i="9" s="1"/>
  <c r="AD27" i="10"/>
  <c r="AC27" i="10"/>
  <c r="AK33" i="10"/>
  <c r="AM33" i="10"/>
  <c r="AL23" i="10"/>
  <c r="AC22" i="10"/>
  <c r="AG22" i="10"/>
  <c r="V54" i="10"/>
  <c r="K11" i="10"/>
  <c r="AH11" i="10" s="1"/>
  <c r="B111" i="9"/>
  <c r="B32" i="9" s="1"/>
  <c r="AR18" i="10"/>
  <c r="V49" i="10"/>
  <c r="AJ20" i="10"/>
  <c r="K30" i="10"/>
  <c r="AH30" i="10"/>
  <c r="AF15" i="10"/>
  <c r="AJ16" i="10"/>
  <c r="AD18" i="10"/>
  <c r="AF18" i="10"/>
  <c r="B106" i="9"/>
  <c r="Q71" i="21"/>
  <c r="S71" i="21" s="1"/>
  <c r="Q83" i="21"/>
  <c r="S83" i="21" s="1"/>
  <c r="Q67" i="21"/>
  <c r="S67" i="21" s="1"/>
  <c r="Q64" i="21"/>
  <c r="S64" i="21" s="1"/>
  <c r="Q56" i="21"/>
  <c r="S56" i="21" s="1"/>
  <c r="Q55" i="21"/>
  <c r="S55" i="21" s="1"/>
  <c r="Q53" i="21"/>
  <c r="S53" i="21" s="1"/>
  <c r="Q52" i="21"/>
  <c r="S52" i="21" s="1"/>
  <c r="T63" i="21"/>
  <c r="J32" i="16"/>
  <c r="D66" i="10"/>
  <c r="B66" i="10" s="1"/>
  <c r="J21" i="10"/>
  <c r="AG21" i="10" s="1"/>
  <c r="Q68" i="21"/>
  <c r="S68" i="21" s="1"/>
  <c r="Q65" i="21"/>
  <c r="S65" i="21" s="1"/>
  <c r="Q62" i="21"/>
  <c r="S62" i="21" s="1"/>
  <c r="Q82" i="18"/>
  <c r="S82" i="18" s="1"/>
  <c r="Q61" i="18"/>
  <c r="S61" i="18" s="1"/>
  <c r="Q80" i="18"/>
  <c r="S80" i="18" s="1"/>
  <c r="Q79" i="18"/>
  <c r="S79" i="18" s="1"/>
  <c r="S42" i="16"/>
  <c r="N27" i="9"/>
  <c r="C30" i="9"/>
  <c r="P20" i="9"/>
  <c r="H21" i="9"/>
  <c r="C25" i="9"/>
  <c r="I26" i="9"/>
  <c r="Q72" i="21"/>
  <c r="S72" i="21" s="1"/>
  <c r="Q69" i="21"/>
  <c r="S69" i="21" s="1"/>
  <c r="Q63" i="21"/>
  <c r="S63" i="21" s="1"/>
  <c r="Q60" i="21"/>
  <c r="S60" i="21" s="1"/>
  <c r="Q57" i="21"/>
  <c r="S57" i="21" s="1"/>
  <c r="Q54" i="21"/>
  <c r="S54" i="21" s="1"/>
  <c r="Q57" i="19"/>
  <c r="S57" i="19" s="1"/>
  <c r="Q61" i="19"/>
  <c r="S61" i="19" s="1"/>
  <c r="Q64" i="19"/>
  <c r="S64" i="19" s="1"/>
  <c r="Q84" i="19"/>
  <c r="Q74" i="19"/>
  <c r="S74" i="19" s="1"/>
  <c r="Q79" i="19"/>
  <c r="S79" i="19" s="1"/>
  <c r="Q53" i="11"/>
  <c r="S53" i="11" s="1"/>
  <c r="Q56" i="11"/>
  <c r="S56" i="11" s="1"/>
  <c r="Q71" i="19"/>
  <c r="S71" i="19" s="1"/>
  <c r="Q61" i="4"/>
  <c r="S61" i="4" s="1"/>
  <c r="Q77" i="4"/>
  <c r="S77" i="4" s="1"/>
  <c r="Q52" i="14"/>
  <c r="S52" i="14" s="1"/>
  <c r="Q57" i="20"/>
  <c r="S57" i="20" s="1"/>
  <c r="Q78" i="18"/>
  <c r="S78" i="18" s="1"/>
  <c r="Q77" i="18"/>
  <c r="S77" i="18" s="1"/>
  <c r="Q83" i="18"/>
  <c r="S83" i="18"/>
  <c r="Q76" i="18"/>
  <c r="S76" i="18" s="1"/>
  <c r="Q75" i="18"/>
  <c r="S75" i="18" s="1"/>
  <c r="Q74" i="18"/>
  <c r="S74" i="18" s="1"/>
  <c r="Q73" i="18"/>
  <c r="S73" i="18" s="1"/>
  <c r="Q72" i="18"/>
  <c r="S72" i="18" s="1"/>
  <c r="Q71" i="18"/>
  <c r="S71" i="18" s="1"/>
  <c r="Q70" i="18"/>
  <c r="S70" i="18" s="1"/>
  <c r="Q69" i="18"/>
  <c r="S69" i="18" s="1"/>
  <c r="Q68" i="18"/>
  <c r="S68" i="18" s="1"/>
  <c r="Q67" i="18"/>
  <c r="S67" i="18" s="1"/>
  <c r="Q66" i="18"/>
  <c r="S66" i="18" s="1"/>
  <c r="Q65" i="18"/>
  <c r="S65" i="18" s="1"/>
  <c r="Q64" i="18"/>
  <c r="S64" i="18" s="1"/>
  <c r="Q63" i="18"/>
  <c r="S63" i="18" s="1"/>
  <c r="Q62" i="18"/>
  <c r="S62" i="18" s="1"/>
  <c r="Q59" i="18"/>
  <c r="S59" i="18" s="1"/>
  <c r="Q58" i="18"/>
  <c r="S58" i="18" s="1"/>
  <c r="Q57" i="18"/>
  <c r="S57" i="18" s="1"/>
  <c r="Q56" i="18"/>
  <c r="S56" i="18" s="1"/>
  <c r="Q54" i="18"/>
  <c r="S54" i="18" s="1"/>
  <c r="Q53" i="18"/>
  <c r="S53" i="18" s="1"/>
  <c r="Q52" i="18"/>
  <c r="S52" i="18" s="1"/>
  <c r="Q51" i="18"/>
  <c r="S51" i="18" s="1"/>
  <c r="Q50" i="18"/>
  <c r="S50" i="18" s="1"/>
  <c r="Q78" i="12"/>
  <c r="S78" i="12" s="1"/>
  <c r="Q77" i="12"/>
  <c r="S77" i="12" s="1"/>
  <c r="Q76" i="12"/>
  <c r="S76" i="12" s="1"/>
  <c r="Q83" i="12"/>
  <c r="S83" i="12" s="1"/>
  <c r="Q74" i="12"/>
  <c r="S74" i="12" s="1"/>
  <c r="Q73" i="12"/>
  <c r="S73" i="12" s="1"/>
  <c r="Q72" i="12"/>
  <c r="S72" i="12" s="1"/>
  <c r="Q82" i="12"/>
  <c r="S82" i="12"/>
  <c r="Q81" i="12"/>
  <c r="S81" i="12" s="1"/>
  <c r="Q70" i="12"/>
  <c r="S70" i="12" s="1"/>
  <c r="Q69" i="12"/>
  <c r="S69" i="12" s="1"/>
  <c r="Q68" i="12"/>
  <c r="S68" i="12" s="1"/>
  <c r="Q67" i="12"/>
  <c r="S67" i="12" s="1"/>
  <c r="Q66" i="12"/>
  <c r="S66" i="12" s="1"/>
  <c r="Q65" i="12"/>
  <c r="S65" i="12" s="1"/>
  <c r="Q64" i="12"/>
  <c r="S64" i="12" s="1"/>
  <c r="Q62" i="12"/>
  <c r="S62" i="12" s="1"/>
  <c r="Q61" i="12"/>
  <c r="S61" i="12" s="1"/>
  <c r="Q60" i="12"/>
  <c r="S60" i="12" s="1"/>
  <c r="Q59" i="12"/>
  <c r="S59" i="12" s="1"/>
  <c r="Q57" i="12"/>
  <c r="S57" i="12" s="1"/>
  <c r="Q56" i="12"/>
  <c r="S56" i="12" s="1"/>
  <c r="Q55" i="12"/>
  <c r="S55" i="12" s="1"/>
  <c r="Q53" i="12"/>
  <c r="S53" i="12" s="1"/>
  <c r="Q52" i="12"/>
  <c r="S52" i="12" s="1"/>
  <c r="Q51" i="12"/>
  <c r="S51" i="12" s="1"/>
  <c r="Q50" i="12"/>
  <c r="S50" i="12" s="1"/>
  <c r="Q80" i="12"/>
  <c r="S80" i="12" s="1"/>
  <c r="Q65" i="4"/>
  <c r="S65" i="4" s="1"/>
  <c r="Q82" i="4"/>
  <c r="S82" i="4" s="1"/>
  <c r="Q83" i="14"/>
  <c r="S83" i="14" s="1"/>
  <c r="Q63" i="14"/>
  <c r="S63" i="14" s="1"/>
  <c r="Q65" i="14"/>
  <c r="S65" i="14" s="1"/>
  <c r="Q74" i="14"/>
  <c r="S74" i="14" s="1"/>
  <c r="Q79" i="20"/>
  <c r="S79" i="20" s="1"/>
  <c r="Q83" i="20"/>
  <c r="S83" i="20" s="1"/>
  <c r="Q64" i="20"/>
  <c r="S64" i="20" s="1"/>
  <c r="Q60" i="20"/>
  <c r="S60" i="20" s="1"/>
  <c r="Q55" i="20"/>
  <c r="U49" i="18"/>
  <c r="U79" i="21"/>
  <c r="T79" i="21"/>
  <c r="Q81" i="1"/>
  <c r="S81" i="1" s="1"/>
  <c r="Q51" i="1"/>
  <c r="S51" i="1" s="1"/>
  <c r="Q82" i="1"/>
  <c r="S82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8" i="1"/>
  <c r="S68" i="1" s="1"/>
  <c r="Q69" i="1"/>
  <c r="S69" i="1" s="1"/>
  <c r="Q70" i="1"/>
  <c r="S70" i="1" s="1"/>
  <c r="Q71" i="1"/>
  <c r="S71" i="1" s="1"/>
  <c r="Q83" i="1"/>
  <c r="S83" i="1" s="1"/>
  <c r="Q84" i="1"/>
  <c r="S84" i="1" s="1"/>
  <c r="Q73" i="1"/>
  <c r="S73" i="1" s="1"/>
  <c r="Q74" i="1"/>
  <c r="S74" i="1" s="1"/>
  <c r="Q75" i="1"/>
  <c r="S75" i="1" s="1"/>
  <c r="Q76" i="1"/>
  <c r="S76" i="1" s="1"/>
  <c r="Q85" i="1"/>
  <c r="S85" i="1" s="1"/>
  <c r="Q78" i="1"/>
  <c r="S78" i="1" s="1"/>
  <c r="Q80" i="1"/>
  <c r="S80" i="1" s="1"/>
  <c r="Q80" i="13"/>
  <c r="S80" i="13" s="1"/>
  <c r="Q52" i="13"/>
  <c r="S52" i="13" s="1"/>
  <c r="Q55" i="13"/>
  <c r="S55" i="13" s="1"/>
  <c r="Q56" i="13"/>
  <c r="Q57" i="13"/>
  <c r="S57" i="13" s="1"/>
  <c r="Q59" i="13"/>
  <c r="S59" i="13" s="1"/>
  <c r="Q60" i="13"/>
  <c r="Q61" i="13"/>
  <c r="S61" i="13" s="1"/>
  <c r="Q63" i="13"/>
  <c r="Q64" i="13"/>
  <c r="S64" i="13" s="1"/>
  <c r="Q65" i="13"/>
  <c r="Q66" i="13"/>
  <c r="S66" i="13" s="1"/>
  <c r="Q67" i="13"/>
  <c r="Q68" i="13"/>
  <c r="S68" i="13" s="1"/>
  <c r="Q69" i="13"/>
  <c r="Q70" i="13"/>
  <c r="S70" i="13" s="1"/>
  <c r="Q81" i="13"/>
  <c r="Q71" i="13"/>
  <c r="S71" i="13" s="1"/>
  <c r="Q83" i="13"/>
  <c r="S83" i="13" s="1"/>
  <c r="Q77" i="13"/>
  <c r="S77" i="13" s="1"/>
  <c r="Q80" i="19"/>
  <c r="S80" i="19" s="1"/>
  <c r="Q75" i="20"/>
  <c r="S75" i="20" s="1"/>
  <c r="U80" i="21"/>
  <c r="Q78" i="21"/>
  <c r="S78" i="21" s="1"/>
  <c r="Q75" i="21"/>
  <c r="S75" i="21" s="1"/>
  <c r="U84" i="21"/>
  <c r="U77" i="21"/>
  <c r="U74" i="21"/>
  <c r="Q79" i="21"/>
  <c r="S79" i="21" s="1"/>
  <c r="B92" i="9"/>
  <c r="AC21" i="10"/>
  <c r="AD24" i="10"/>
  <c r="AC24" i="10"/>
  <c r="AM23" i="10"/>
  <c r="AN23" i="10"/>
  <c r="AO23" i="10"/>
  <c r="AP23" i="10"/>
  <c r="AI22" i="10"/>
  <c r="AO22" i="10"/>
  <c r="AR22" i="10"/>
  <c r="AJ22" i="10"/>
  <c r="AL22" i="10"/>
  <c r="AI12" i="10"/>
  <c r="AL26" i="10"/>
  <c r="AJ26" i="10"/>
  <c r="AK26" i="10"/>
  <c r="AK14" i="10"/>
  <c r="AN14" i="10"/>
  <c r="B14" i="10"/>
  <c r="Y14" i="10" s="1"/>
  <c r="AQ17" i="10"/>
  <c r="AK17" i="10"/>
  <c r="AL17" i="10"/>
  <c r="AJ17" i="10"/>
  <c r="K17" i="10"/>
  <c r="AH17" i="10" s="1"/>
  <c r="AQ11" i="10"/>
  <c r="AR11" i="10"/>
  <c r="AL11" i="10"/>
  <c r="AJ11" i="10"/>
  <c r="B99" i="9"/>
  <c r="AC20" i="10"/>
  <c r="AD14" i="10"/>
  <c r="AE20" i="10"/>
  <c r="D25" i="10"/>
  <c r="AA25" i="10" s="1"/>
  <c r="Z18" i="10"/>
  <c r="AC18" i="10"/>
  <c r="B89" i="9"/>
  <c r="Z26" i="10"/>
  <c r="AO10" i="10"/>
  <c r="AI34" i="10"/>
  <c r="K34" i="10"/>
  <c r="AH34" i="10" s="1"/>
  <c r="AK24" i="10"/>
  <c r="AR24" i="10"/>
  <c r="AQ27" i="10"/>
  <c r="B102" i="9"/>
  <c r="AL16" i="10"/>
  <c r="AM18" i="10"/>
  <c r="AL18" i="10"/>
  <c r="B96" i="9"/>
  <c r="K48" i="9"/>
  <c r="N10" i="9"/>
  <c r="G16" i="9"/>
  <c r="L24" i="9"/>
  <c r="P7" i="9"/>
  <c r="N9" i="9"/>
  <c r="H14" i="9"/>
  <c r="N15" i="9"/>
  <c r="S16" i="9"/>
  <c r="Q18" i="9"/>
  <c r="G21" i="9"/>
  <c r="T21" i="9"/>
  <c r="M22" i="9"/>
  <c r="T81" i="21"/>
  <c r="U81" i="21"/>
  <c r="Q82" i="21"/>
  <c r="S82" i="21" s="1"/>
  <c r="Q80" i="21"/>
  <c r="S80" i="21" s="1"/>
  <c r="T33" i="16"/>
  <c r="Q77" i="21"/>
  <c r="S77" i="21" s="1"/>
  <c r="Q84" i="21"/>
  <c r="S84" i="21" s="1"/>
  <c r="AF30" i="16"/>
  <c r="T23" i="16"/>
  <c r="AF8" i="16"/>
  <c r="Q70" i="21"/>
  <c r="S70" i="21" s="1"/>
  <c r="Q58" i="21"/>
  <c r="S58" i="21" s="1"/>
  <c r="T75" i="21"/>
  <c r="U75" i="21"/>
  <c r="S18" i="16"/>
  <c r="Q74" i="21"/>
  <c r="S74" i="21" s="1"/>
  <c r="Q51" i="4"/>
  <c r="S51" i="4" s="1"/>
  <c r="Q83" i="4"/>
  <c r="S83" i="4" s="1"/>
  <c r="Q52" i="4"/>
  <c r="S52" i="4" s="1"/>
  <c r="Q53" i="4"/>
  <c r="S53" i="4" s="1"/>
  <c r="Q54" i="4"/>
  <c r="S54" i="4" s="1"/>
  <c r="Q55" i="4"/>
  <c r="S55" i="4" s="1"/>
  <c r="Q56" i="4"/>
  <c r="S56" i="4" s="1"/>
  <c r="Q57" i="4"/>
  <c r="S57" i="4" s="1"/>
  <c r="Q58" i="4"/>
  <c r="S58" i="4" s="1"/>
  <c r="Q59" i="4"/>
  <c r="S59" i="4" s="1"/>
  <c r="Q60" i="4"/>
  <c r="S60" i="4" s="1"/>
  <c r="Q62" i="4"/>
  <c r="S62" i="4" s="1"/>
  <c r="Q63" i="4"/>
  <c r="S63" i="4" s="1"/>
  <c r="Q64" i="4"/>
  <c r="S64" i="4" s="1"/>
  <c r="Q66" i="4"/>
  <c r="S66" i="4" s="1"/>
  <c r="Q67" i="4"/>
  <c r="S67" i="4" s="1"/>
  <c r="Q68" i="4"/>
  <c r="S68" i="4" s="1"/>
  <c r="Q69" i="4"/>
  <c r="S69" i="4" s="1"/>
  <c r="Q70" i="4"/>
  <c r="S70" i="4" s="1"/>
  <c r="Q71" i="4"/>
  <c r="S71" i="4" s="1"/>
  <c r="Q72" i="4"/>
  <c r="S72" i="4" s="1"/>
  <c r="Q84" i="4"/>
  <c r="S84" i="4" s="1"/>
  <c r="Q85" i="4"/>
  <c r="S85" i="4" s="1"/>
  <c r="Q74" i="4"/>
  <c r="S74" i="4" s="1"/>
  <c r="Q75" i="4"/>
  <c r="S75" i="4" s="1"/>
  <c r="Q76" i="4"/>
  <c r="S76" i="4" s="1"/>
  <c r="Q86" i="4"/>
  <c r="S86" i="4" s="1"/>
  <c r="Q79" i="4"/>
  <c r="S79" i="4" s="1"/>
  <c r="Q80" i="4"/>
  <c r="S80" i="4" s="1"/>
  <c r="T78" i="18"/>
  <c r="U78" i="18"/>
  <c r="U69" i="18"/>
  <c r="T69" i="18"/>
  <c r="U57" i="18"/>
  <c r="T57" i="18"/>
  <c r="T71" i="21"/>
  <c r="U71" i="21"/>
  <c r="Q81" i="14"/>
  <c r="S81" i="14" s="1"/>
  <c r="Q51" i="14"/>
  <c r="S51" i="14" s="1"/>
  <c r="Q53" i="14"/>
  <c r="S53" i="14" s="1"/>
  <c r="Q54" i="14"/>
  <c r="S54" i="14" s="1"/>
  <c r="Q55" i="14"/>
  <c r="S55" i="14" s="1"/>
  <c r="Q56" i="14"/>
  <c r="S56" i="14"/>
  <c r="Q57" i="14"/>
  <c r="S57" i="14"/>
  <c r="Q59" i="14"/>
  <c r="S59" i="14" s="1"/>
  <c r="Q60" i="14"/>
  <c r="S60" i="14"/>
  <c r="Q61" i="14"/>
  <c r="S61" i="14" s="1"/>
  <c r="Q62" i="14"/>
  <c r="S62" i="14"/>
  <c r="Q66" i="14"/>
  <c r="S66" i="14" s="1"/>
  <c r="Q67" i="14"/>
  <c r="S67" i="14" s="1"/>
  <c r="Q68" i="14"/>
  <c r="S68" i="14" s="1"/>
  <c r="Q69" i="14"/>
  <c r="S69" i="14"/>
  <c r="Q70" i="14"/>
  <c r="S70" i="14" s="1"/>
  <c r="Q71" i="14"/>
  <c r="S71" i="14"/>
  <c r="Q72" i="14"/>
  <c r="S72" i="14" s="1"/>
  <c r="Q84" i="14"/>
  <c r="S84" i="14"/>
  <c r="Q73" i="14"/>
  <c r="S73" i="14" s="1"/>
  <c r="Q76" i="14"/>
  <c r="S76" i="14" s="1"/>
  <c r="Q86" i="14"/>
  <c r="S86" i="14" s="1"/>
  <c r="Q78" i="14"/>
  <c r="S78" i="14"/>
  <c r="Q79" i="14"/>
  <c r="S79" i="14" s="1"/>
  <c r="Q80" i="14"/>
  <c r="S80" i="14"/>
  <c r="Q82" i="14"/>
  <c r="S82" i="14" s="1"/>
  <c r="Q51" i="21"/>
  <c r="S51" i="21" s="1"/>
  <c r="Q81" i="21"/>
  <c r="S81" i="21" s="1"/>
  <c r="T68" i="18"/>
  <c r="U68" i="18"/>
  <c r="T56" i="18"/>
  <c r="U56" i="18"/>
  <c r="U70" i="21"/>
  <c r="T70" i="21"/>
  <c r="Q76" i="21"/>
  <c r="S76" i="21" s="1"/>
  <c r="U78" i="21"/>
  <c r="AK5" i="10"/>
  <c r="V66" i="10"/>
  <c r="P34" i="25"/>
  <c r="P15" i="25"/>
  <c r="P7" i="25"/>
  <c r="P9" i="25"/>
  <c r="P12" i="25"/>
  <c r="P18" i="25"/>
  <c r="P13" i="25"/>
  <c r="P27" i="25"/>
  <c r="P17" i="25"/>
  <c r="P28" i="25"/>
  <c r="P20" i="25"/>
  <c r="P14" i="25"/>
  <c r="P31" i="25"/>
  <c r="P6" i="25"/>
  <c r="P19" i="25"/>
  <c r="P33" i="25"/>
  <c r="P30" i="25"/>
  <c r="P23" i="25"/>
  <c r="P16" i="25"/>
  <c r="P32" i="25"/>
  <c r="P24" i="25"/>
  <c r="P26" i="25"/>
  <c r="P8" i="25"/>
  <c r="P11" i="25"/>
  <c r="P22" i="25"/>
  <c r="P21" i="25"/>
  <c r="P29" i="25"/>
  <c r="P25" i="25"/>
  <c r="S22" i="23"/>
  <c r="U22" i="23"/>
  <c r="V21" i="23"/>
  <c r="V23" i="23"/>
  <c r="R19" i="23"/>
  <c r="W19" i="23"/>
  <c r="X23" i="23"/>
  <c r="S21" i="23"/>
  <c r="X21" i="23"/>
  <c r="V22" i="23"/>
  <c r="T19" i="23"/>
  <c r="R23" i="23"/>
  <c r="R22" i="23"/>
  <c r="V19" i="23"/>
  <c r="X19" i="23"/>
  <c r="Q22" i="23"/>
  <c r="U20" i="23"/>
  <c r="S19" i="23"/>
  <c r="S23" i="23"/>
  <c r="R20" i="23"/>
  <c r="T20" i="23"/>
  <c r="U23" i="23"/>
  <c r="W20" i="23"/>
  <c r="X22" i="23"/>
  <c r="W23" i="23"/>
  <c r="Q19" i="23"/>
  <c r="Q23" i="23"/>
  <c r="U19" i="23"/>
  <c r="Q20" i="23"/>
  <c r="T21" i="23"/>
  <c r="R21" i="23"/>
  <c r="W21" i="23"/>
  <c r="U21" i="23"/>
  <c r="Q21" i="23"/>
  <c r="T22" i="23"/>
  <c r="V20" i="23"/>
  <c r="S20" i="23"/>
  <c r="X20" i="23"/>
  <c r="W22" i="23"/>
  <c r="T23" i="23"/>
  <c r="V52" i="9" l="1"/>
  <c r="X52" i="9" s="1"/>
  <c r="V48" i="9"/>
  <c r="X48" i="9" s="1"/>
  <c r="X10" i="9" s="1"/>
  <c r="B51" i="9"/>
  <c r="V51" i="9" s="1"/>
  <c r="B15" i="10"/>
  <c r="Y15" i="10" s="1"/>
  <c r="V53" i="10"/>
  <c r="V65" i="9"/>
  <c r="X65" i="9" s="1"/>
  <c r="X27" i="9" s="1"/>
  <c r="B43" i="9"/>
  <c r="B5" i="9"/>
  <c r="O7" i="9"/>
  <c r="AO7" i="9" s="1"/>
  <c r="T8" i="9"/>
  <c r="D10" i="9"/>
  <c r="J11" i="9"/>
  <c r="AJ15" i="10"/>
  <c r="AQ16" i="10"/>
  <c r="AQ29" i="10"/>
  <c r="AN28" i="10"/>
  <c r="AB33" i="10"/>
  <c r="AO27" i="10"/>
  <c r="D56" i="9"/>
  <c r="B56" i="9" s="1"/>
  <c r="B18" i="9" s="1"/>
  <c r="AO24" i="10"/>
  <c r="AL27" i="10"/>
  <c r="AP31" i="10"/>
  <c r="AK29" i="10"/>
  <c r="D13" i="9"/>
  <c r="AB30" i="10"/>
  <c r="K31" i="9"/>
  <c r="AA17" i="10"/>
  <c r="D62" i="9"/>
  <c r="B62" i="9" s="1"/>
  <c r="D31" i="9"/>
  <c r="V70" i="9"/>
  <c r="X70" i="9" s="1"/>
  <c r="X32" i="9" s="1"/>
  <c r="K63" i="9"/>
  <c r="V63" i="9" s="1"/>
  <c r="X63" i="9" s="1"/>
  <c r="X25" i="9" s="1"/>
  <c r="K16" i="10"/>
  <c r="AH16" i="10" s="1"/>
  <c r="AF33" i="10"/>
  <c r="AK27" i="10"/>
  <c r="V94" i="10"/>
  <c r="AJ6" i="10"/>
  <c r="D60" i="9"/>
  <c r="B60" i="9" s="1"/>
  <c r="V60" i="9" s="1"/>
  <c r="X60" i="9" s="1"/>
  <c r="X22" i="9" s="1"/>
  <c r="V72" i="10"/>
  <c r="K10" i="10"/>
  <c r="AH10" i="10" s="1"/>
  <c r="AP26" i="10"/>
  <c r="AK22" i="10"/>
  <c r="AK19" i="10"/>
  <c r="AO19" i="10"/>
  <c r="K24" i="10"/>
  <c r="AH24" i="10" s="1"/>
  <c r="AE33" i="10"/>
  <c r="AJ27" i="10"/>
  <c r="AE18" i="10"/>
  <c r="AN24" i="10"/>
  <c r="AF26" i="10"/>
  <c r="AP24" i="10"/>
  <c r="D23" i="9"/>
  <c r="K22" i="9"/>
  <c r="AQ20" i="10"/>
  <c r="AP20" i="10"/>
  <c r="D24" i="9"/>
  <c r="D64" i="9"/>
  <c r="B64" i="9" s="1"/>
  <c r="B26" i="9" s="1"/>
  <c r="B43" i="10"/>
  <c r="N31" i="9"/>
  <c r="AP10" i="10"/>
  <c r="AQ18" i="10"/>
  <c r="B23" i="9"/>
  <c r="AE14" i="10"/>
  <c r="AI26" i="10"/>
  <c r="AM32" i="10"/>
  <c r="B27" i="9"/>
  <c r="AK21" i="10"/>
  <c r="B31" i="10"/>
  <c r="Y31" i="10" s="1"/>
  <c r="K26" i="9"/>
  <c r="K23" i="10"/>
  <c r="AH23" i="10" s="1"/>
  <c r="D10" i="10"/>
  <c r="AA10" i="10" s="1"/>
  <c r="K18" i="10"/>
  <c r="AH18" i="10" s="1"/>
  <c r="AP18" i="10"/>
  <c r="Z10" i="10"/>
  <c r="D14" i="10"/>
  <c r="K56" i="9"/>
  <c r="V56" i="9" s="1"/>
  <c r="X56" i="9" s="1"/>
  <c r="X18" i="9" s="1"/>
  <c r="D58" i="9"/>
  <c r="B58" i="9" s="1"/>
  <c r="D19" i="9"/>
  <c r="AL15" i="10"/>
  <c r="K66" i="9"/>
  <c r="V66" i="9" s="1"/>
  <c r="X66" i="9" s="1"/>
  <c r="X28" i="9" s="1"/>
  <c r="Z22" i="10"/>
  <c r="Q26" i="9"/>
  <c r="T27" i="9"/>
  <c r="D46" i="9"/>
  <c r="Z20" i="10"/>
  <c r="AN20" i="10"/>
  <c r="K13" i="9"/>
  <c r="D27" i="10"/>
  <c r="AA27" i="10" s="1"/>
  <c r="D22" i="9"/>
  <c r="D20" i="9"/>
  <c r="V55" i="10"/>
  <c r="AB17" i="10"/>
  <c r="AQ10" i="10"/>
  <c r="V106" i="10"/>
  <c r="V27" i="10" s="1"/>
  <c r="AS27" i="10" s="1"/>
  <c r="AK25" i="10"/>
  <c r="B22" i="10"/>
  <c r="Y22" i="10" s="1"/>
  <c r="D15" i="10"/>
  <c r="AA15" i="10" s="1"/>
  <c r="D28" i="9"/>
  <c r="D24" i="10"/>
  <c r="D26" i="10"/>
  <c r="AA26" i="10" s="1"/>
  <c r="V43" i="10"/>
  <c r="V47" i="10"/>
  <c r="AM15" i="10"/>
  <c r="B20" i="10"/>
  <c r="Y20" i="10" s="1"/>
  <c r="AQ21" i="10"/>
  <c r="AC14" i="10"/>
  <c r="AE15" i="10"/>
  <c r="AM21" i="10"/>
  <c r="B30" i="9"/>
  <c r="AI25" i="10"/>
  <c r="C6" i="9"/>
  <c r="V112" i="10"/>
  <c r="D23" i="10"/>
  <c r="AA23" i="10" s="1"/>
  <c r="AA18" i="10"/>
  <c r="D26" i="9"/>
  <c r="AG9" i="10"/>
  <c r="D50" i="9"/>
  <c r="B50" i="9" s="1"/>
  <c r="K72" i="9"/>
  <c r="H7" i="9"/>
  <c r="AK28" i="10"/>
  <c r="AJ33" i="10"/>
  <c r="G9" i="9"/>
  <c r="L17" i="9"/>
  <c r="I19" i="9"/>
  <c r="AN18" i="10"/>
  <c r="V96" i="9"/>
  <c r="AB20" i="10"/>
  <c r="AE25" i="10"/>
  <c r="AG17" i="10"/>
  <c r="D21" i="10"/>
  <c r="D12" i="10"/>
  <c r="AA12" i="10" s="1"/>
  <c r="D48" i="9"/>
  <c r="B48" i="9" s="1"/>
  <c r="B10" i="9" s="1"/>
  <c r="K55" i="9"/>
  <c r="D34" i="10"/>
  <c r="M11" i="9"/>
  <c r="K49" i="9"/>
  <c r="V49" i="9" s="1"/>
  <c r="X49" i="9" s="1"/>
  <c r="AR15" i="10"/>
  <c r="AO18" i="10"/>
  <c r="AL33" i="10"/>
  <c r="K20" i="9"/>
  <c r="D21" i="9"/>
  <c r="D29" i="9"/>
  <c r="K54" i="9"/>
  <c r="V69" i="9"/>
  <c r="X69" i="9" s="1"/>
  <c r="X31" i="9" s="1"/>
  <c r="K62" i="9"/>
  <c r="V62" i="9" s="1"/>
  <c r="X62" i="9" s="1"/>
  <c r="X24" i="9" s="1"/>
  <c r="B31" i="9"/>
  <c r="D31" i="10"/>
  <c r="AA31" i="10" s="1"/>
  <c r="AB14" i="10"/>
  <c r="AR21" i="10"/>
  <c r="D52" i="9"/>
  <c r="B52" i="9" s="1"/>
  <c r="D67" i="9"/>
  <c r="B67" i="9" s="1"/>
  <c r="D57" i="9"/>
  <c r="B57" i="9" s="1"/>
  <c r="AC17" i="10"/>
  <c r="D72" i="9"/>
  <c r="B72" i="9" s="1"/>
  <c r="AR20" i="10"/>
  <c r="G6" i="9"/>
  <c r="D8" i="9"/>
  <c r="AI28" i="10"/>
  <c r="D18" i="9"/>
  <c r="D14" i="9"/>
  <c r="K53" i="9"/>
  <c r="AK10" i="10"/>
  <c r="P5" i="9"/>
  <c r="H6" i="9"/>
  <c r="L9" i="9"/>
  <c r="S52" i="20"/>
  <c r="AL49" i="11"/>
  <c r="N14" i="9"/>
  <c r="P5" i="10"/>
  <c r="C7" i="10"/>
  <c r="Z7" i="10" s="1"/>
  <c r="Q7" i="10"/>
  <c r="AN7" i="10" s="1"/>
  <c r="AO8" i="10"/>
  <c r="T32" i="16"/>
  <c r="AA51" i="19"/>
  <c r="U11" i="9"/>
  <c r="M19" i="9"/>
  <c r="L29" i="9"/>
  <c r="H8" i="9"/>
  <c r="S10" i="9"/>
  <c r="L11" i="9"/>
  <c r="C12" i="9"/>
  <c r="Q12" i="9"/>
  <c r="I13" i="9"/>
  <c r="O14" i="9"/>
  <c r="G15" i="9"/>
  <c r="T15" i="9"/>
  <c r="M16" i="9"/>
  <c r="R17" i="9"/>
  <c r="P19" i="9"/>
  <c r="AR23" i="10"/>
  <c r="AC26" i="10"/>
  <c r="AG30" i="10"/>
  <c r="AD33" i="10"/>
  <c r="AQ33" i="10"/>
  <c r="AL34" i="10"/>
  <c r="I5" i="10"/>
  <c r="Q5" i="10"/>
  <c r="J6" i="10"/>
  <c r="AG6" i="10" s="1"/>
  <c r="R7" i="10"/>
  <c r="G9" i="10"/>
  <c r="AD9" i="10" s="1"/>
  <c r="T9" i="10"/>
  <c r="O10" i="10"/>
  <c r="AL10" i="10" s="1"/>
  <c r="I11" i="10"/>
  <c r="L13" i="10"/>
  <c r="D68" i="9"/>
  <c r="B68" i="9" s="1"/>
  <c r="V68" i="9" s="1"/>
  <c r="X68" i="9" s="1"/>
  <c r="X30" i="9" s="1"/>
  <c r="F5" i="9"/>
  <c r="S5" i="9"/>
  <c r="Q7" i="9"/>
  <c r="G10" i="9"/>
  <c r="T10" i="9"/>
  <c r="AB15" i="10"/>
  <c r="AC51" i="19"/>
  <c r="AI51" i="19"/>
  <c r="AA49" i="11"/>
  <c r="D22" i="10"/>
  <c r="AA22" i="10" s="1"/>
  <c r="AI16" i="10"/>
  <c r="D27" i="9"/>
  <c r="D30" i="9"/>
  <c r="B14" i="9"/>
  <c r="AM20" i="10"/>
  <c r="AN22" i="10"/>
  <c r="G5" i="9"/>
  <c r="M6" i="9"/>
  <c r="E7" i="9"/>
  <c r="R7" i="9"/>
  <c r="P9" i="9"/>
  <c r="F5" i="10"/>
  <c r="AB51" i="20"/>
  <c r="S78" i="20"/>
  <c r="AD51" i="19"/>
  <c r="AL51" i="19"/>
  <c r="AB49" i="11"/>
  <c r="C15" i="9"/>
  <c r="H5" i="9"/>
  <c r="Q9" i="9"/>
  <c r="I10" i="9"/>
  <c r="N6" i="10"/>
  <c r="AK6" i="10" s="1"/>
  <c r="H7" i="10"/>
  <c r="U7" i="10"/>
  <c r="AR7" i="10" s="1"/>
  <c r="P8" i="10"/>
  <c r="AM8" i="10" s="1"/>
  <c r="Q49" i="12"/>
  <c r="S49" i="12" s="1"/>
  <c r="AC51" i="20"/>
  <c r="AE51" i="19"/>
  <c r="AC49" i="11"/>
  <c r="I5" i="9"/>
  <c r="O6" i="9"/>
  <c r="G7" i="9"/>
  <c r="D9" i="9"/>
  <c r="N13" i="9"/>
  <c r="L15" i="9"/>
  <c r="C16" i="9"/>
  <c r="Q16" i="9"/>
  <c r="I17" i="9"/>
  <c r="O18" i="9"/>
  <c r="AO18" i="9" s="1"/>
  <c r="T19" i="9"/>
  <c r="AR17" i="10"/>
  <c r="AD20" i="10"/>
  <c r="AG26" i="10"/>
  <c r="AN32" i="10"/>
  <c r="AP34" i="10"/>
  <c r="L10" i="10"/>
  <c r="AI10" i="10" s="1"/>
  <c r="AQ15" i="10"/>
  <c r="H5" i="10"/>
  <c r="U5" i="10"/>
  <c r="AR5" i="10" s="1"/>
  <c r="O6" i="10"/>
  <c r="AL6" i="10" s="1"/>
  <c r="I7" i="10"/>
  <c r="AF7" i="10" s="1"/>
  <c r="C8" i="10"/>
  <c r="N11" i="10"/>
  <c r="AK11" i="10" s="1"/>
  <c r="U12" i="10"/>
  <c r="AD51" i="20"/>
  <c r="S77" i="20"/>
  <c r="AA51" i="20"/>
  <c r="AG51" i="19"/>
  <c r="S69" i="19"/>
  <c r="AD49" i="11"/>
  <c r="U7" i="9"/>
  <c r="N8" i="9"/>
  <c r="S9" i="9"/>
  <c r="C11" i="9"/>
  <c r="AJ10" i="10"/>
  <c r="AD11" i="10"/>
  <c r="AK12" i="10"/>
  <c r="AM16" i="10"/>
  <c r="P6" i="10"/>
  <c r="E8" i="10"/>
  <c r="AE51" i="20"/>
  <c r="AH51" i="20"/>
  <c r="AH51" i="19"/>
  <c r="AE49" i="11"/>
  <c r="S86" i="19"/>
  <c r="S76" i="20"/>
  <c r="S62" i="20"/>
  <c r="S54" i="20"/>
  <c r="AF51" i="20"/>
  <c r="AF49" i="11"/>
  <c r="D49" i="9"/>
  <c r="B49" i="9" s="1"/>
  <c r="M5" i="9"/>
  <c r="D6" i="9"/>
  <c r="H9" i="9"/>
  <c r="J15" i="10"/>
  <c r="AG15" i="10" s="1"/>
  <c r="E16" i="10"/>
  <c r="R16" i="10"/>
  <c r="AO16" i="10" s="1"/>
  <c r="E6" i="10"/>
  <c r="AB6" i="10" s="1"/>
  <c r="R6" i="10"/>
  <c r="AO6" i="10" s="1"/>
  <c r="M7" i="10"/>
  <c r="T8" i="10"/>
  <c r="AQ8" i="10" s="1"/>
  <c r="O9" i="10"/>
  <c r="AG49" i="11"/>
  <c r="K7" i="9"/>
  <c r="G11" i="9"/>
  <c r="T11" i="9"/>
  <c r="R13" i="9"/>
  <c r="U16" i="9"/>
  <c r="N17" i="9"/>
  <c r="AN17" i="9" s="1"/>
  <c r="C20" i="9"/>
  <c r="AM22" i="10"/>
  <c r="AR32" i="10"/>
  <c r="AI15" i="10"/>
  <c r="M5" i="10"/>
  <c r="AJ5" i="10" s="1"/>
  <c r="S6" i="10"/>
  <c r="AP6" i="10" s="1"/>
  <c r="N7" i="10"/>
  <c r="P9" i="10"/>
  <c r="R11" i="10"/>
  <c r="AO11" i="10" s="1"/>
  <c r="M12" i="10"/>
  <c r="AJ12" i="10" s="1"/>
  <c r="T13" i="10"/>
  <c r="S61" i="20"/>
  <c r="S53" i="20"/>
  <c r="S60" i="19"/>
  <c r="AH49" i="11"/>
  <c r="AG14" i="10"/>
  <c r="AO21" i="10"/>
  <c r="AD30" i="10"/>
  <c r="Z33" i="10"/>
  <c r="AQ6" i="10"/>
  <c r="AL7" i="10"/>
  <c r="AE13" i="16"/>
  <c r="J26" i="16"/>
  <c r="AE15" i="16"/>
  <c r="AF7" i="16"/>
  <c r="S31" i="16"/>
  <c r="AE35" i="16"/>
  <c r="T15" i="16"/>
  <c r="J35" i="16"/>
  <c r="T37" i="16"/>
  <c r="AE17" i="16"/>
  <c r="AE21" i="16"/>
  <c r="J41" i="16"/>
  <c r="S41" i="16"/>
  <c r="T34" i="16"/>
  <c r="J15" i="16"/>
  <c r="T38" i="16"/>
  <c r="T30" i="16"/>
  <c r="J36" i="16"/>
  <c r="AE32" i="16"/>
  <c r="S15" i="16"/>
  <c r="L12" i="9"/>
  <c r="F7" i="9"/>
  <c r="J7" i="9"/>
  <c r="E9" i="9"/>
  <c r="I9" i="9"/>
  <c r="R9" i="9"/>
  <c r="J10" i="9"/>
  <c r="O10" i="9"/>
  <c r="L8" i="9"/>
  <c r="L7" i="9"/>
  <c r="Q49" i="11"/>
  <c r="S49" i="11" s="1"/>
  <c r="S53" i="19"/>
  <c r="S58" i="19"/>
  <c r="S63" i="19"/>
  <c r="S70" i="19"/>
  <c r="S75" i="19"/>
  <c r="S84" i="19"/>
  <c r="Q51" i="19"/>
  <c r="S51" i="19" s="1"/>
  <c r="S54" i="19"/>
  <c r="S59" i="19"/>
  <c r="S67" i="19"/>
  <c r="S72" i="19"/>
  <c r="S76" i="19"/>
  <c r="S81" i="19"/>
  <c r="S55" i="20"/>
  <c r="S80" i="20"/>
  <c r="S74" i="20"/>
  <c r="S84" i="20"/>
  <c r="S71" i="20"/>
  <c r="S69" i="20"/>
  <c r="S58" i="20"/>
  <c r="S81" i="20"/>
  <c r="S73" i="20"/>
  <c r="S70" i="20"/>
  <c r="S59" i="20"/>
  <c r="R35" i="25"/>
  <c r="S41" i="25" s="1"/>
  <c r="U35" i="25"/>
  <c r="U40" i="25" s="1"/>
  <c r="V35" i="25"/>
  <c r="U41" i="25" s="1"/>
  <c r="T35" i="25"/>
  <c r="T41" i="25" s="1"/>
  <c r="O35" i="25"/>
  <c r="R40" i="25" s="1"/>
  <c r="V103" i="9"/>
  <c r="AO24" i="9" s="1"/>
  <c r="T7" i="9"/>
  <c r="P12" i="9"/>
  <c r="C39" i="1"/>
  <c r="C87" i="1" s="1"/>
  <c r="V104" i="9"/>
  <c r="AT25" i="9" s="1"/>
  <c r="X11" i="9"/>
  <c r="V113" i="9"/>
  <c r="AM34" i="9" s="1"/>
  <c r="S35" i="25"/>
  <c r="T40" i="25" s="1"/>
  <c r="W35" i="25"/>
  <c r="V40" i="25" s="1"/>
  <c r="X35" i="25"/>
  <c r="V41" i="25" s="1"/>
  <c r="Q35" i="25"/>
  <c r="S40" i="25" s="1"/>
  <c r="J20" i="16"/>
  <c r="J12" i="16"/>
  <c r="AF14" i="16"/>
  <c r="S13" i="16"/>
  <c r="S16" i="16"/>
  <c r="J23" i="16"/>
  <c r="S35" i="16"/>
  <c r="T8" i="16"/>
  <c r="S10" i="16"/>
  <c r="J18" i="16"/>
  <c r="J17" i="16"/>
  <c r="S7" i="16"/>
  <c r="S21" i="16"/>
  <c r="Q49" i="18"/>
  <c r="S49" i="18" s="1"/>
  <c r="AC29" i="10"/>
  <c r="AF21" i="10"/>
  <c r="AE21" i="10"/>
  <c r="B21" i="10"/>
  <c r="Y21" i="10" s="1"/>
  <c r="Z21" i="10"/>
  <c r="B23" i="10"/>
  <c r="Y23" i="10" s="1"/>
  <c r="AD23" i="10"/>
  <c r="AN13" i="10"/>
  <c r="K13" i="10"/>
  <c r="AH13" i="10" s="1"/>
  <c r="AK13" i="10"/>
  <c r="K12" i="10"/>
  <c r="AH12" i="10" s="1"/>
  <c r="AL12" i="10"/>
  <c r="AR12" i="10"/>
  <c r="AI14" i="10"/>
  <c r="AO14" i="10"/>
  <c r="V93" i="10"/>
  <c r="V14" i="10" s="1"/>
  <c r="AS14" i="10" s="1"/>
  <c r="AP14" i="10"/>
  <c r="AR14" i="10"/>
  <c r="K14" i="10"/>
  <c r="AH14" i="10" s="1"/>
  <c r="AM14" i="10"/>
  <c r="AP12" i="10"/>
  <c r="AB34" i="10"/>
  <c r="V113" i="10"/>
  <c r="V34" i="10" s="1"/>
  <c r="AS34" i="10" s="1"/>
  <c r="AD34" i="10"/>
  <c r="AM13" i="10"/>
  <c r="AG7" i="10"/>
  <c r="AA34" i="10"/>
  <c r="AL14" i="10"/>
  <c r="AB31" i="10"/>
  <c r="AG34" i="10"/>
  <c r="AI13" i="10"/>
  <c r="AJ13" i="10"/>
  <c r="AI6" i="10"/>
  <c r="D86" i="10"/>
  <c r="D7" i="10" s="1"/>
  <c r="AA7" i="10" s="1"/>
  <c r="E7" i="10"/>
  <c r="AB7" i="10" s="1"/>
  <c r="V103" i="10"/>
  <c r="V24" i="10" s="1"/>
  <c r="AS24" i="10" s="1"/>
  <c r="B26" i="10"/>
  <c r="Y26" i="10" s="1"/>
  <c r="AJ29" i="10"/>
  <c r="K19" i="10"/>
  <c r="AH19" i="10" s="1"/>
  <c r="AK23" i="10"/>
  <c r="AJ23" i="10"/>
  <c r="AI19" i="10"/>
  <c r="AP33" i="10"/>
  <c r="AM7" i="10"/>
  <c r="AG25" i="10"/>
  <c r="B87" i="10"/>
  <c r="AE8" i="10" s="1"/>
  <c r="AR25" i="10"/>
  <c r="AL25" i="10"/>
  <c r="D85" i="10"/>
  <c r="AD12" i="10"/>
  <c r="AI18" i="10"/>
  <c r="AQ14" i="10"/>
  <c r="AN15" i="10"/>
  <c r="AQ19" i="10"/>
  <c r="AK15" i="10"/>
  <c r="AJ25" i="10"/>
  <c r="AO28" i="10"/>
  <c r="AN33" i="10"/>
  <c r="AQ34" i="10"/>
  <c r="AM6" i="10"/>
  <c r="AM24" i="10"/>
  <c r="AM11" i="10"/>
  <c r="K33" i="10"/>
  <c r="AH33" i="10" s="1"/>
  <c r="K29" i="10"/>
  <c r="AH29" i="10" s="1"/>
  <c r="AN26" i="10"/>
  <c r="K26" i="10"/>
  <c r="AH26" i="10" s="1"/>
  <c r="AQ23" i="10"/>
  <c r="AL28" i="10"/>
  <c r="AP19" i="10"/>
  <c r="AM28" i="10"/>
  <c r="AQ24" i="10"/>
  <c r="AQ28" i="10"/>
  <c r="AF25" i="10"/>
  <c r="AP28" i="10"/>
  <c r="AK18" i="10"/>
  <c r="Z6" i="10"/>
  <c r="AP22" i="10"/>
  <c r="AA20" i="10"/>
  <c r="D87" i="10"/>
  <c r="D8" i="10" s="1"/>
  <c r="K6" i="10"/>
  <c r="AH6" i="10" s="1"/>
  <c r="AL8" i="10"/>
  <c r="AK20" i="10"/>
  <c r="AN17" i="10"/>
  <c r="AO12" i="10"/>
  <c r="AO13" i="10"/>
  <c r="E11" i="10"/>
  <c r="AB11" i="10" s="1"/>
  <c r="AI17" i="10"/>
  <c r="AM19" i="10"/>
  <c r="AB25" i="10"/>
  <c r="AE26" i="10"/>
  <c r="AM31" i="10"/>
  <c r="AQ31" i="10"/>
  <c r="AO33" i="10"/>
  <c r="G5" i="10"/>
  <c r="L5" i="10"/>
  <c r="T5" i="10"/>
  <c r="AQ5" i="10" s="1"/>
  <c r="F6" i="10"/>
  <c r="AC6" i="10" s="1"/>
  <c r="B84" i="10"/>
  <c r="C5" i="10"/>
  <c r="V11" i="10"/>
  <c r="AS11" i="10" s="1"/>
  <c r="V85" i="10"/>
  <c r="L8" i="10"/>
  <c r="AI8" i="10" s="1"/>
  <c r="V104" i="10"/>
  <c r="V25" i="10" s="1"/>
  <c r="AS25" i="10" s="1"/>
  <c r="AR13" i="10"/>
  <c r="AR19" i="10"/>
  <c r="AQ12" i="10"/>
  <c r="AK9" i="10"/>
  <c r="AJ28" i="10"/>
  <c r="AR28" i="10"/>
  <c r="AC34" i="10"/>
  <c r="AD15" i="10"/>
  <c r="AF10" i="10"/>
  <c r="AA21" i="10"/>
  <c r="Z11" i="10"/>
  <c r="AA16" i="10"/>
  <c r="AR16" i="10"/>
  <c r="AQ30" i="10"/>
  <c r="AI20" i="10"/>
  <c r="AA14" i="10"/>
  <c r="AG11" i="10"/>
  <c r="AE6" i="10"/>
  <c r="B19" i="10"/>
  <c r="Y19" i="10" s="1"/>
  <c r="AJ14" i="10"/>
  <c r="U8" i="10"/>
  <c r="L9" i="10"/>
  <c r="F10" i="10"/>
  <c r="AC10" i="10" s="1"/>
  <c r="J10" i="10"/>
  <c r="AG10" i="10" s="1"/>
  <c r="J10" i="16"/>
  <c r="AE36" i="16"/>
  <c r="S25" i="16"/>
  <c r="S37" i="16"/>
  <c r="S69" i="13"/>
  <c r="S65" i="13"/>
  <c r="S60" i="13"/>
  <c r="S56" i="13"/>
  <c r="J28" i="16"/>
  <c r="AE40" i="16"/>
  <c r="T12" i="16"/>
  <c r="S38" i="16"/>
  <c r="AF19" i="16"/>
  <c r="J24" i="16"/>
  <c r="T11" i="16"/>
  <c r="T9" i="16"/>
  <c r="J25" i="16"/>
  <c r="J11" i="16"/>
  <c r="AE12" i="16"/>
  <c r="S81" i="13"/>
  <c r="S67" i="13"/>
  <c r="S63" i="13"/>
  <c r="J29" i="16"/>
  <c r="S53" i="13"/>
  <c r="S51" i="13"/>
  <c r="J31" i="16"/>
  <c r="AE34" i="16"/>
  <c r="S34" i="16"/>
  <c r="J22" i="16"/>
  <c r="AF25" i="16"/>
  <c r="J27" i="16"/>
  <c r="T13" i="16"/>
  <c r="J42" i="16"/>
  <c r="S40" i="16"/>
  <c r="J38" i="16"/>
  <c r="J19" i="16"/>
  <c r="J13" i="16"/>
  <c r="J14" i="16"/>
  <c r="J8" i="16"/>
  <c r="S6" i="16"/>
  <c r="J39" i="16"/>
  <c r="J7" i="16"/>
  <c r="AE24" i="16"/>
  <c r="AF16" i="16"/>
  <c r="T35" i="16"/>
  <c r="S17" i="16"/>
  <c r="J21" i="16"/>
  <c r="AF6" i="16"/>
  <c r="J30" i="16"/>
  <c r="J33" i="16"/>
  <c r="J6" i="16"/>
  <c r="J16" i="16"/>
  <c r="AG13" i="16"/>
  <c r="J37" i="16"/>
  <c r="T20" i="16"/>
  <c r="S28" i="16"/>
  <c r="AI25" i="9"/>
  <c r="Q86" i="1"/>
  <c r="S86" i="1" s="1"/>
  <c r="B19" i="9"/>
  <c r="V94" i="9"/>
  <c r="AO15" i="9" s="1"/>
  <c r="B39" i="1"/>
  <c r="B87" i="1" s="1"/>
  <c r="V112" i="9"/>
  <c r="AN33" i="9" s="1"/>
  <c r="V110" i="9"/>
  <c r="AL31" i="9" s="1"/>
  <c r="V99" i="9"/>
  <c r="AC20" i="9" s="1"/>
  <c r="B24" i="9"/>
  <c r="AB24" i="9" s="1"/>
  <c r="V97" i="9"/>
  <c r="AG18" i="9" s="1"/>
  <c r="B28" i="9"/>
  <c r="AB28" i="9" s="1"/>
  <c r="T5" i="9"/>
  <c r="L5" i="9"/>
  <c r="V85" i="9"/>
  <c r="AM6" i="9" s="1"/>
  <c r="Y113" i="9"/>
  <c r="Y34" i="9" s="1"/>
  <c r="AW34" i="9" s="1"/>
  <c r="V92" i="9"/>
  <c r="AO13" i="9" s="1"/>
  <c r="L6" i="9"/>
  <c r="V105" i="9"/>
  <c r="AH26" i="9" s="1"/>
  <c r="K34" i="9"/>
  <c r="AK34" i="9" s="1"/>
  <c r="V108" i="9"/>
  <c r="AL29" i="9" s="1"/>
  <c r="C7" i="9"/>
  <c r="AC7" i="9" s="1"/>
  <c r="AL20" i="9"/>
  <c r="AO20" i="9"/>
  <c r="V87" i="9"/>
  <c r="AP8" i="9" s="1"/>
  <c r="V101" i="9"/>
  <c r="AC22" i="9" s="1"/>
  <c r="V107" i="9"/>
  <c r="AO28" i="9" s="1"/>
  <c r="B29" i="9"/>
  <c r="P6" i="9"/>
  <c r="Q63" i="20"/>
  <c r="S63" i="20" s="1"/>
  <c r="Q51" i="20"/>
  <c r="S51" i="20" s="1"/>
  <c r="Q72" i="20"/>
  <c r="S72" i="20" s="1"/>
  <c r="Q66" i="20"/>
  <c r="S66" i="20" s="1"/>
  <c r="Q56" i="20"/>
  <c r="S56" i="20" s="1"/>
  <c r="Q86" i="20"/>
  <c r="S86" i="20" s="1"/>
  <c r="Q65" i="19"/>
  <c r="S65" i="19" s="1"/>
  <c r="Q66" i="19"/>
  <c r="S66" i="19" s="1"/>
  <c r="Q84" i="11"/>
  <c r="S84" i="11" s="1"/>
  <c r="Q85" i="11"/>
  <c r="S85" i="11" s="1"/>
  <c r="Q80" i="11"/>
  <c r="S80" i="11" s="1"/>
  <c r="K10" i="9"/>
  <c r="V89" i="9"/>
  <c r="D84" i="9"/>
  <c r="D5" i="9" s="1"/>
  <c r="E5" i="9"/>
  <c r="AO29" i="9"/>
  <c r="AE25" i="9"/>
  <c r="AC25" i="9"/>
  <c r="K11" i="9"/>
  <c r="B90" i="9"/>
  <c r="V90" i="9" s="1"/>
  <c r="Y90" i="9" s="1"/>
  <c r="Y11" i="9" s="1"/>
  <c r="AW11" i="9" s="1"/>
  <c r="L10" i="9"/>
  <c r="AB29" i="9"/>
  <c r="AG20" i="9"/>
  <c r="AJ29" i="9"/>
  <c r="AP29" i="9"/>
  <c r="AU29" i="9"/>
  <c r="U6" i="9"/>
  <c r="O9" i="9"/>
  <c r="P11" i="9"/>
  <c r="H12" i="9"/>
  <c r="C9" i="9"/>
  <c r="B88" i="9"/>
  <c r="B9" i="9" s="1"/>
  <c r="B6" i="9"/>
  <c r="AC29" i="9"/>
  <c r="AG29" i="9"/>
  <c r="AQ29" i="9"/>
  <c r="AT29" i="9"/>
  <c r="AN29" i="9"/>
  <c r="AB25" i="9"/>
  <c r="K29" i="9"/>
  <c r="AK29" i="9" s="1"/>
  <c r="AM20" i="9"/>
  <c r="B91" i="9"/>
  <c r="C5" i="9"/>
  <c r="B95" i="9"/>
  <c r="P15" i="9"/>
  <c r="H16" i="9"/>
  <c r="AC18" i="9"/>
  <c r="D86" i="9"/>
  <c r="AQ20" i="9"/>
  <c r="AH25" i="9"/>
  <c r="AK31" i="9"/>
  <c r="AQ31" i="9"/>
  <c r="K88" i="9"/>
  <c r="K9" i="9" s="1"/>
  <c r="K18" i="9"/>
  <c r="K15" i="9"/>
  <c r="AF25" i="9"/>
  <c r="AQ13" i="9"/>
  <c r="E6" i="9"/>
  <c r="AE6" i="9" s="1"/>
  <c r="I6" i="9"/>
  <c r="N6" i="9"/>
  <c r="R6" i="9"/>
  <c r="G8" i="9"/>
  <c r="S8" i="9"/>
  <c r="U12" i="9"/>
  <c r="S14" i="9"/>
  <c r="AS29" i="9"/>
  <c r="AH29" i="9"/>
  <c r="AE24" i="9"/>
  <c r="AD24" i="9"/>
  <c r="L19" i="9"/>
  <c r="K98" i="9"/>
  <c r="X14" i="9"/>
  <c r="V86" i="9"/>
  <c r="AR7" i="9" s="1"/>
  <c r="V95" i="9"/>
  <c r="AS16" i="9" s="1"/>
  <c r="K16" i="9"/>
  <c r="B12" i="9"/>
  <c r="AI29" i="9"/>
  <c r="I7" i="9"/>
  <c r="N7" i="9"/>
  <c r="E8" i="9"/>
  <c r="I8" i="9"/>
  <c r="F9" i="9"/>
  <c r="E10" i="9"/>
  <c r="F18" i="9"/>
  <c r="U5" i="9"/>
  <c r="F6" i="9"/>
  <c r="J6" i="9"/>
  <c r="S7" i="9"/>
  <c r="AS7" i="9" s="1"/>
  <c r="F14" i="9"/>
  <c r="Q87" i="1"/>
  <c r="S87" i="1" s="1"/>
  <c r="Q67" i="1"/>
  <c r="S67" i="1" s="1"/>
  <c r="P35" i="25"/>
  <c r="R41" i="25" s="1"/>
  <c r="AQ17" i="9"/>
  <c r="Y96" i="9"/>
  <c r="Y17" i="9" s="1"/>
  <c r="AW17" i="9" s="1"/>
  <c r="AJ17" i="9"/>
  <c r="AO17" i="9"/>
  <c r="AG17" i="9"/>
  <c r="AC17" i="9"/>
  <c r="AL17" i="9"/>
  <c r="AU17" i="9"/>
  <c r="AH17" i="9"/>
  <c r="AP17" i="9"/>
  <c r="AR17" i="9"/>
  <c r="AE17" i="9"/>
  <c r="AS17" i="9"/>
  <c r="AM17" i="9"/>
  <c r="AI17" i="9"/>
  <c r="AJ13" i="9"/>
  <c r="AM13" i="9"/>
  <c r="AG13" i="9"/>
  <c r="AI13" i="9"/>
  <c r="AL13" i="9"/>
  <c r="AK11" i="9"/>
  <c r="V102" i="9"/>
  <c r="AB23" i="9" s="1"/>
  <c r="AI28" i="9"/>
  <c r="V28" i="9"/>
  <c r="AV28" i="9" s="1"/>
  <c r="AJ28" i="9"/>
  <c r="AE28" i="10"/>
  <c r="AB28" i="10"/>
  <c r="AF34" i="9"/>
  <c r="AC34" i="9"/>
  <c r="AO34" i="9"/>
  <c r="AT34" i="9"/>
  <c r="AN24" i="9"/>
  <c r="Y103" i="9"/>
  <c r="Y24" i="9" s="1"/>
  <c r="AW24" i="9" s="1"/>
  <c r="V84" i="9"/>
  <c r="AM5" i="9" s="1"/>
  <c r="AG7" i="9"/>
  <c r="V58" i="9"/>
  <c r="B20" i="9"/>
  <c r="AD31" i="9"/>
  <c r="D15" i="9"/>
  <c r="B53" i="9"/>
  <c r="B45" i="10"/>
  <c r="B44" i="10"/>
  <c r="D6" i="10"/>
  <c r="AA6" i="10" s="1"/>
  <c r="D33" i="10"/>
  <c r="AA33" i="10" s="1"/>
  <c r="B71" i="10"/>
  <c r="AT13" i="9"/>
  <c r="AT17" i="9"/>
  <c r="AN34" i="9"/>
  <c r="AE7" i="9"/>
  <c r="AT7" i="9"/>
  <c r="AM7" i="9"/>
  <c r="AH7" i="9"/>
  <c r="AL24" i="9"/>
  <c r="B28" i="10"/>
  <c r="Y28" i="10" s="1"/>
  <c r="AQ7" i="9"/>
  <c r="AU7" i="9"/>
  <c r="AL28" i="9"/>
  <c r="AD28" i="9"/>
  <c r="AR13" i="9"/>
  <c r="AD33" i="9"/>
  <c r="AF33" i="9"/>
  <c r="AF31" i="9"/>
  <c r="AC31" i="9"/>
  <c r="AS31" i="9"/>
  <c r="V31" i="9"/>
  <c r="AV31" i="9" s="1"/>
  <c r="D19" i="10"/>
  <c r="AA19" i="10" s="1"/>
  <c r="AM24" i="9"/>
  <c r="AN5" i="10"/>
  <c r="AI5" i="10"/>
  <c r="K5" i="10"/>
  <c r="AH5" i="10" s="1"/>
  <c r="AM5" i="10"/>
  <c r="AO25" i="9"/>
  <c r="AJ25" i="9"/>
  <c r="AN25" i="9"/>
  <c r="AL25" i="9"/>
  <c r="AS25" i="9"/>
  <c r="Y104" i="9"/>
  <c r="Y25" i="9" s="1"/>
  <c r="AW25" i="9" s="1"/>
  <c r="AC13" i="10"/>
  <c r="B13" i="10"/>
  <c r="Y13" i="10" s="1"/>
  <c r="AD13" i="10"/>
  <c r="AG13" i="10"/>
  <c r="AE13" i="10"/>
  <c r="AB13" i="10"/>
  <c r="K27" i="9"/>
  <c r="V106" i="9"/>
  <c r="AD27" i="9" s="1"/>
  <c r="V93" i="9"/>
  <c r="AC14" i="9" s="1"/>
  <c r="K14" i="9"/>
  <c r="D13" i="10"/>
  <c r="AA13" i="10" s="1"/>
  <c r="AP9" i="10"/>
  <c r="AQ9" i="10"/>
  <c r="V88" i="10"/>
  <c r="AL9" i="10"/>
  <c r="AR9" i="10"/>
  <c r="AN9" i="10"/>
  <c r="AM9" i="10"/>
  <c r="AJ9" i="10"/>
  <c r="AP32" i="10"/>
  <c r="AQ32" i="10"/>
  <c r="AK32" i="10"/>
  <c r="AJ32" i="10"/>
  <c r="K32" i="10"/>
  <c r="AH32" i="10" s="1"/>
  <c r="AL32" i="10"/>
  <c r="AO32" i="10"/>
  <c r="V67" i="9"/>
  <c r="B34" i="9"/>
  <c r="V72" i="9"/>
  <c r="Q5" i="9"/>
  <c r="K43" i="9"/>
  <c r="V43" i="9" s="1"/>
  <c r="X43" i="9" s="1"/>
  <c r="X5" i="9" s="1"/>
  <c r="AL11" i="9"/>
  <c r="V88" i="9"/>
  <c r="AK9" i="9" s="1"/>
  <c r="AF8" i="10"/>
  <c r="AE16" i="10"/>
  <c r="AB16" i="10"/>
  <c r="B16" i="10"/>
  <c r="Y16" i="10" s="1"/>
  <c r="AF16" i="10"/>
  <c r="AD16" i="10"/>
  <c r="V95" i="10"/>
  <c r="V16" i="10" s="1"/>
  <c r="AS16" i="10" s="1"/>
  <c r="AG16" i="10"/>
  <c r="AB32" i="10"/>
  <c r="AC32" i="10"/>
  <c r="Z32" i="10"/>
  <c r="AE32" i="10"/>
  <c r="AF32" i="10"/>
  <c r="AD32" i="10"/>
  <c r="V100" i="9"/>
  <c r="AF21" i="9" s="1"/>
  <c r="B21" i="9"/>
  <c r="AG28" i="10"/>
  <c r="AD28" i="10"/>
  <c r="AF28" i="10"/>
  <c r="AI24" i="9"/>
  <c r="AS24" i="9"/>
  <c r="AF24" i="9"/>
  <c r="AP24" i="9"/>
  <c r="AH24" i="9"/>
  <c r="AT24" i="9"/>
  <c r="AR24" i="9"/>
  <c r="AQ24" i="9"/>
  <c r="D12" i="9"/>
  <c r="V59" i="10"/>
  <c r="K21" i="10"/>
  <c r="AH21" i="10" s="1"/>
  <c r="V68" i="10"/>
  <c r="V30" i="10" s="1"/>
  <c r="AS30" i="10" s="1"/>
  <c r="B30" i="10"/>
  <c r="Y30" i="10" s="1"/>
  <c r="AO11" i="9"/>
  <c r="AI7" i="9"/>
  <c r="AP7" i="9"/>
  <c r="Y86" i="9"/>
  <c r="Y7" i="9" s="1"/>
  <c r="AW7" i="9" s="1"/>
  <c r="AC28" i="9"/>
  <c r="AG28" i="9"/>
  <c r="AF13" i="9"/>
  <c r="AA28" i="10"/>
  <c r="V24" i="9"/>
  <c r="AV24" i="9" s="1"/>
  <c r="AT22" i="9"/>
  <c r="Z16" i="10"/>
  <c r="V111" i="10"/>
  <c r="AG32" i="10"/>
  <c r="V107" i="10"/>
  <c r="V28" i="10" s="1"/>
  <c r="AS28" i="10" s="1"/>
  <c r="AD7" i="10"/>
  <c r="AC7" i="10"/>
  <c r="AE7" i="10"/>
  <c r="AD31" i="10"/>
  <c r="Z31" i="10"/>
  <c r="AC31" i="10"/>
  <c r="K9" i="10"/>
  <c r="AH9" i="10" s="1"/>
  <c r="AB29" i="10"/>
  <c r="AD29" i="10"/>
  <c r="Z29" i="10"/>
  <c r="AF29" i="10"/>
  <c r="AF23" i="10"/>
  <c r="AB23" i="10"/>
  <c r="Z23" i="10"/>
  <c r="AE23" i="10"/>
  <c r="AC23" i="10"/>
  <c r="AC12" i="10"/>
  <c r="AG12" i="10"/>
  <c r="AF12" i="10"/>
  <c r="V91" i="10"/>
  <c r="V12" i="10" s="1"/>
  <c r="AS12" i="10" s="1"/>
  <c r="Z12" i="10"/>
  <c r="V91" i="9"/>
  <c r="AB12" i="9" s="1"/>
  <c r="B24" i="10"/>
  <c r="Y24" i="10" s="1"/>
  <c r="AG24" i="10"/>
  <c r="AE24" i="10"/>
  <c r="Z24" i="10"/>
  <c r="AA24" i="10"/>
  <c r="AB24" i="10"/>
  <c r="AA8" i="10"/>
  <c r="K21" i="9"/>
  <c r="V59" i="9"/>
  <c r="X59" i="9" s="1"/>
  <c r="X21" i="9" s="1"/>
  <c r="B12" i="10"/>
  <c r="Y12" i="10" s="1"/>
  <c r="V57" i="9"/>
  <c r="AP25" i="9"/>
  <c r="AO31" i="9"/>
  <c r="AU34" i="9"/>
  <c r="AG15" i="9"/>
  <c r="AR15" i="9"/>
  <c r="AS15" i="9"/>
  <c r="AE17" i="10"/>
  <c r="AD17" i="10"/>
  <c r="V96" i="10"/>
  <c r="V17" i="10" s="1"/>
  <c r="AS17" i="10" s="1"/>
  <c r="Z17" i="10"/>
  <c r="AF17" i="10"/>
  <c r="AB21" i="10"/>
  <c r="AD21" i="10"/>
  <c r="Z30" i="10"/>
  <c r="AF30" i="10"/>
  <c r="AC30" i="10"/>
  <c r="AE30" i="10"/>
  <c r="V109" i="9"/>
  <c r="AE30" i="9" s="1"/>
  <c r="AL31" i="10"/>
  <c r="AR31" i="10"/>
  <c r="AO31" i="10"/>
  <c r="K31" i="10"/>
  <c r="AH31" i="10" s="1"/>
  <c r="V110" i="10"/>
  <c r="V31" i="10" s="1"/>
  <c r="AS31" i="10" s="1"/>
  <c r="AK31" i="10"/>
  <c r="AM27" i="10"/>
  <c r="K27" i="10"/>
  <c r="AH27" i="10" s="1"/>
  <c r="AI27" i="10"/>
  <c r="AN27" i="10"/>
  <c r="AL21" i="10"/>
  <c r="AP21" i="10"/>
  <c r="V100" i="10"/>
  <c r="V21" i="10" s="1"/>
  <c r="AS21" i="10" s="1"/>
  <c r="AO15" i="10"/>
  <c r="AP15" i="10"/>
  <c r="AQ26" i="10"/>
  <c r="V105" i="10"/>
  <c r="V26" i="10" s="1"/>
  <c r="AS26" i="10" s="1"/>
  <c r="AR26" i="10"/>
  <c r="AM26" i="10"/>
  <c r="AP5" i="10"/>
  <c r="AK8" i="10"/>
  <c r="AD13" i="9"/>
  <c r="AL5" i="10"/>
  <c r="B70" i="10"/>
  <c r="V70" i="10" s="1"/>
  <c r="D32" i="10"/>
  <c r="AA32" i="10" s="1"/>
  <c r="AN8" i="10"/>
  <c r="K20" i="10"/>
  <c r="AH20" i="10" s="1"/>
  <c r="V58" i="10"/>
  <c r="V20" i="10" s="1"/>
  <c r="AS20" i="10" s="1"/>
  <c r="V60" i="10"/>
  <c r="AP8" i="10"/>
  <c r="AI6" i="9"/>
  <c r="AE15" i="9"/>
  <c r="AC15" i="9"/>
  <c r="AN15" i="9"/>
  <c r="AG27" i="10"/>
  <c r="AB27" i="10"/>
  <c r="Z27" i="10"/>
  <c r="AF27" i="10"/>
  <c r="AB19" i="10"/>
  <c r="AG19" i="10"/>
  <c r="AF19" i="10"/>
  <c r="Z19" i="10"/>
  <c r="AC19" i="10"/>
  <c r="AE10" i="10"/>
  <c r="V89" i="10"/>
  <c r="V10" i="10" s="1"/>
  <c r="AS10" i="10" s="1"/>
  <c r="AE22" i="10"/>
  <c r="AD22" i="10"/>
  <c r="V101" i="10"/>
  <c r="V22" i="10" s="1"/>
  <c r="AS22" i="10" s="1"/>
  <c r="AB22" i="10"/>
  <c r="K32" i="9"/>
  <c r="V111" i="9"/>
  <c r="AC32" i="9" s="1"/>
  <c r="K28" i="9"/>
  <c r="AK28" i="9" s="1"/>
  <c r="AR29" i="10"/>
  <c r="AL29" i="10"/>
  <c r="AI29" i="10"/>
  <c r="V108" i="10"/>
  <c r="AM29" i="10"/>
  <c r="AO29" i="10"/>
  <c r="AN29" i="10"/>
  <c r="D11" i="10"/>
  <c r="AA11" i="10" s="1"/>
  <c r="AB12" i="10"/>
  <c r="AM12" i="10"/>
  <c r="AN12" i="10"/>
  <c r="AR8" i="10"/>
  <c r="K8" i="10"/>
  <c r="AH8" i="10" s="1"/>
  <c r="V47" i="9"/>
  <c r="X47" i="9" s="1"/>
  <c r="X9" i="9" s="1"/>
  <c r="AG23" i="10"/>
  <c r="B67" i="10"/>
  <c r="V67" i="10" s="1"/>
  <c r="D29" i="10"/>
  <c r="AA29" i="10" s="1"/>
  <c r="V51" i="10"/>
  <c r="AE19" i="10"/>
  <c r="AO9" i="10"/>
  <c r="AH15" i="9"/>
  <c r="AU25" i="9"/>
  <c r="AN31" i="9"/>
  <c r="AH34" i="9"/>
  <c r="K8" i="9"/>
  <c r="AE11" i="10"/>
  <c r="AF11" i="10"/>
  <c r="Z34" i="10"/>
  <c r="AE34" i="10"/>
  <c r="AF34" i="10"/>
  <c r="V102" i="10"/>
  <c r="V23" i="10" s="1"/>
  <c r="AS23" i="10" s="1"/>
  <c r="V92" i="10"/>
  <c r="V13" i="10" s="1"/>
  <c r="AS13" i="10" s="1"/>
  <c r="AQ13" i="10"/>
  <c r="AO7" i="10"/>
  <c r="AQ7" i="10"/>
  <c r="V86" i="10"/>
  <c r="AK7" i="10"/>
  <c r="AM34" i="10"/>
  <c r="AO34" i="10"/>
  <c r="D30" i="10"/>
  <c r="AA30" i="10" s="1"/>
  <c r="AP7" i="10"/>
  <c r="V56" i="10"/>
  <c r="V18" i="10" s="1"/>
  <c r="AS18" i="10" s="1"/>
  <c r="AJ24" i="9"/>
  <c r="AI7" i="10"/>
  <c r="B46" i="9"/>
  <c r="B8" i="9" s="1"/>
  <c r="C8" i="9"/>
  <c r="K44" i="9"/>
  <c r="K17" i="9"/>
  <c r="AK17" i="9" s="1"/>
  <c r="D9" i="10"/>
  <c r="AA9" i="10" s="1"/>
  <c r="AJ7" i="10"/>
  <c r="B22" i="9"/>
  <c r="V46" i="10"/>
  <c r="AD19" i="10"/>
  <c r="N5" i="9"/>
  <c r="AN5" i="9" s="1"/>
  <c r="R5" i="9"/>
  <c r="AR5" i="9" s="1"/>
  <c r="AI21" i="10"/>
  <c r="AJ24" i="10"/>
  <c r="AD25" i="10"/>
  <c r="Z28" i="10"/>
  <c r="AF31" i="10"/>
  <c r="AI33" i="10"/>
  <c r="D45" i="9"/>
  <c r="F17" i="9"/>
  <c r="AF17" i="9" s="1"/>
  <c r="D55" i="9"/>
  <c r="J5" i="9"/>
  <c r="S6" i="9"/>
  <c r="U9" i="9"/>
  <c r="AE12" i="10"/>
  <c r="AJ21" i="10"/>
  <c r="AP27" i="10"/>
  <c r="AE29" i="10"/>
  <c r="AG31" i="10"/>
  <c r="M8" i="9"/>
  <c r="AC16" i="10"/>
  <c r="AI31" i="10"/>
  <c r="AF20" i="10"/>
  <c r="M12" i="9"/>
  <c r="K50" i="9"/>
  <c r="V50" i="9" s="1"/>
  <c r="X50" i="9" s="1"/>
  <c r="X12" i="9" s="1"/>
  <c r="B54" i="9"/>
  <c r="AC11" i="10"/>
  <c r="AJ19" i="10"/>
  <c r="AF22" i="10"/>
  <c r="AC25" i="10"/>
  <c r="AE31" i="10"/>
  <c r="AJ31" i="10"/>
  <c r="AC33" i="10"/>
  <c r="AI9" i="10"/>
  <c r="U76" i="12"/>
  <c r="T76" i="12"/>
  <c r="T73" i="12"/>
  <c r="U73" i="12"/>
  <c r="T81" i="12"/>
  <c r="U81" i="12"/>
  <c r="T67" i="12"/>
  <c r="U67" i="12"/>
  <c r="T63" i="12"/>
  <c r="U63" i="12"/>
  <c r="T59" i="12"/>
  <c r="U59" i="12"/>
  <c r="T55" i="12"/>
  <c r="U55" i="12"/>
  <c r="T51" i="12"/>
  <c r="U51" i="12"/>
  <c r="T80" i="4"/>
  <c r="U80" i="4"/>
  <c r="U77" i="4"/>
  <c r="T77" i="4"/>
  <c r="U73" i="4"/>
  <c r="T73" i="4"/>
  <c r="T71" i="4"/>
  <c r="U71" i="4"/>
  <c r="T67" i="4"/>
  <c r="U67" i="4"/>
  <c r="T63" i="4"/>
  <c r="U63" i="4"/>
  <c r="T59" i="4"/>
  <c r="U59" i="4"/>
  <c r="T55" i="4"/>
  <c r="U55" i="4"/>
  <c r="T83" i="4"/>
  <c r="U83" i="4"/>
  <c r="AM25" i="10"/>
  <c r="AO25" i="10"/>
  <c r="AQ25" i="10"/>
  <c r="AI30" i="10"/>
  <c r="AL30" i="10"/>
  <c r="AN30" i="10"/>
  <c r="AP30" i="10"/>
  <c r="AE22" i="16"/>
  <c r="T36" i="16"/>
  <c r="J9" i="16"/>
  <c r="U74" i="18"/>
  <c r="U53" i="18"/>
  <c r="U77" i="18"/>
  <c r="T79" i="12"/>
  <c r="U79" i="12"/>
  <c r="T83" i="12"/>
  <c r="U83" i="12"/>
  <c r="U72" i="12"/>
  <c r="T72" i="12"/>
  <c r="T70" i="12"/>
  <c r="U70" i="12"/>
  <c r="T66" i="12"/>
  <c r="U66" i="12"/>
  <c r="T62" i="12"/>
  <c r="U62" i="12"/>
  <c r="T58" i="12"/>
  <c r="U58" i="12"/>
  <c r="T54" i="12"/>
  <c r="U54" i="12"/>
  <c r="T50" i="12"/>
  <c r="U50" i="12"/>
  <c r="T79" i="4"/>
  <c r="U79" i="4"/>
  <c r="U76" i="4"/>
  <c r="T76" i="4"/>
  <c r="U85" i="4"/>
  <c r="T85" i="4"/>
  <c r="T70" i="4"/>
  <c r="U70" i="4"/>
  <c r="U66" i="4"/>
  <c r="T66" i="4"/>
  <c r="T62" i="4"/>
  <c r="U62" i="4"/>
  <c r="T58" i="4"/>
  <c r="U58" i="4"/>
  <c r="T54" i="4"/>
  <c r="U54" i="4"/>
  <c r="T51" i="4"/>
  <c r="U51" i="4"/>
  <c r="T25" i="16"/>
  <c r="AF35" i="16"/>
  <c r="Q85" i="14"/>
  <c r="S85" i="14" s="1"/>
  <c r="Q75" i="14"/>
  <c r="S75" i="14" s="1"/>
  <c r="U71" i="18"/>
  <c r="U66" i="21"/>
  <c r="U55" i="21"/>
  <c r="T78" i="12"/>
  <c r="U78" i="12"/>
  <c r="T75" i="12"/>
  <c r="U75" i="12"/>
  <c r="T71" i="12"/>
  <c r="U71" i="12"/>
  <c r="T69" i="12"/>
  <c r="U69" i="12"/>
  <c r="T65" i="12"/>
  <c r="U65" i="12"/>
  <c r="T61" i="12"/>
  <c r="U61" i="12"/>
  <c r="T57" i="12"/>
  <c r="U57" i="12"/>
  <c r="T53" i="12"/>
  <c r="U53" i="12"/>
  <c r="U80" i="12"/>
  <c r="T80" i="12"/>
  <c r="T78" i="4"/>
  <c r="U78" i="4"/>
  <c r="T75" i="4"/>
  <c r="U75" i="4"/>
  <c r="T84" i="4"/>
  <c r="U84" i="4"/>
  <c r="U69" i="4"/>
  <c r="T69" i="4"/>
  <c r="U65" i="4"/>
  <c r="T65" i="4"/>
  <c r="U61" i="4"/>
  <c r="T61" i="4"/>
  <c r="U57" i="4"/>
  <c r="T57" i="4"/>
  <c r="U53" i="4"/>
  <c r="T53" i="4"/>
  <c r="AN25" i="10"/>
  <c r="AP25" i="10"/>
  <c r="AM30" i="10"/>
  <c r="AO30" i="10"/>
  <c r="U64" i="21"/>
  <c r="T77" i="12"/>
  <c r="U77" i="12"/>
  <c r="T74" i="12"/>
  <c r="U74" i="12"/>
  <c r="T82" i="12"/>
  <c r="U82" i="12"/>
  <c r="U68" i="12"/>
  <c r="T68" i="12"/>
  <c r="U64" i="12"/>
  <c r="T64" i="12"/>
  <c r="U60" i="12"/>
  <c r="T60" i="12"/>
  <c r="U56" i="12"/>
  <c r="T56" i="12"/>
  <c r="U52" i="12"/>
  <c r="T52" i="12"/>
  <c r="U82" i="4"/>
  <c r="T82" i="4"/>
  <c r="U86" i="4"/>
  <c r="T86" i="4"/>
  <c r="T74" i="4"/>
  <c r="U74" i="4"/>
  <c r="U72" i="4"/>
  <c r="T72" i="4"/>
  <c r="T68" i="4"/>
  <c r="U68" i="4"/>
  <c r="T64" i="4"/>
  <c r="U64" i="4"/>
  <c r="U60" i="4"/>
  <c r="T60" i="4"/>
  <c r="U56" i="4"/>
  <c r="T56" i="4"/>
  <c r="T52" i="4"/>
  <c r="U52" i="4"/>
  <c r="U73" i="21"/>
  <c r="Q87" i="14"/>
  <c r="S87" i="14" s="1"/>
  <c r="T81" i="4"/>
  <c r="T49" i="12"/>
  <c r="U49" i="12"/>
  <c r="X51" i="9" l="1"/>
  <c r="X13" i="9" s="1"/>
  <c r="V13" i="9"/>
  <c r="AV13" i="9" s="1"/>
  <c r="AS13" i="9"/>
  <c r="AD15" i="9"/>
  <c r="Y92" i="9"/>
  <c r="Y13" i="9" s="1"/>
  <c r="AW13" i="9" s="1"/>
  <c r="AM15" i="9"/>
  <c r="AI15" i="9"/>
  <c r="AB10" i="9"/>
  <c r="V9" i="10"/>
  <c r="AS9" i="10" s="1"/>
  <c r="AJ15" i="9"/>
  <c r="AP15" i="9"/>
  <c r="B13" i="9"/>
  <c r="AB13" i="9" s="1"/>
  <c r="D11" i="9"/>
  <c r="K25" i="9"/>
  <c r="AK25" i="9" s="1"/>
  <c r="AH30" i="9"/>
  <c r="AS18" i="9"/>
  <c r="AP28" i="9"/>
  <c r="AS28" i="9"/>
  <c r="AU15" i="9"/>
  <c r="AP13" i="9"/>
  <c r="AU28" i="9"/>
  <c r="AK15" i="9"/>
  <c r="AE28" i="9"/>
  <c r="K24" i="9"/>
  <c r="V64" i="9"/>
  <c r="X64" i="9" s="1"/>
  <c r="X26" i="9" s="1"/>
  <c r="AH18" i="9"/>
  <c r="AI18" i="9"/>
  <c r="AU9" i="9"/>
  <c r="AT18" i="9"/>
  <c r="AH13" i="9"/>
  <c r="AH28" i="9"/>
  <c r="AD26" i="9"/>
  <c r="AE20" i="9"/>
  <c r="AM25" i="9"/>
  <c r="D34" i="9"/>
  <c r="AL18" i="9"/>
  <c r="AF28" i="9"/>
  <c r="V15" i="10"/>
  <c r="AS15" i="10" s="1"/>
  <c r="AF20" i="9"/>
  <c r="Y97" i="9"/>
  <c r="Y18" i="9" s="1"/>
  <c r="AW18" i="9" s="1"/>
  <c r="V25" i="9"/>
  <c r="AV25" i="9" s="1"/>
  <c r="AB22" i="9"/>
  <c r="AG24" i="9"/>
  <c r="AE13" i="9"/>
  <c r="AB34" i="9"/>
  <c r="AR25" i="9"/>
  <c r="AR31" i="9"/>
  <c r="AT28" i="9"/>
  <c r="AK13" i="9"/>
  <c r="AM31" i="9"/>
  <c r="AS34" i="9"/>
  <c r="AR28" i="9"/>
  <c r="AU13" i="9"/>
  <c r="AL15" i="9"/>
  <c r="AJ34" i="9"/>
  <c r="AE29" i="9"/>
  <c r="AR18" i="9"/>
  <c r="AF29" i="9"/>
  <c r="AH31" i="9"/>
  <c r="AT15" i="9"/>
  <c r="Y107" i="9"/>
  <c r="Y28" i="9" s="1"/>
  <c r="AW28" i="9" s="1"/>
  <c r="AG25" i="9"/>
  <c r="AJ31" i="9"/>
  <c r="AK7" i="9"/>
  <c r="AN13" i="9"/>
  <c r="AP34" i="9"/>
  <c r="AN28" i="9"/>
  <c r="AC13" i="9"/>
  <c r="AF6" i="9"/>
  <c r="Y108" i="9"/>
  <c r="Y29" i="9" s="1"/>
  <c r="AW29" i="9" s="1"/>
  <c r="AQ25" i="9"/>
  <c r="Y94" i="9"/>
  <c r="Y15" i="9" s="1"/>
  <c r="AW15" i="9" s="1"/>
  <c r="AP20" i="9"/>
  <c r="AN18" i="9"/>
  <c r="AM28" i="9"/>
  <c r="AC6" i="9"/>
  <c r="AU20" i="9"/>
  <c r="AT33" i="9"/>
  <c r="AI33" i="9"/>
  <c r="AU33" i="9"/>
  <c r="AP18" i="9"/>
  <c r="AK24" i="9"/>
  <c r="AU24" i="9"/>
  <c r="Y89" i="9"/>
  <c r="Y10" i="9" s="1"/>
  <c r="AW10" i="9" s="1"/>
  <c r="AC24" i="9"/>
  <c r="AD25" i="9"/>
  <c r="AB33" i="9"/>
  <c r="AB20" i="9"/>
  <c r="Y85" i="9"/>
  <c r="Y6" i="9" s="1"/>
  <c r="AW6" i="9" s="1"/>
  <c r="AR20" i="9"/>
  <c r="AE34" i="9"/>
  <c r="AF15" i="9"/>
  <c r="AQ28" i="9"/>
  <c r="AD20" i="9"/>
  <c r="AQ5" i="9"/>
  <c r="AQ22" i="9"/>
  <c r="AU8" i="9"/>
  <c r="AJ33" i="9"/>
  <c r="AQ18" i="9"/>
  <c r="AR34" i="9"/>
  <c r="AD22" i="9"/>
  <c r="AU22" i="9"/>
  <c r="AR33" i="9"/>
  <c r="AD8" i="9"/>
  <c r="AD34" i="9"/>
  <c r="AG22" i="9"/>
  <c r="AF18" i="9"/>
  <c r="AD18" i="9"/>
  <c r="AL34" i="9"/>
  <c r="AJ18" i="9"/>
  <c r="V33" i="9"/>
  <c r="AV33" i="9" s="1"/>
  <c r="AQ8" i="9"/>
  <c r="AU18" i="9"/>
  <c r="AQ34" i="9"/>
  <c r="AH8" i="9"/>
  <c r="AM8" i="9"/>
  <c r="AK8" i="9"/>
  <c r="AI22" i="9"/>
  <c r="AQ33" i="9"/>
  <c r="AT8" i="9"/>
  <c r="AG34" i="9"/>
  <c r="AI8" i="9"/>
  <c r="AS8" i="9"/>
  <c r="AE18" i="9"/>
  <c r="AM33" i="9"/>
  <c r="AL8" i="9"/>
  <c r="Y87" i="9"/>
  <c r="Y8" i="9" s="1"/>
  <c r="AW8" i="9" s="1"/>
  <c r="AE8" i="9"/>
  <c r="AG8" i="9"/>
  <c r="AC8" i="9"/>
  <c r="AM18" i="9"/>
  <c r="AO33" i="9"/>
  <c r="AI34" i="9"/>
  <c r="AB8" i="9"/>
  <c r="AN11" i="9"/>
  <c r="AK18" i="9"/>
  <c r="V18" i="9"/>
  <c r="AV18" i="9" s="1"/>
  <c r="AR8" i="9"/>
  <c r="AB18" i="9"/>
  <c r="AG5" i="10"/>
  <c r="AC5" i="10"/>
  <c r="AE5" i="10"/>
  <c r="AF5" i="10"/>
  <c r="AD8" i="10"/>
  <c r="Z8" i="10"/>
  <c r="AA5" i="10"/>
  <c r="V87" i="10"/>
  <c r="B8" i="10"/>
  <c r="Y8" i="10" s="1"/>
  <c r="B5" i="10"/>
  <c r="Y5" i="10" s="1"/>
  <c r="AG8" i="10"/>
  <c r="AB8" i="10"/>
  <c r="AD5" i="10"/>
  <c r="AC8" i="10"/>
  <c r="V84" i="10"/>
  <c r="V5" i="10" s="1"/>
  <c r="AS5" i="10" s="1"/>
  <c r="Z5" i="10"/>
  <c r="AB5" i="10"/>
  <c r="AC33" i="9"/>
  <c r="AE33" i="9"/>
  <c r="AF8" i="9"/>
  <c r="AF16" i="9"/>
  <c r="AN7" i="9"/>
  <c r="AK16" i="9"/>
  <c r="AJ8" i="9"/>
  <c r="AB31" i="9"/>
  <c r="AQ15" i="9"/>
  <c r="AJ26" i="9"/>
  <c r="V26" i="9"/>
  <c r="AV26" i="9" s="1"/>
  <c r="AP26" i="9"/>
  <c r="AR26" i="9"/>
  <c r="Y105" i="9"/>
  <c r="Y26" i="9" s="1"/>
  <c r="AW26" i="9" s="1"/>
  <c r="AS6" i="9"/>
  <c r="AU26" i="9"/>
  <c r="AK21" i="9"/>
  <c r="AQ10" i="9"/>
  <c r="AR10" i="9"/>
  <c r="AC11" i="9"/>
  <c r="AG14" i="9"/>
  <c r="AU11" i="9"/>
  <c r="Y101" i="9"/>
  <c r="Y22" i="9" s="1"/>
  <c r="AW22" i="9" s="1"/>
  <c r="AE11" i="9"/>
  <c r="AJ22" i="9"/>
  <c r="AC10" i="9"/>
  <c r="AU6" i="9"/>
  <c r="AG6" i="9"/>
  <c r="AF22" i="9"/>
  <c r="AQ26" i="9"/>
  <c r="AB6" i="9"/>
  <c r="AP11" i="9"/>
  <c r="AT11" i="9"/>
  <c r="AK10" i="9"/>
  <c r="AR29" i="9"/>
  <c r="AM29" i="9"/>
  <c r="AD29" i="9"/>
  <c r="AS26" i="9"/>
  <c r="AH20" i="9"/>
  <c r="Y99" i="9"/>
  <c r="Y20" i="9" s="1"/>
  <c r="AW20" i="9" s="1"/>
  <c r="AS20" i="9"/>
  <c r="AT20" i="9"/>
  <c r="AI20" i="9"/>
  <c r="AH33" i="9"/>
  <c r="AN20" i="9"/>
  <c r="AE22" i="9"/>
  <c r="AR22" i="9"/>
  <c r="AM12" i="9"/>
  <c r="AO26" i="9"/>
  <c r="AD14" i="9"/>
  <c r="AH14" i="9"/>
  <c r="AE10" i="9"/>
  <c r="AJ11" i="9"/>
  <c r="AI11" i="9"/>
  <c r="AM22" i="9"/>
  <c r="AS22" i="9"/>
  <c r="V11" i="9"/>
  <c r="AV11" i="9" s="1"/>
  <c r="AT6" i="9"/>
  <c r="AP22" i="9"/>
  <c r="AH6" i="9"/>
  <c r="AQ6" i="9"/>
  <c r="AP6" i="9"/>
  <c r="AR6" i="9"/>
  <c r="V22" i="9"/>
  <c r="AV22" i="9" s="1"/>
  <c r="AH22" i="9"/>
  <c r="AM26" i="9"/>
  <c r="AK26" i="9"/>
  <c r="B11" i="9"/>
  <c r="AB11" i="9" s="1"/>
  <c r="AT10" i="9"/>
  <c r="AG10" i="9"/>
  <c r="AD6" i="9"/>
  <c r="AN26" i="9"/>
  <c r="AO8" i="9"/>
  <c r="AE31" i="9"/>
  <c r="AI31" i="9"/>
  <c r="AU31" i="9"/>
  <c r="AG31" i="9"/>
  <c r="AT31" i="9"/>
  <c r="Y110" i="9"/>
  <c r="Y31" i="9" s="1"/>
  <c r="AW31" i="9" s="1"/>
  <c r="AP31" i="9"/>
  <c r="AN8" i="9"/>
  <c r="AB26" i="9"/>
  <c r="AF26" i="9"/>
  <c r="AG26" i="9"/>
  <c r="AN6" i="9"/>
  <c r="AL6" i="9"/>
  <c r="AG21" i="9"/>
  <c r="AF10" i="9"/>
  <c r="AG11" i="9"/>
  <c r="AS11" i="9"/>
  <c r="AH11" i="9"/>
  <c r="AO6" i="9"/>
  <c r="AJ6" i="9"/>
  <c r="AN22" i="9"/>
  <c r="AL22" i="9"/>
  <c r="AO22" i="9"/>
  <c r="AC26" i="9"/>
  <c r="AK22" i="9"/>
  <c r="AI10" i="9"/>
  <c r="AL10" i="9"/>
  <c r="AP10" i="9"/>
  <c r="AE26" i="9"/>
  <c r="AL26" i="9"/>
  <c r="AI26" i="9"/>
  <c r="AP33" i="9"/>
  <c r="AG33" i="9"/>
  <c r="AL33" i="9"/>
  <c r="Y112" i="9"/>
  <c r="Y33" i="9" s="1"/>
  <c r="AW33" i="9" s="1"/>
  <c r="AK33" i="9"/>
  <c r="AJ20" i="9"/>
  <c r="AT26" i="9"/>
  <c r="AS33" i="9"/>
  <c r="AK20" i="9"/>
  <c r="AH16" i="9"/>
  <c r="AR16" i="9"/>
  <c r="AJ7" i="9"/>
  <c r="AO5" i="9"/>
  <c r="AK27" i="9"/>
  <c r="Y95" i="9"/>
  <c r="Y16" i="9" s="1"/>
  <c r="AW16" i="9" s="1"/>
  <c r="AT16" i="9"/>
  <c r="AL16" i="9"/>
  <c r="AD16" i="9"/>
  <c r="AJ16" i="9"/>
  <c r="AU16" i="9"/>
  <c r="AR11" i="9"/>
  <c r="AQ11" i="9"/>
  <c r="AD11" i="9"/>
  <c r="AF11" i="9"/>
  <c r="AQ16" i="9"/>
  <c r="AJ5" i="9"/>
  <c r="AK32" i="9"/>
  <c r="AO16" i="9"/>
  <c r="V98" i="9"/>
  <c r="K19" i="9"/>
  <c r="AE16" i="9"/>
  <c r="AM16" i="9"/>
  <c r="AM11" i="9"/>
  <c r="AS5" i="9"/>
  <c r="AL7" i="9"/>
  <c r="AF7" i="9"/>
  <c r="AP16" i="9"/>
  <c r="AN16" i="9"/>
  <c r="AI16" i="9"/>
  <c r="AG16" i="9"/>
  <c r="AC16" i="9"/>
  <c r="AH10" i="9"/>
  <c r="AJ10" i="9"/>
  <c r="AO10" i="9"/>
  <c r="AS10" i="9"/>
  <c r="AN10" i="9"/>
  <c r="AM10" i="9"/>
  <c r="AD10" i="9"/>
  <c r="V10" i="9"/>
  <c r="AV10" i="9" s="1"/>
  <c r="AU10" i="9"/>
  <c r="B45" i="9"/>
  <c r="D7" i="9"/>
  <c r="AD7" i="9" s="1"/>
  <c r="AM32" i="9"/>
  <c r="AL32" i="9"/>
  <c r="AE32" i="9"/>
  <c r="AG32" i="9"/>
  <c r="Y111" i="9"/>
  <c r="Y32" i="9" s="1"/>
  <c r="AW32" i="9" s="1"/>
  <c r="AI32" i="9"/>
  <c r="AH32" i="9"/>
  <c r="AQ32" i="9"/>
  <c r="AS32" i="9"/>
  <c r="AN32" i="9"/>
  <c r="V32" i="9"/>
  <c r="AV32" i="9" s="1"/>
  <c r="AP32" i="9"/>
  <c r="AO32" i="9"/>
  <c r="AD32" i="9"/>
  <c r="AF32" i="9"/>
  <c r="AU32" i="9"/>
  <c r="AF30" i="9"/>
  <c r="AN30" i="9"/>
  <c r="AP30" i="9"/>
  <c r="Y109" i="9"/>
  <c r="Y30" i="9" s="1"/>
  <c r="AW30" i="9" s="1"/>
  <c r="AL30" i="9"/>
  <c r="AR30" i="9"/>
  <c r="AM30" i="9"/>
  <c r="AT30" i="9"/>
  <c r="AC30" i="9"/>
  <c r="AB30" i="9"/>
  <c r="AQ30" i="9"/>
  <c r="AJ30" i="9"/>
  <c r="AS30" i="9"/>
  <c r="AU30" i="9"/>
  <c r="V30" i="9"/>
  <c r="AV30" i="9" s="1"/>
  <c r="X57" i="9"/>
  <c r="X19" i="9" s="1"/>
  <c r="V19" i="9"/>
  <c r="AV19" i="9" s="1"/>
  <c r="AR32" i="9"/>
  <c r="AD12" i="9"/>
  <c r="X67" i="9"/>
  <c r="X29" i="9" s="1"/>
  <c r="V29" i="9"/>
  <c r="AV29" i="9" s="1"/>
  <c r="AI14" i="9"/>
  <c r="Y93" i="9"/>
  <c r="Y14" i="9" s="1"/>
  <c r="AW14" i="9" s="1"/>
  <c r="AR14" i="9"/>
  <c r="AE14" i="9"/>
  <c r="AJ14" i="9"/>
  <c r="AT14" i="9"/>
  <c r="AL14" i="9"/>
  <c r="AU14" i="9"/>
  <c r="AQ14" i="9"/>
  <c r="AM14" i="9"/>
  <c r="AO14" i="9"/>
  <c r="AN14" i="9"/>
  <c r="V14" i="9"/>
  <c r="AV14" i="9" s="1"/>
  <c r="AF14" i="9"/>
  <c r="AS14" i="9"/>
  <c r="AB14" i="9"/>
  <c r="AI30" i="9"/>
  <c r="AD9" i="9"/>
  <c r="V29" i="10"/>
  <c r="AS29" i="10" s="1"/>
  <c r="AO30" i="9"/>
  <c r="V46" i="9"/>
  <c r="AH12" i="9"/>
  <c r="AJ12" i="9"/>
  <c r="AQ12" i="9"/>
  <c r="AP12" i="9"/>
  <c r="AG12" i="9"/>
  <c r="AR12" i="9"/>
  <c r="AC12" i="9"/>
  <c r="AN12" i="9"/>
  <c r="AO12" i="9"/>
  <c r="AF12" i="9"/>
  <c r="AI12" i="9"/>
  <c r="V12" i="9"/>
  <c r="AV12" i="9" s="1"/>
  <c r="Y91" i="9"/>
  <c r="Y12" i="9" s="1"/>
  <c r="AW12" i="9" s="1"/>
  <c r="AL12" i="9"/>
  <c r="AT12" i="9"/>
  <c r="AE12" i="9"/>
  <c r="AU12" i="9"/>
  <c r="AS12" i="9"/>
  <c r="B29" i="10"/>
  <c r="Y29" i="10" s="1"/>
  <c r="AB21" i="9"/>
  <c r="AN9" i="9"/>
  <c r="AF9" i="9"/>
  <c r="AG9" i="9"/>
  <c r="V9" i="9"/>
  <c r="AV9" i="9" s="1"/>
  <c r="AS9" i="9"/>
  <c r="AI9" i="9"/>
  <c r="AL9" i="9"/>
  <c r="AP9" i="9"/>
  <c r="AQ9" i="9"/>
  <c r="AJ9" i="9"/>
  <c r="AT9" i="9"/>
  <c r="AO9" i="9"/>
  <c r="Y88" i="9"/>
  <c r="Y9" i="9" s="1"/>
  <c r="AW9" i="9" s="1"/>
  <c r="AC9" i="9"/>
  <c r="AH9" i="9"/>
  <c r="AM9" i="9"/>
  <c r="AR9" i="9"/>
  <c r="AE9" i="9"/>
  <c r="AJ27" i="9"/>
  <c r="AB27" i="9"/>
  <c r="AS27" i="9"/>
  <c r="AN27" i="9"/>
  <c r="AE27" i="9"/>
  <c r="AU27" i="9"/>
  <c r="AF27" i="9"/>
  <c r="AC27" i="9"/>
  <c r="AL27" i="9"/>
  <c r="Y106" i="9"/>
  <c r="Y27" i="9" s="1"/>
  <c r="AW27" i="9" s="1"/>
  <c r="AR27" i="9"/>
  <c r="AI27" i="9"/>
  <c r="AO27" i="9"/>
  <c r="V27" i="9"/>
  <c r="AV27" i="9" s="1"/>
  <c r="AP27" i="9"/>
  <c r="AH27" i="9"/>
  <c r="AG27" i="9"/>
  <c r="AM27" i="9"/>
  <c r="AT27" i="9"/>
  <c r="AD30" i="9"/>
  <c r="V44" i="10"/>
  <c r="V6" i="10" s="1"/>
  <c r="AS6" i="10" s="1"/>
  <c r="B6" i="10"/>
  <c r="Y6" i="10" s="1"/>
  <c r="AK30" i="9"/>
  <c r="B55" i="9"/>
  <c r="D17" i="9"/>
  <c r="AD17" i="9" s="1"/>
  <c r="AT32" i="9"/>
  <c r="K12" i="9"/>
  <c r="AK12" i="9" s="1"/>
  <c r="AI21" i="9"/>
  <c r="AL21" i="9"/>
  <c r="V21" i="9"/>
  <c r="AV21" i="9" s="1"/>
  <c r="AT21" i="9"/>
  <c r="AN21" i="9"/>
  <c r="AU21" i="9"/>
  <c r="AM21" i="9"/>
  <c r="AR21" i="9"/>
  <c r="AH21" i="9"/>
  <c r="AE21" i="9"/>
  <c r="Y100" i="9"/>
  <c r="Y21" i="9" s="1"/>
  <c r="AW21" i="9" s="1"/>
  <c r="AQ21" i="9"/>
  <c r="AJ21" i="9"/>
  <c r="AS21" i="9"/>
  <c r="AD21" i="9"/>
  <c r="AO21" i="9"/>
  <c r="AC21" i="9"/>
  <c r="X72" i="9"/>
  <c r="X34" i="9" s="1"/>
  <c r="V34" i="9"/>
  <c r="AV34" i="9" s="1"/>
  <c r="AP14" i="9"/>
  <c r="B33" i="10"/>
  <c r="Y33" i="10" s="1"/>
  <c r="V71" i="10"/>
  <c r="V33" i="10" s="1"/>
  <c r="AS33" i="10" s="1"/>
  <c r="V45" i="10"/>
  <c r="V7" i="10" s="1"/>
  <c r="AS7" i="10" s="1"/>
  <c r="B7" i="10"/>
  <c r="Y7" i="10" s="1"/>
  <c r="AC5" i="9"/>
  <c r="AI5" i="9"/>
  <c r="AG5" i="9"/>
  <c r="AU5" i="9"/>
  <c r="AP5" i="9"/>
  <c r="AH5" i="9"/>
  <c r="AT5" i="9"/>
  <c r="AF5" i="9"/>
  <c r="Y84" i="9"/>
  <c r="Y5" i="9" s="1"/>
  <c r="AW5" i="9" s="1"/>
  <c r="AB5" i="9"/>
  <c r="AL5" i="9"/>
  <c r="AE5" i="9"/>
  <c r="V5" i="9"/>
  <c r="AV5" i="9" s="1"/>
  <c r="AI23" i="9"/>
  <c r="AL23" i="9"/>
  <c r="AJ23" i="9"/>
  <c r="AP23" i="9"/>
  <c r="AE23" i="9"/>
  <c r="AH23" i="9"/>
  <c r="AQ23" i="9"/>
  <c r="AC23" i="9"/>
  <c r="AN23" i="9"/>
  <c r="AG23" i="9"/>
  <c r="AF23" i="9"/>
  <c r="AR23" i="9"/>
  <c r="AT23" i="9"/>
  <c r="AS23" i="9"/>
  <c r="AK23" i="9"/>
  <c r="AM23" i="9"/>
  <c r="Y102" i="9"/>
  <c r="Y23" i="9" s="1"/>
  <c r="AW23" i="9" s="1"/>
  <c r="AO23" i="9"/>
  <c r="AD23" i="9"/>
  <c r="V23" i="9"/>
  <c r="AV23" i="9" s="1"/>
  <c r="AD5" i="9"/>
  <c r="B16" i="9"/>
  <c r="AB16" i="9" s="1"/>
  <c r="V54" i="9"/>
  <c r="K6" i="9"/>
  <c r="AK6" i="9" s="1"/>
  <c r="V44" i="9"/>
  <c r="V8" i="10"/>
  <c r="AS8" i="10" s="1"/>
  <c r="AJ32" i="9"/>
  <c r="V32" i="10"/>
  <c r="AS32" i="10" s="1"/>
  <c r="AG30" i="9"/>
  <c r="B32" i="10"/>
  <c r="Y32" i="10" s="1"/>
  <c r="AK14" i="9"/>
  <c r="AB32" i="9"/>
  <c r="AP21" i="9"/>
  <c r="AQ27" i="9"/>
  <c r="V53" i="9"/>
  <c r="B15" i="9"/>
  <c r="AB15" i="9" s="1"/>
  <c r="X58" i="9"/>
  <c r="X20" i="9" s="1"/>
  <c r="V20" i="9"/>
  <c r="AV20" i="9" s="1"/>
  <c r="K5" i="9"/>
  <c r="AK5" i="9" s="1"/>
  <c r="AU23" i="9"/>
  <c r="AB9" i="9"/>
  <c r="AN19" i="9" l="1"/>
  <c r="AC19" i="9"/>
  <c r="AR19" i="9"/>
  <c r="AH19" i="9"/>
  <c r="Y98" i="9"/>
  <c r="Y19" i="9" s="1"/>
  <c r="AW19" i="9" s="1"/>
  <c r="AP19" i="9"/>
  <c r="AO19" i="9"/>
  <c r="AS19" i="9"/>
  <c r="AU19" i="9"/>
  <c r="AI19" i="9"/>
  <c r="AL19" i="9"/>
  <c r="AM19" i="9"/>
  <c r="AE19" i="9"/>
  <c r="AJ19" i="9"/>
  <c r="AF19" i="9"/>
  <c r="AB19" i="9"/>
  <c r="AG19" i="9"/>
  <c r="AQ19" i="9"/>
  <c r="AT19" i="9"/>
  <c r="AD19" i="9"/>
  <c r="AK19" i="9"/>
  <c r="X46" i="9"/>
  <c r="X8" i="9" s="1"/>
  <c r="V8" i="9"/>
  <c r="AV8" i="9" s="1"/>
  <c r="X44" i="9"/>
  <c r="X6" i="9" s="1"/>
  <c r="V6" i="9"/>
  <c r="AV6" i="9" s="1"/>
  <c r="X53" i="9"/>
  <c r="X15" i="9" s="1"/>
  <c r="V15" i="9"/>
  <c r="AV15" i="9" s="1"/>
  <c r="V55" i="9"/>
  <c r="B17" i="9"/>
  <c r="AB17" i="9" s="1"/>
  <c r="X54" i="9"/>
  <c r="X16" i="9" s="1"/>
  <c r="V16" i="9"/>
  <c r="AV16" i="9" s="1"/>
  <c r="B7" i="9"/>
  <c r="AB7" i="9" s="1"/>
  <c r="V45" i="9"/>
  <c r="X55" i="9" l="1"/>
  <c r="X17" i="9" s="1"/>
  <c r="V17" i="9"/>
  <c r="AV17" i="9" s="1"/>
  <c r="X45" i="9"/>
  <c r="X7" i="9" s="1"/>
  <c r="V7" i="9"/>
  <c r="AV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Rumpf</author>
  </authors>
  <commentList>
    <comment ref="Z3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Steffen Rumpf:</t>
        </r>
        <r>
          <rPr>
            <sz val="9"/>
            <color indexed="81"/>
            <rFont val="Segoe UI"/>
            <family val="2"/>
          </rPr>
          <t xml:space="preserve">
ENTSO-E6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Rumpf</author>
  </authors>
  <commentList>
    <comment ref="K17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Steffen Rumpf:</t>
        </r>
        <r>
          <rPr>
            <sz val="9"/>
            <color indexed="81"/>
            <rFont val="Segoe UI"/>
            <family val="2"/>
          </rPr>
          <t xml:space="preserve">
eigene Berechnung</t>
        </r>
      </text>
    </comment>
    <comment ref="P17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Steffen Rumpf:</t>
        </r>
        <r>
          <rPr>
            <sz val="9"/>
            <color indexed="81"/>
            <rFont val="Segoe UI"/>
            <family val="2"/>
          </rPr>
          <t xml:space="preserve">
eigener Eintrag</t>
        </r>
      </text>
    </comment>
    <comment ref="T17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Steffen Rumpf:</t>
        </r>
        <r>
          <rPr>
            <sz val="9"/>
            <color indexed="81"/>
            <rFont val="Segoe UI"/>
            <family val="2"/>
          </rPr>
          <t xml:space="preserve">
Eigene Berechnung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apacity_Entso_All years" description="Verbindung mit der Abfrage 'Capacity_Entso_All years' in der Arbeitsmappe." type="5" refreshedVersion="6" background="1">
    <dbPr connection="Provider=Microsoft.Mashup.OleDb.1;Data Source=$Workbook$;Location=&quot;Capacity_Entso_All years&quot;" command="SELECT * FROM [Capacity_Entso_All years]"/>
  </connection>
  <connection id="2" xr16:uid="{00000000-0015-0000-FFFF-FFFF01000000}" keepAlive="1" name="Abfrage - Capacity_Entso_All years (2)" description="Verbindung mit der Abfrage 'Capacity_Entso_All years (2)' in der Arbeitsmappe." type="5" refreshedVersion="6" background="1" saveData="1">
    <dbPr connection="Provider=Microsoft.Mashup.OleDb.1;Data Source=$Workbook$;Location=&quot;Capacity_Entso_All years (2)&quot;" command="SELECT * FROM [Capacity_Entso_All years (2)]"/>
  </connection>
  <connection id="3" xr16:uid="{00000000-0015-0000-FFFF-FFFF02000000}" keepAlive="1" name="Abfrage - Capacity_Entso_All years (back up)" description="Verbindung mit der Abfrage 'Capacity_Entso_All years (back up)' in der Arbeitsmappe." type="5" refreshedVersion="0" background="1">
    <dbPr connection="Provider=Microsoft.Mashup.OleDb.1;Data Source=$Workbook$;Location=&quot;Capacity_Entso_All years (back up)&quot;" command="SELECT * FROM [Capacity_Entso_All years (back up)]"/>
  </connection>
  <connection id="4" xr16:uid="{00000000-0015-0000-FFFF-FFFF03000000}" keepAlive="1" name="Abfrage - Capacity_Entsoe_SFS_2014" description="Verbindung mit der Abfrage 'Capacity_Entsoe_SFS_2014' in der Arbeitsmappe." type="5" refreshedVersion="0" background="1">
    <dbPr connection="Provider=Microsoft.Mashup.OleDb.1;Data Source=$Workbook$;Location=Capacity_Entsoe_SFS_2014" command="SELECT * FROM [Capacity_Entsoe_SFS_2014]"/>
  </connection>
  <connection id="5" xr16:uid="{00000000-0015-0000-FFFF-FFFF04000000}" keepAlive="1" name="Abfrage - Capacity_Entsoe_SFS_2015" description="Verbindung mit der Abfrage 'Capacity_Entsoe_SFS_2015' in der Arbeitsmappe." type="5" refreshedVersion="0" background="1">
    <dbPr connection="Provider=Microsoft.Mashup.OleDb.1;Data Source=$Workbook$;Location=Capacity_Entsoe_SFS_2015" command="SELECT * FROM [Capacity_Entsoe_SFS_2015]"/>
  </connection>
  <connection id="6" xr16:uid="{00000000-0015-0000-FFFF-FFFF05000000}" keepAlive="1" name="Abfrage - Capacity_Entsoe_SFS_2016" description="Verbindung mit der Abfrage 'Capacity_Entsoe_SFS_2016' in der Arbeitsmappe." type="5" refreshedVersion="0" background="1">
    <dbPr connection="Provider=Microsoft.Mashup.OleDb.1;Data Source=$Workbook$;Location=Capacity_Entsoe_SFS_2016" command="SELECT * FROM [Capacity_Entsoe_SFS_2016]"/>
  </connection>
  <connection id="7" xr16:uid="{00000000-0015-0000-FFFF-FFFF06000000}" keepAlive="1" name="Abfrage - Capacity_Entsoe_SFS_2017" description="Verbindung mit der Abfrage 'Capacity_Entsoe_SFS_2017' in der Arbeitsmappe." type="5" refreshedVersion="0" background="1">
    <dbPr connection="Provider=Microsoft.Mashup.OleDb.1;Data Source=$Workbook$;Location=Capacity_Entsoe_SFS_2017" command="SELECT * FROM [Capacity_Entsoe_SFS_2017]"/>
  </connection>
  <connection id="8" xr16:uid="{00000000-0015-0000-FFFF-FFFF07000000}" keepAlive="1" name="Abfrage - Capacity_Entsoe_SFS_2018" description="Verbindung mit der Abfrage 'Capacity_Entsoe_SFS_2018' in der Arbeitsmappe." type="5" refreshedVersion="0" background="1">
    <dbPr connection="Provider=Microsoft.Mashup.OleDb.1;Data Source=$Workbook$;Location=Capacity_Entsoe_SFS_2018" command="SELECT * FROM [Capacity_Entsoe_SFS_2018]"/>
  </connection>
  <connection id="9" xr16:uid="{00000000-0015-0000-FFFF-FFFF08000000}" keepAlive="1" name="Abfrage - Generation_Entso_All years" description="Verbindung mit der Abfrage 'Generation_Entso_All years' in der Arbeitsmappe." type="5" refreshedVersion="6" background="1">
    <dbPr connection="Provider=Microsoft.Mashup.OleDb.1;Data Source=$Workbook$;Location=Generation_Entso_All years;Extended Properties=&quot;&quot;" command="SELECT * FROM [Generation_Entso_All years]"/>
  </connection>
  <connection id="10" xr16:uid="{00000000-0015-0000-FFFF-FFFF09000000}" keepAlive="1" name="Abfrage - Generation_Entso_All years (back up)" description="Verbindung mit der Abfrage 'Generation_Entso_All years (back up)' in der Arbeitsmappe." type="5" refreshedVersion="0" background="1">
    <dbPr connection="Provider=Microsoft.Mashup.OleDb.1;Data Source=$Workbook$;Location=&quot;Generation_Entso_All years (back up)&quot;" command="SELECT * FROM [Generation_Entso_All years (back up)]"/>
  </connection>
  <connection id="11" xr16:uid="{00000000-0015-0000-FFFF-FFFF0A000000}" keepAlive="1" name="Abfrage - Generation_Entsoe_SFS_2014" description="Verbindung mit der Abfrage 'Generation_Entsoe_SFS_2014' in der Arbeitsmappe." type="5" refreshedVersion="0" background="1">
    <dbPr connection="Provider=Microsoft.Mashup.OleDb.1;Data Source=$Workbook$;Location=Generation_Entsoe_SFS_2014" command="SELECT * FROM [Generation_Entsoe_SFS_2014]"/>
  </connection>
  <connection id="12" xr16:uid="{00000000-0015-0000-FFFF-FFFF0B000000}" keepAlive="1" name="Abfrage - Generation_Entsoe_SFS_2015" description="Verbindung mit der Abfrage 'Generation_Entsoe_SFS_2015' in der Arbeitsmappe." type="5" refreshedVersion="0" background="1">
    <dbPr connection="Provider=Microsoft.Mashup.OleDb.1;Data Source=$Workbook$;Location=Generation_Entsoe_SFS_2015" command="SELECT * FROM [Generation_Entsoe_SFS_2015]"/>
  </connection>
  <connection id="13" xr16:uid="{00000000-0015-0000-FFFF-FFFF0C000000}" keepAlive="1" name="Abfrage - Generation_Entsoe_SFS_2016" description="Verbindung mit der Abfrage 'Generation_Entsoe_SFS_2016' in der Arbeitsmappe." type="5" refreshedVersion="0" background="1">
    <dbPr connection="Provider=Microsoft.Mashup.OleDb.1;Data Source=$Workbook$;Location=Generation_Entsoe_SFS_2016" command="SELECT * FROM [Generation_Entsoe_SFS_2016]"/>
  </connection>
  <connection id="14" xr16:uid="{00000000-0015-0000-FFFF-FFFF0D000000}" keepAlive="1" name="Abfrage - Generation_Entsoe_SFS_2017" description="Verbindung mit der Abfrage 'Generation_Entsoe_SFS_2017' in der Arbeitsmappe." type="5" refreshedVersion="0" background="1">
    <dbPr connection="Provider=Microsoft.Mashup.OleDb.1;Data Source=$Workbook$;Location=Generation_Entsoe_SFS_2017" command="SELECT * FROM [Generation_Entsoe_SFS_2017]"/>
  </connection>
  <connection id="15" xr16:uid="{00000000-0015-0000-FFFF-FFFF0E000000}" keepAlive="1" name="Abfrage - Generation_Entsoe_SFS_2018" description="Verbindung mit der Abfrage 'Generation_Entsoe_SFS_2018' in der Arbeitsmappe." type="5" refreshedVersion="0" background="1">
    <dbPr connection="Provider=Microsoft.Mashup.OleDb.1;Data Source=$Workbook$;Location=Generation_Entsoe_SFS_2018" command="SELECT * FROM [Generation_Entsoe_SFS_2018]"/>
  </connection>
  <connection id="16" xr16:uid="{00000000-0015-0000-FFFF-FFFF0F000000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7" xr16:uid="{00000000-0015-0000-FFFF-FFFF10000000}" name="WorksheetConnection_Historical Capacity &amp; Generation Entsoe EU - SR.xlsx!Capacity_Entsoe_SFS_2014" type="102" refreshedVersion="6" minRefreshableVersion="5">
    <extLst>
      <ext xmlns:x15="http://schemas.microsoft.com/office/spreadsheetml/2010/11/main" uri="{DE250136-89BD-433C-8126-D09CA5730AF9}">
        <x15:connection id="Capacity_Entsoe_SFS_2014">
          <x15:rangePr sourceName="_xlcn.WorksheetConnection_HistoricalCapacityGenerationEntsoeEUSR.xlsxCapacity_Entsoe_SFS_20141"/>
        </x15:connection>
      </ext>
    </extLst>
  </connection>
</connections>
</file>

<file path=xl/sharedStrings.xml><?xml version="1.0" encoding="utf-8"?>
<sst xmlns="http://schemas.openxmlformats.org/spreadsheetml/2006/main" count="11147" uniqueCount="649">
  <si>
    <r>
      <rPr>
        <b/>
        <sz val="5"/>
        <color rgb="FF1A1A18"/>
        <rFont val="Trebuchet MS"/>
        <family val="2"/>
      </rPr>
      <t>Country</t>
    </r>
  </si>
  <si>
    <r>
      <rPr>
        <sz val="5"/>
        <color rgb="FF1A1A18"/>
        <rFont val="Arial"/>
        <family val="2"/>
      </rPr>
      <t>Of which Fossil Brown coal/Lignite</t>
    </r>
  </si>
  <si>
    <r>
      <rPr>
        <sz val="5"/>
        <color rgb="FF1A1A18"/>
        <rFont val="Arial"/>
        <family val="2"/>
      </rPr>
      <t>Of which Fossil Gas</t>
    </r>
  </si>
  <si>
    <r>
      <rPr>
        <sz val="5"/>
        <color rgb="FF1A1A18"/>
        <rFont val="Arial"/>
        <family val="2"/>
      </rPr>
      <t>Of which Fossil Hard coal</t>
    </r>
  </si>
  <si>
    <r>
      <rPr>
        <sz val="5"/>
        <color rgb="FF1A1A18"/>
        <rFont val="Arial"/>
        <family val="2"/>
      </rPr>
      <t>Of which Fossil Oil</t>
    </r>
  </si>
  <si>
    <r>
      <rPr>
        <sz val="5"/>
        <color rgb="FF1A1A18"/>
        <rFont val="Arial"/>
        <family val="2"/>
      </rPr>
      <t>Of which Other fossil fuels</t>
    </r>
  </si>
  <si>
    <r>
      <rPr>
        <sz val="5"/>
        <color rgb="FFFFFFFF"/>
        <rFont val="Arial"/>
        <family val="2"/>
      </rPr>
      <t>Pumping</t>
    </r>
  </si>
  <si>
    <r>
      <rPr>
        <b/>
        <sz val="5"/>
        <color rgb="FFFFFFFF"/>
        <rFont val="Trebuchet MS"/>
        <family val="2"/>
      </rPr>
      <t>Consumption</t>
    </r>
  </si>
  <si>
    <r>
      <rPr>
        <b/>
        <sz val="5"/>
        <color rgb="FF1A1A18"/>
        <rFont val="Trebuchet MS"/>
        <family val="2"/>
      </rPr>
      <t>TWh</t>
    </r>
  </si>
  <si>
    <r>
      <rPr>
        <sz val="5"/>
        <color rgb="FF1A1A18"/>
        <rFont val="Arial"/>
        <family val="2"/>
      </rPr>
      <t>TWh</t>
    </r>
  </si>
  <si>
    <r>
      <rPr>
        <b/>
        <sz val="5"/>
        <color rgb="FF1A1A18"/>
        <rFont val="Arial"/>
        <family val="2"/>
      </rPr>
      <t>AL</t>
    </r>
  </si>
  <si>
    <r>
      <rPr>
        <b/>
        <sz val="5"/>
        <color rgb="FF1A1A18"/>
        <rFont val="Arial"/>
        <family val="2"/>
      </rPr>
      <t>AT</t>
    </r>
  </si>
  <si>
    <r>
      <rPr>
        <b/>
        <sz val="5"/>
        <color rgb="FF1A1A18"/>
        <rFont val="Arial"/>
        <family val="2"/>
      </rPr>
      <t>BA</t>
    </r>
  </si>
  <si>
    <r>
      <rPr>
        <b/>
        <sz val="5"/>
        <color rgb="FF1A1A18"/>
        <rFont val="Arial"/>
        <family val="2"/>
      </rPr>
      <t>BE</t>
    </r>
  </si>
  <si>
    <r>
      <rPr>
        <b/>
        <sz val="5"/>
        <color rgb="FF1A1A18"/>
        <rFont val="Arial"/>
        <family val="2"/>
      </rPr>
      <t>BG</t>
    </r>
  </si>
  <si>
    <r>
      <rPr>
        <b/>
        <sz val="5"/>
        <color rgb="FF1A1A18"/>
        <rFont val="Arial"/>
        <family val="2"/>
      </rPr>
      <t>CH</t>
    </r>
  </si>
  <si>
    <r>
      <rPr>
        <b/>
        <sz val="5"/>
        <color rgb="FF1A1A18"/>
        <rFont val="Arial"/>
        <family val="2"/>
      </rPr>
      <t>CZ</t>
    </r>
  </si>
  <si>
    <r>
      <rPr>
        <b/>
        <sz val="5"/>
        <color rgb="FF1A1A18"/>
        <rFont val="Arial"/>
        <family val="2"/>
      </rPr>
      <t>DE</t>
    </r>
  </si>
  <si>
    <r>
      <rPr>
        <b/>
        <sz val="5"/>
        <color rgb="FF1A1A18"/>
        <rFont val="Arial"/>
        <family val="2"/>
      </rPr>
      <t>DK</t>
    </r>
  </si>
  <si>
    <r>
      <rPr>
        <b/>
        <sz val="5"/>
        <color rgb="FF1A1A18"/>
        <rFont val="Arial"/>
        <family val="2"/>
      </rPr>
      <t>ES</t>
    </r>
  </si>
  <si>
    <r>
      <rPr>
        <b/>
        <sz val="5"/>
        <color rgb="FF1A1A18"/>
        <rFont val="Arial"/>
        <family val="2"/>
      </rPr>
      <t>FI</t>
    </r>
  </si>
  <si>
    <r>
      <rPr>
        <b/>
        <sz val="5"/>
        <color rgb="FF1A1A18"/>
        <rFont val="Arial"/>
        <family val="2"/>
      </rPr>
      <t>FR</t>
    </r>
  </si>
  <si>
    <r>
      <rPr>
        <b/>
        <sz val="5"/>
        <color rgb="FF1A1A18"/>
        <rFont val="Arial"/>
        <family val="2"/>
      </rPr>
      <t>GB</t>
    </r>
  </si>
  <si>
    <r>
      <rPr>
        <b/>
        <sz val="5"/>
        <color rgb="FF1A1A18"/>
        <rFont val="Arial"/>
        <family val="2"/>
      </rPr>
      <t>GR</t>
    </r>
  </si>
  <si>
    <r>
      <rPr>
        <b/>
        <sz val="5"/>
        <color rgb="FF1A1A18"/>
        <rFont val="Arial"/>
        <family val="2"/>
      </rPr>
      <t>HR</t>
    </r>
  </si>
  <si>
    <r>
      <rPr>
        <b/>
        <sz val="5"/>
        <color rgb="FF1A1A18"/>
        <rFont val="Arial"/>
        <family val="2"/>
      </rPr>
      <t>HU</t>
    </r>
  </si>
  <si>
    <r>
      <rPr>
        <b/>
        <sz val="5"/>
        <color rgb="FF1A1A18"/>
        <rFont val="Arial"/>
        <family val="2"/>
      </rPr>
      <t>IE</t>
    </r>
  </si>
  <si>
    <r>
      <rPr>
        <b/>
        <sz val="5"/>
        <color rgb="FF1A1A18"/>
        <rFont val="Arial"/>
        <family val="2"/>
      </rPr>
      <t>IT</t>
    </r>
  </si>
  <si>
    <r>
      <rPr>
        <b/>
        <sz val="5"/>
        <color rgb="FF1A1A18"/>
        <rFont val="Arial"/>
        <family val="2"/>
      </rPr>
      <t>LT</t>
    </r>
  </si>
  <si>
    <r>
      <rPr>
        <b/>
        <sz val="5"/>
        <color rgb="FF1A1A18"/>
        <rFont val="Arial"/>
        <family val="2"/>
      </rPr>
      <t>ME</t>
    </r>
  </si>
  <si>
    <r>
      <rPr>
        <b/>
        <sz val="5"/>
        <color rgb="FF1A1A18"/>
        <rFont val="Arial"/>
        <family val="2"/>
      </rPr>
      <t>MK</t>
    </r>
  </si>
  <si>
    <r>
      <rPr>
        <b/>
        <sz val="5"/>
        <color rgb="FF1A1A18"/>
        <rFont val="Arial"/>
        <family val="2"/>
      </rPr>
      <t>NL</t>
    </r>
  </si>
  <si>
    <r>
      <rPr>
        <b/>
        <sz val="5"/>
        <color rgb="FF1A1A18"/>
        <rFont val="Arial"/>
        <family val="2"/>
      </rPr>
      <t>NO</t>
    </r>
  </si>
  <si>
    <r>
      <rPr>
        <b/>
        <sz val="5"/>
        <color rgb="FF1A1A18"/>
        <rFont val="Arial"/>
        <family val="2"/>
      </rPr>
      <t>PL</t>
    </r>
  </si>
  <si>
    <r>
      <rPr>
        <b/>
        <sz val="5"/>
        <color rgb="FF1A1A18"/>
        <rFont val="Arial"/>
        <family val="2"/>
      </rPr>
      <t>PT</t>
    </r>
  </si>
  <si>
    <r>
      <rPr>
        <b/>
        <sz val="5"/>
        <color rgb="FF1A1A18"/>
        <rFont val="Arial"/>
        <family val="2"/>
      </rPr>
      <t>RO</t>
    </r>
  </si>
  <si>
    <r>
      <rPr>
        <b/>
        <sz val="5"/>
        <color rgb="FF1A1A18"/>
        <rFont val="Arial"/>
        <family val="2"/>
      </rPr>
      <t>RS</t>
    </r>
  </si>
  <si>
    <r>
      <rPr>
        <b/>
        <sz val="5"/>
        <color rgb="FF1A1A18"/>
        <rFont val="Arial"/>
        <family val="2"/>
      </rPr>
      <t>SE</t>
    </r>
  </si>
  <si>
    <r>
      <rPr>
        <b/>
        <sz val="5"/>
        <color rgb="FF1A1A18"/>
        <rFont val="Arial"/>
        <family val="2"/>
      </rPr>
      <t>SI</t>
    </r>
  </si>
  <si>
    <r>
      <rPr>
        <b/>
        <sz val="5"/>
        <color rgb="FF1A1A18"/>
        <rFont val="Arial"/>
        <family val="2"/>
      </rPr>
      <t>SK</t>
    </r>
  </si>
  <si>
    <t>Total net generation</t>
  </si>
  <si>
    <t>Renewable net generation</t>
  </si>
  <si>
    <t>Wind offshore</t>
  </si>
  <si>
    <t>Wind onshore</t>
  </si>
  <si>
    <t>Solar PV</t>
  </si>
  <si>
    <t>Solar Thermal</t>
  </si>
  <si>
    <t>Biomass</t>
  </si>
  <si>
    <t>Biogas</t>
  </si>
  <si>
    <t>Geothermal</t>
  </si>
  <si>
    <t>Waste (renewable part)</t>
  </si>
  <si>
    <t>Hydro Pure storage</t>
  </si>
  <si>
    <t>Hydro Run-of-river and pondage</t>
  </si>
  <si>
    <t>Hydro mixed pumped storage (renewable part)</t>
  </si>
  <si>
    <t>Hydro Marine (tidal/wave)</t>
  </si>
  <si>
    <t>Other renewable</t>
  </si>
  <si>
    <t>Not identified</t>
  </si>
  <si>
    <t>Non renewable net generation</t>
  </si>
  <si>
    <t>Nuclear</t>
  </si>
  <si>
    <t>Fossil fuels</t>
  </si>
  <si>
    <t>Hydro pure pumped storage</t>
  </si>
  <si>
    <t>Other non-renewable</t>
  </si>
  <si>
    <t>entsoe factsheet 2017</t>
  </si>
  <si>
    <t>PROJEKT</t>
  </si>
  <si>
    <t>Year</t>
  </si>
  <si>
    <t>Region Group Name</t>
  </si>
  <si>
    <t>BHKW</t>
  </si>
  <si>
    <t>Biomasse</t>
  </si>
  <si>
    <t>Braunkohle</t>
  </si>
  <si>
    <t>Consumer Spitze</t>
  </si>
  <si>
    <t>Dezentraler PV-Speicher</t>
  </si>
  <si>
    <t>Dezentraler PV-Speicher Einsp</t>
  </si>
  <si>
    <t>Dezentraler Speicher</t>
  </si>
  <si>
    <t>Dummy</t>
  </si>
  <si>
    <t>Elektromobilität dyn</t>
  </si>
  <si>
    <t>Elektromobilität stat</t>
  </si>
  <si>
    <t>Gas</t>
  </si>
  <si>
    <t>Geothermie</t>
  </si>
  <si>
    <t>Kernenergie</t>
  </si>
  <si>
    <t>Kraftwerksreserve</t>
  </si>
  <si>
    <t>KWK Braunkohle</t>
  </si>
  <si>
    <t>KWK Gas</t>
  </si>
  <si>
    <t>KWK Steinkohle</t>
  </si>
  <si>
    <t>Lastkappung</t>
  </si>
  <si>
    <t>Lastverschiebung</t>
  </si>
  <si>
    <t>Öl</t>
  </si>
  <si>
    <t>Photovoltaik</t>
  </si>
  <si>
    <t>PtG</t>
  </si>
  <si>
    <t>PtH E-Heizer Industrie</t>
  </si>
  <si>
    <t>PtH Fernwärme</t>
  </si>
  <si>
    <t>PtH Speicherheizungen</t>
  </si>
  <si>
    <t>PtH Wärmepumpe</t>
  </si>
  <si>
    <t>PtH Wärmepumpe Flex</t>
  </si>
  <si>
    <t>Steinkohle</t>
  </si>
  <si>
    <t>Wasser</t>
  </si>
  <si>
    <t>Total Generation</t>
  </si>
  <si>
    <t>Storage Generation</t>
  </si>
  <si>
    <t>Hourly Load</t>
  </si>
  <si>
    <t>Netto Imports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</si>
  <si>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</si>
  <si>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</si>
  <si>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</si>
  <si>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</si>
  <si>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</si>
  <si>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</si>
  <si>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</si>
  <si>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</si>
  <si>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</si>
  <si>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</si>
  <si>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</si>
  <si>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</si>
  <si>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</si>
  <si>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</si>
  <si>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</si>
  <si>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</si>
  <si>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</si>
  <si>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</si>
  <si>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</si>
  <si>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</si>
  <si>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</si>
  <si>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</si>
  <si>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</si>
  <si>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</si>
  <si>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</si>
  <si>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</si>
  <si>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</si>
  <si>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</si>
  <si>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</si>
  <si>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</si>
  <si>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</si>
  <si>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</si>
  <si>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UA</t>
  </si>
  <si>
    <t>Other</t>
  </si>
  <si>
    <t>Of which Waste (non renewable)</t>
  </si>
  <si>
    <t>Hydro</t>
  </si>
  <si>
    <t>Hydro pumped storage</t>
  </si>
  <si>
    <t>CSP</t>
  </si>
  <si>
    <t>Net imports</t>
  </si>
  <si>
    <t>Fundamentalmodell</t>
  </si>
  <si>
    <t>entsoe</t>
  </si>
  <si>
    <t>Of which Fossil Brown coal/Lignite</t>
  </si>
  <si>
    <t>Of which Fossil Peat</t>
  </si>
  <si>
    <t>Of which Fossil Gas</t>
  </si>
  <si>
    <t>Of which Fossil Hard coal</t>
  </si>
  <si>
    <t>Of which Fossil Oil</t>
  </si>
  <si>
    <t>Of which Fossil Oil shale</t>
  </si>
  <si>
    <t>Of which Fossil Coal-derived gas</t>
  </si>
  <si>
    <t>Of which Mixed fuels</t>
  </si>
  <si>
    <t>Of which Other fossil fuels</t>
  </si>
  <si>
    <t>Waste
(non renewable part)</t>
  </si>
  <si>
    <t>Hydro mixed pumped
part)</t>
  </si>
  <si>
    <t>Pumping</t>
  </si>
  <si>
    <t>Consumption</t>
  </si>
  <si>
    <t>TWh</t>
  </si>
  <si>
    <t>Differenz (entso-e - Modell)</t>
  </si>
  <si>
    <t>GW</t>
  </si>
  <si>
    <t>Total net generation capacity</t>
  </si>
  <si>
    <r>
      <rPr>
        <b/>
        <sz val="5"/>
        <color rgb="FF231F20"/>
        <rFont val="Arial"/>
        <family val="2"/>
      </rPr>
      <t>AT</t>
    </r>
  </si>
  <si>
    <r>
      <rPr>
        <b/>
        <sz val="5"/>
        <color rgb="FF231F20"/>
        <rFont val="Arial"/>
        <family val="2"/>
      </rPr>
      <t>BA</t>
    </r>
  </si>
  <si>
    <r>
      <rPr>
        <b/>
        <sz val="5"/>
        <color rgb="FF231F20"/>
        <rFont val="Arial"/>
        <family val="2"/>
      </rPr>
      <t>BE</t>
    </r>
  </si>
  <si>
    <r>
      <rPr>
        <b/>
        <sz val="5"/>
        <color rgb="FF231F20"/>
        <rFont val="Arial"/>
        <family val="2"/>
      </rPr>
      <t>BG</t>
    </r>
  </si>
  <si>
    <r>
      <rPr>
        <b/>
        <sz val="5"/>
        <color rgb="FF231F20"/>
        <rFont val="Arial"/>
        <family val="2"/>
      </rPr>
      <t>CH</t>
    </r>
  </si>
  <si>
    <r>
      <rPr>
        <b/>
        <sz val="5"/>
        <color rgb="FF231F20"/>
        <rFont val="Arial"/>
        <family val="2"/>
      </rPr>
      <t>CY</t>
    </r>
  </si>
  <si>
    <r>
      <rPr>
        <b/>
        <sz val="5"/>
        <color rgb="FF231F20"/>
        <rFont val="Arial"/>
        <family val="2"/>
      </rPr>
      <t>CZ</t>
    </r>
  </si>
  <si>
    <r>
      <rPr>
        <b/>
        <sz val="5"/>
        <color rgb="FF231F20"/>
        <rFont val="Arial"/>
        <family val="2"/>
      </rPr>
      <t>DE</t>
    </r>
  </si>
  <si>
    <r>
      <rPr>
        <b/>
        <sz val="5"/>
        <color rgb="FF231F20"/>
        <rFont val="Arial"/>
        <family val="2"/>
      </rPr>
      <t>DK</t>
    </r>
  </si>
  <si>
    <r>
      <rPr>
        <b/>
        <sz val="5"/>
        <color rgb="FF231F20"/>
        <rFont val="Arial"/>
        <family val="2"/>
      </rPr>
      <t>EE</t>
    </r>
  </si>
  <si>
    <r>
      <rPr>
        <b/>
        <sz val="5"/>
        <color rgb="FF231F20"/>
        <rFont val="Arial"/>
        <family val="2"/>
      </rPr>
      <t>ES</t>
    </r>
  </si>
  <si>
    <r>
      <rPr>
        <b/>
        <sz val="5"/>
        <color rgb="FF231F20"/>
        <rFont val="Arial"/>
        <family val="2"/>
      </rPr>
      <t>FI</t>
    </r>
  </si>
  <si>
    <r>
      <rPr>
        <b/>
        <sz val="5"/>
        <color rgb="FF231F20"/>
        <rFont val="Arial"/>
        <family val="2"/>
      </rPr>
      <t>FR</t>
    </r>
  </si>
  <si>
    <r>
      <rPr>
        <b/>
        <sz val="5"/>
        <color rgb="FF231F20"/>
        <rFont val="Arial"/>
        <family val="2"/>
      </rPr>
      <t>GB</t>
    </r>
  </si>
  <si>
    <r>
      <rPr>
        <b/>
        <sz val="5"/>
        <color rgb="FF231F20"/>
        <rFont val="Arial"/>
        <family val="2"/>
      </rPr>
      <t>GR</t>
    </r>
  </si>
  <si>
    <r>
      <rPr>
        <b/>
        <sz val="5"/>
        <color rgb="FF231F20"/>
        <rFont val="Arial"/>
        <family val="2"/>
      </rPr>
      <t>HR</t>
    </r>
  </si>
  <si>
    <r>
      <rPr>
        <b/>
        <sz val="5"/>
        <color rgb="FF231F20"/>
        <rFont val="Arial"/>
        <family val="2"/>
      </rPr>
      <t>HU</t>
    </r>
  </si>
  <si>
    <r>
      <rPr>
        <b/>
        <sz val="5"/>
        <color rgb="FF231F20"/>
        <rFont val="Arial"/>
        <family val="2"/>
      </rPr>
      <t>IE</t>
    </r>
  </si>
  <si>
    <r>
      <rPr>
        <b/>
        <sz val="5"/>
        <color rgb="FF231F20"/>
        <rFont val="Arial"/>
        <family val="2"/>
      </rPr>
      <t>IS</t>
    </r>
  </si>
  <si>
    <r>
      <rPr>
        <b/>
        <sz val="5"/>
        <color rgb="FF231F20"/>
        <rFont val="Arial"/>
        <family val="2"/>
      </rPr>
      <t>IT</t>
    </r>
  </si>
  <si>
    <r>
      <rPr>
        <b/>
        <sz val="5"/>
        <color rgb="FF231F20"/>
        <rFont val="Arial"/>
        <family val="2"/>
      </rPr>
      <t>LT</t>
    </r>
  </si>
  <si>
    <r>
      <rPr>
        <b/>
        <sz val="5"/>
        <color rgb="FF231F20"/>
        <rFont val="Arial"/>
        <family val="2"/>
      </rPr>
      <t>LU</t>
    </r>
  </si>
  <si>
    <r>
      <rPr>
        <b/>
        <sz val="5"/>
        <color rgb="FF231F20"/>
        <rFont val="Arial"/>
        <family val="2"/>
      </rPr>
      <t>LV</t>
    </r>
  </si>
  <si>
    <r>
      <rPr>
        <b/>
        <sz val="5"/>
        <color rgb="FF231F20"/>
        <rFont val="Arial"/>
        <family val="2"/>
      </rPr>
      <t>ME</t>
    </r>
  </si>
  <si>
    <r>
      <rPr>
        <b/>
        <sz val="5"/>
        <color rgb="FF231F20"/>
        <rFont val="Arial"/>
        <family val="2"/>
      </rPr>
      <t>MK</t>
    </r>
  </si>
  <si>
    <r>
      <rPr>
        <b/>
        <sz val="5"/>
        <color rgb="FF231F20"/>
        <rFont val="Arial"/>
        <family val="2"/>
      </rPr>
      <t>NL</t>
    </r>
  </si>
  <si>
    <r>
      <rPr>
        <b/>
        <sz val="5"/>
        <color rgb="FF231F20"/>
        <rFont val="Arial"/>
        <family val="2"/>
      </rPr>
      <t>NO</t>
    </r>
  </si>
  <si>
    <r>
      <rPr>
        <b/>
        <sz val="5"/>
        <color rgb="FF231F20"/>
        <rFont val="Arial"/>
        <family val="2"/>
      </rPr>
      <t>PL</t>
    </r>
  </si>
  <si>
    <r>
      <rPr>
        <b/>
        <sz val="5"/>
        <color rgb="FF231F20"/>
        <rFont val="Arial"/>
        <family val="2"/>
      </rPr>
      <t>PT</t>
    </r>
  </si>
  <si>
    <r>
      <rPr>
        <b/>
        <sz val="5"/>
        <color rgb="FF231F20"/>
        <rFont val="Arial"/>
        <family val="2"/>
      </rPr>
      <t>RO</t>
    </r>
  </si>
  <si>
    <r>
      <rPr>
        <b/>
        <sz val="5"/>
        <color rgb="FF231F20"/>
        <rFont val="Arial"/>
        <family val="2"/>
      </rPr>
      <t>RS</t>
    </r>
  </si>
  <si>
    <r>
      <rPr>
        <b/>
        <sz val="5"/>
        <color rgb="FF231F20"/>
        <rFont val="Arial"/>
        <family val="2"/>
      </rPr>
      <t>SE</t>
    </r>
  </si>
  <si>
    <r>
      <rPr>
        <b/>
        <sz val="5"/>
        <color rgb="FF231F20"/>
        <rFont val="Arial"/>
        <family val="2"/>
      </rPr>
      <t>SI</t>
    </r>
  </si>
  <si>
    <r>
      <rPr>
        <b/>
        <sz val="5"/>
        <color rgb="FF231F20"/>
        <rFont val="Arial"/>
        <family val="2"/>
      </rPr>
      <t>SK</t>
    </r>
  </si>
  <si>
    <r>
      <rPr>
        <b/>
        <sz val="5"/>
        <color rgb="FF231F20"/>
        <rFont val="Arial"/>
        <family val="2"/>
      </rPr>
      <t>TR</t>
    </r>
  </si>
  <si>
    <t>w</t>
  </si>
  <si>
    <r>
      <rPr>
        <b/>
        <sz val="5"/>
        <color rgb="FF231F20"/>
        <rFont val="Verdana"/>
        <family val="2"/>
      </rPr>
      <t>Country</t>
    </r>
  </si>
  <si>
    <r>
      <rPr>
        <b/>
        <sz val="5"/>
        <color rgb="FF231F20"/>
        <rFont val="Arial"/>
        <family val="2"/>
      </rPr>
      <t>AL</t>
    </r>
  </si>
  <si>
    <r>
      <rPr>
        <b/>
        <sz val="5"/>
        <color rgb="FF231F20"/>
        <rFont val="Arial"/>
        <family val="2"/>
      </rPr>
      <t xml:space="preserve">ENTSO-E   </t>
    </r>
    <r>
      <rPr>
        <vertAlign val="superscript"/>
        <sz val="3"/>
        <color rgb="FF231F20"/>
        <rFont val="Arial"/>
        <family val="2"/>
      </rPr>
      <t>*</t>
    </r>
  </si>
  <si>
    <t>Lignite&amp;Coal generation</t>
  </si>
  <si>
    <t>%</t>
  </si>
  <si>
    <t>Country</t>
  </si>
  <si>
    <t>CY</t>
  </si>
  <si>
    <t>EE</t>
  </si>
  <si>
    <t>IS</t>
  </si>
  <si>
    <t>LV</t>
  </si>
  <si>
    <t>ENTSO-E   *</t>
  </si>
  <si>
    <t>Lignite&amp;Coal generation capacity</t>
  </si>
  <si>
    <t>Lignite&amp;Coal share in installed generation capacity</t>
  </si>
  <si>
    <t>MW</t>
  </si>
  <si>
    <t>Lignite&amp;Coal share in net generation</t>
  </si>
  <si>
    <t>Share of Renewables</t>
  </si>
  <si>
    <t>Share of fossil generation</t>
  </si>
  <si>
    <t>PV</t>
  </si>
  <si>
    <t>Wind Onshore</t>
  </si>
  <si>
    <t>gas</t>
  </si>
  <si>
    <t>total net generation</t>
  </si>
  <si>
    <r>
      <rPr>
        <sz val="9"/>
        <color rgb="FF1A1A18"/>
        <rFont val="Arial"/>
        <family val="2"/>
      </rPr>
      <t>Of which Fossil Brown coal/Lignite</t>
    </r>
  </si>
  <si>
    <r>
      <rPr>
        <sz val="9"/>
        <color rgb="FF1A1A18"/>
        <rFont val="Arial"/>
        <family val="2"/>
      </rPr>
      <t>Of which Fossil Coal-derived gas</t>
    </r>
  </si>
  <si>
    <r>
      <rPr>
        <sz val="9"/>
        <color rgb="FF1A1A18"/>
        <rFont val="Arial"/>
        <family val="2"/>
      </rPr>
      <t>Of which Fossil Gas</t>
    </r>
  </si>
  <si>
    <r>
      <rPr>
        <sz val="9"/>
        <color rgb="FF1A1A18"/>
        <rFont val="Arial"/>
        <family val="2"/>
      </rPr>
      <t>Of which Fossil Hard coal</t>
    </r>
  </si>
  <si>
    <r>
      <rPr>
        <sz val="9"/>
        <color rgb="FF1A1A18"/>
        <rFont val="Arial"/>
        <family val="2"/>
      </rPr>
      <t>Of which Fossil Oil</t>
    </r>
  </si>
  <si>
    <r>
      <rPr>
        <sz val="9"/>
        <color rgb="FF1A1A18"/>
        <rFont val="Arial"/>
        <family val="2"/>
      </rPr>
      <t>Of which Fossil Oil shale</t>
    </r>
  </si>
  <si>
    <r>
      <rPr>
        <sz val="9"/>
        <color rgb="FF1A1A18"/>
        <rFont val="Arial"/>
        <family val="2"/>
      </rPr>
      <t>Of which Fossil Peat</t>
    </r>
  </si>
  <si>
    <r>
      <rPr>
        <sz val="9"/>
        <color rgb="FF1A1A18"/>
        <rFont val="Arial"/>
        <family val="2"/>
      </rPr>
      <t>Of which Mixed fuels</t>
    </r>
  </si>
  <si>
    <r>
      <rPr>
        <sz val="9"/>
        <color rgb="FF1A1A18"/>
        <rFont val="Arial"/>
        <family val="2"/>
      </rPr>
      <t>Of which Other fossil fuels</t>
    </r>
  </si>
  <si>
    <r>
      <rPr>
        <sz val="9"/>
        <color rgb="FFFFFFFF"/>
        <rFont val="Arial"/>
        <family val="2"/>
      </rPr>
      <t>Pumping</t>
    </r>
  </si>
  <si>
    <r>
      <rPr>
        <b/>
        <sz val="9"/>
        <color rgb="FFFFFFFF"/>
        <rFont val="Arial"/>
        <family val="2"/>
      </rPr>
      <t>Consumption</t>
    </r>
  </si>
  <si>
    <r>
      <rPr>
        <sz val="9"/>
        <color rgb="FFFFFFFF"/>
        <rFont val="Arial"/>
        <family val="2"/>
      </rPr>
      <t>Variation
(compared with 2016)</t>
    </r>
  </si>
  <si>
    <r>
      <rPr>
        <b/>
        <sz val="9"/>
        <color rgb="FF1A1A18"/>
        <rFont val="Arial"/>
        <family val="2"/>
      </rPr>
      <t>TWh</t>
    </r>
  </si>
  <si>
    <r>
      <rPr>
        <sz val="9"/>
        <color rgb="FF1A1A18"/>
        <rFont val="Arial"/>
        <family val="2"/>
      </rPr>
      <t>TWh</t>
    </r>
  </si>
  <si>
    <r>
      <rPr>
        <b/>
        <sz val="9"/>
        <color rgb="FF1A1A18"/>
        <rFont val="Arial"/>
        <family val="2"/>
      </rPr>
      <t>AL</t>
    </r>
  </si>
  <si>
    <r>
      <rPr>
        <b/>
        <sz val="9"/>
        <color rgb="FF1A1A18"/>
        <rFont val="Arial"/>
        <family val="2"/>
      </rPr>
      <t>AT</t>
    </r>
  </si>
  <si>
    <r>
      <rPr>
        <b/>
        <sz val="9"/>
        <color rgb="FF1A1A18"/>
        <rFont val="Arial"/>
        <family val="2"/>
      </rPr>
      <t>BA</t>
    </r>
  </si>
  <si>
    <r>
      <rPr>
        <b/>
        <sz val="9"/>
        <color rgb="FF1A1A18"/>
        <rFont val="Arial"/>
        <family val="2"/>
      </rPr>
      <t>BE</t>
    </r>
  </si>
  <si>
    <r>
      <rPr>
        <b/>
        <sz val="9"/>
        <color rgb="FF1A1A18"/>
        <rFont val="Arial"/>
        <family val="2"/>
      </rPr>
      <t>BG</t>
    </r>
  </si>
  <si>
    <r>
      <rPr>
        <b/>
        <sz val="9"/>
        <color rgb="FF1A1A18"/>
        <rFont val="Arial"/>
        <family val="2"/>
      </rPr>
      <t>CH</t>
    </r>
  </si>
  <si>
    <r>
      <rPr>
        <b/>
        <sz val="9"/>
        <color rgb="FF1A1A18"/>
        <rFont val="Arial"/>
        <family val="2"/>
      </rPr>
      <t>CY</t>
    </r>
  </si>
  <si>
    <r>
      <rPr>
        <b/>
        <sz val="9"/>
        <color rgb="FF1A1A18"/>
        <rFont val="Arial"/>
        <family val="2"/>
      </rPr>
      <t>CZ</t>
    </r>
  </si>
  <si>
    <r>
      <rPr>
        <b/>
        <sz val="9"/>
        <color rgb="FF1A1A18"/>
        <rFont val="Arial"/>
        <family val="2"/>
      </rPr>
      <t>DE</t>
    </r>
  </si>
  <si>
    <r>
      <rPr>
        <b/>
        <sz val="9"/>
        <color rgb="FF1A1A18"/>
        <rFont val="Arial"/>
        <family val="2"/>
      </rPr>
      <t>DK</t>
    </r>
  </si>
  <si>
    <r>
      <rPr>
        <b/>
        <sz val="9"/>
        <color rgb="FF1A1A18"/>
        <rFont val="Arial"/>
        <family val="2"/>
      </rPr>
      <t>EE</t>
    </r>
  </si>
  <si>
    <r>
      <rPr>
        <b/>
        <sz val="9"/>
        <color rgb="FF1A1A18"/>
        <rFont val="Arial"/>
        <family val="2"/>
      </rPr>
      <t>ES</t>
    </r>
  </si>
  <si>
    <r>
      <rPr>
        <b/>
        <sz val="9"/>
        <color rgb="FF1A1A18"/>
        <rFont val="Arial"/>
        <family val="2"/>
      </rPr>
      <t>FI</t>
    </r>
  </si>
  <si>
    <r>
      <rPr>
        <b/>
        <sz val="9"/>
        <color rgb="FF1A1A18"/>
        <rFont val="Arial"/>
        <family val="2"/>
      </rPr>
      <t>FR</t>
    </r>
  </si>
  <si>
    <r>
      <rPr>
        <b/>
        <sz val="9"/>
        <color rgb="FF1A1A18"/>
        <rFont val="Arial"/>
        <family val="2"/>
      </rPr>
      <t>GB</t>
    </r>
  </si>
  <si>
    <r>
      <rPr>
        <b/>
        <sz val="9"/>
        <color rgb="FF1A1A18"/>
        <rFont val="Arial"/>
        <family val="2"/>
      </rPr>
      <t>GR</t>
    </r>
  </si>
  <si>
    <r>
      <rPr>
        <b/>
        <sz val="9"/>
        <color rgb="FF1A1A18"/>
        <rFont val="Arial"/>
        <family val="2"/>
      </rPr>
      <t>HR</t>
    </r>
  </si>
  <si>
    <r>
      <rPr>
        <b/>
        <sz val="9"/>
        <color rgb="FF1A1A18"/>
        <rFont val="Arial"/>
        <family val="2"/>
      </rPr>
      <t>HU</t>
    </r>
  </si>
  <si>
    <r>
      <rPr>
        <b/>
        <sz val="9"/>
        <color rgb="FF1A1A18"/>
        <rFont val="Arial"/>
        <family val="2"/>
      </rPr>
      <t>IE</t>
    </r>
  </si>
  <si>
    <r>
      <rPr>
        <b/>
        <sz val="9"/>
        <color rgb="FF1A1A18"/>
        <rFont val="Arial"/>
        <family val="2"/>
      </rPr>
      <t>IS</t>
    </r>
  </si>
  <si>
    <r>
      <rPr>
        <b/>
        <sz val="9"/>
        <color rgb="FF1A1A18"/>
        <rFont val="Arial"/>
        <family val="2"/>
      </rPr>
      <t>IT</t>
    </r>
  </si>
  <si>
    <r>
      <rPr>
        <b/>
        <sz val="9"/>
        <color rgb="FF1A1A18"/>
        <rFont val="Arial"/>
        <family val="2"/>
      </rPr>
      <t>LT</t>
    </r>
  </si>
  <si>
    <r>
      <rPr>
        <b/>
        <sz val="9"/>
        <color rgb="FF1A1A18"/>
        <rFont val="Arial"/>
        <family val="2"/>
      </rPr>
      <t>LU</t>
    </r>
  </si>
  <si>
    <r>
      <rPr>
        <b/>
        <sz val="9"/>
        <color rgb="FF1A1A18"/>
        <rFont val="Arial"/>
        <family val="2"/>
      </rPr>
      <t>LV</t>
    </r>
  </si>
  <si>
    <r>
      <rPr>
        <b/>
        <sz val="9"/>
        <color rgb="FF1A1A18"/>
        <rFont val="Arial"/>
        <family val="2"/>
      </rPr>
      <t>ME</t>
    </r>
  </si>
  <si>
    <r>
      <rPr>
        <b/>
        <sz val="9"/>
        <color rgb="FF1A1A18"/>
        <rFont val="Arial"/>
        <family val="2"/>
      </rPr>
      <t>MK</t>
    </r>
  </si>
  <si>
    <r>
      <rPr>
        <b/>
        <sz val="9"/>
        <color rgb="FF1A1A18"/>
        <rFont val="Arial"/>
        <family val="2"/>
      </rPr>
      <t>NL</t>
    </r>
  </si>
  <si>
    <r>
      <rPr>
        <b/>
        <sz val="9"/>
        <color rgb="FF1A1A18"/>
        <rFont val="Arial"/>
        <family val="2"/>
      </rPr>
      <t>NO</t>
    </r>
  </si>
  <si>
    <r>
      <rPr>
        <b/>
        <sz val="9"/>
        <color rgb="FF1A1A18"/>
        <rFont val="Arial"/>
        <family val="2"/>
      </rPr>
      <t>PL</t>
    </r>
  </si>
  <si>
    <r>
      <rPr>
        <b/>
        <sz val="9"/>
        <color rgb="FF1A1A18"/>
        <rFont val="Arial"/>
        <family val="2"/>
      </rPr>
      <t>PT</t>
    </r>
  </si>
  <si>
    <r>
      <rPr>
        <b/>
        <sz val="9"/>
        <color rgb="FF1A1A18"/>
        <rFont val="Arial"/>
        <family val="2"/>
      </rPr>
      <t>RO</t>
    </r>
  </si>
  <si>
    <r>
      <rPr>
        <b/>
        <sz val="9"/>
        <color rgb="FF1A1A18"/>
        <rFont val="Arial"/>
        <family val="2"/>
      </rPr>
      <t>RS</t>
    </r>
  </si>
  <si>
    <r>
      <rPr>
        <b/>
        <sz val="9"/>
        <color rgb="FF1A1A18"/>
        <rFont val="Arial"/>
        <family val="2"/>
      </rPr>
      <t>SE</t>
    </r>
  </si>
  <si>
    <r>
      <rPr>
        <b/>
        <sz val="9"/>
        <color rgb="FF1A1A18"/>
        <rFont val="Arial"/>
        <family val="2"/>
      </rPr>
      <t>SI</t>
    </r>
  </si>
  <si>
    <r>
      <rPr>
        <b/>
        <sz val="9"/>
        <color rgb="FF1A1A18"/>
        <rFont val="Arial"/>
        <family val="2"/>
      </rPr>
      <t>SK</t>
    </r>
  </si>
  <si>
    <r>
      <rPr>
        <b/>
        <sz val="9"/>
        <color rgb="FF1A1A18"/>
        <rFont val="Arial"/>
        <family val="2"/>
      </rPr>
      <t>TR</t>
    </r>
  </si>
  <si>
    <t>ENTSO-E</t>
  </si>
  <si>
    <t>EU</t>
  </si>
  <si>
    <r>
      <rPr>
        <b/>
        <sz val="9"/>
        <color rgb="FF231F20"/>
        <rFont val="Arial"/>
        <family val="2"/>
      </rPr>
      <t>Country</t>
    </r>
  </si>
  <si>
    <r>
      <rPr>
        <b/>
        <sz val="9"/>
        <color rgb="FF231F20"/>
        <rFont val="Arial"/>
        <family val="2"/>
      </rPr>
      <t>TWh</t>
    </r>
  </si>
  <si>
    <r>
      <rPr>
        <sz val="9"/>
        <color rgb="FF231F20"/>
        <rFont val="Arial"/>
        <family val="2"/>
      </rPr>
      <t>TWh</t>
    </r>
  </si>
  <si>
    <r>
      <rPr>
        <b/>
        <sz val="9"/>
        <color rgb="FF231F20"/>
        <rFont val="Arial"/>
        <family val="2"/>
      </rPr>
      <t>AL</t>
    </r>
  </si>
  <si>
    <r>
      <rPr>
        <b/>
        <sz val="9"/>
        <color rgb="FF231F20"/>
        <rFont val="Arial"/>
        <family val="2"/>
      </rPr>
      <t>AT</t>
    </r>
  </si>
  <si>
    <r>
      <rPr>
        <b/>
        <sz val="9"/>
        <color rgb="FF231F20"/>
        <rFont val="Arial"/>
        <family val="2"/>
      </rPr>
      <t>BA</t>
    </r>
  </si>
  <si>
    <r>
      <rPr>
        <sz val="9"/>
        <color rgb="FF231F20"/>
        <rFont val="Arial"/>
        <family val="2"/>
      </rPr>
      <t>– 0.2</t>
    </r>
  </si>
  <si>
    <r>
      <rPr>
        <b/>
        <sz val="9"/>
        <color rgb="FF231F20"/>
        <rFont val="Arial"/>
        <family val="2"/>
      </rPr>
      <t>BE</t>
    </r>
  </si>
  <si>
    <r>
      <rPr>
        <b/>
        <sz val="9"/>
        <color rgb="FF231F20"/>
        <rFont val="Arial"/>
        <family val="2"/>
      </rPr>
      <t>BG</t>
    </r>
  </si>
  <si>
    <r>
      <rPr>
        <sz val="9"/>
        <color rgb="FF231F20"/>
        <rFont val="Arial"/>
        <family val="2"/>
      </rPr>
      <t>– 0.9</t>
    </r>
  </si>
  <si>
    <r>
      <rPr>
        <b/>
        <sz val="9"/>
        <color rgb="FF231F20"/>
        <rFont val="Arial"/>
        <family val="2"/>
      </rPr>
      <t>CH</t>
    </r>
  </si>
  <si>
    <r>
      <rPr>
        <sz val="9"/>
        <color rgb="FF231F20"/>
        <rFont val="Arial"/>
        <family val="2"/>
      </rPr>
      <t>– 1.7</t>
    </r>
  </si>
  <si>
    <r>
      <rPr>
        <b/>
        <sz val="9"/>
        <color rgb="FF231F20"/>
        <rFont val="Arial"/>
        <family val="2"/>
      </rPr>
      <t>CY</t>
    </r>
  </si>
  <si>
    <r>
      <rPr>
        <b/>
        <sz val="9"/>
        <color rgb="FF231F20"/>
        <rFont val="Arial"/>
        <family val="2"/>
      </rPr>
      <t>CZ</t>
    </r>
  </si>
  <si>
    <r>
      <rPr>
        <b/>
        <sz val="9"/>
        <color rgb="FF231F20"/>
        <rFont val="Arial"/>
        <family val="2"/>
      </rPr>
      <t>DE</t>
    </r>
  </si>
  <si>
    <r>
      <rPr>
        <sz val="9"/>
        <color rgb="FF231F20"/>
        <rFont val="Arial"/>
        <family val="2"/>
      </rPr>
      <t>– 0.1</t>
    </r>
  </si>
  <si>
    <r>
      <rPr>
        <b/>
        <sz val="9"/>
        <color rgb="FF231F20"/>
        <rFont val="Arial"/>
        <family val="2"/>
      </rPr>
      <t>DK</t>
    </r>
  </si>
  <si>
    <r>
      <rPr>
        <b/>
        <sz val="9"/>
        <color rgb="FF231F20"/>
        <rFont val="Arial"/>
        <family val="2"/>
      </rPr>
      <t>EE</t>
    </r>
  </si>
  <si>
    <r>
      <rPr>
        <b/>
        <sz val="9"/>
        <color rgb="FF231F20"/>
        <rFont val="Arial"/>
        <family val="2"/>
      </rPr>
      <t>ES</t>
    </r>
  </si>
  <si>
    <r>
      <rPr>
        <b/>
        <sz val="9"/>
        <color rgb="FF231F20"/>
        <rFont val="Arial"/>
        <family val="2"/>
      </rPr>
      <t>FI</t>
    </r>
  </si>
  <si>
    <r>
      <rPr>
        <b/>
        <sz val="9"/>
        <color rgb="FF231F20"/>
        <rFont val="Arial"/>
        <family val="2"/>
      </rPr>
      <t>FR</t>
    </r>
  </si>
  <si>
    <r>
      <rPr>
        <sz val="9"/>
        <color rgb="FF231F20"/>
        <rFont val="Arial"/>
        <family val="2"/>
      </rPr>
      <t>– 0.7</t>
    </r>
  </si>
  <si>
    <r>
      <rPr>
        <b/>
        <sz val="9"/>
        <color rgb="FF231F20"/>
        <rFont val="Arial"/>
        <family val="2"/>
      </rPr>
      <t>GB</t>
    </r>
  </si>
  <si>
    <r>
      <rPr>
        <sz val="9"/>
        <color rgb="FF231F20"/>
        <rFont val="Arial"/>
        <family val="2"/>
      </rPr>
      <t>– 6.4</t>
    </r>
  </si>
  <si>
    <r>
      <rPr>
        <b/>
        <sz val="9"/>
        <color rgb="FF231F20"/>
        <rFont val="Arial"/>
        <family val="2"/>
      </rPr>
      <t>GR</t>
    </r>
  </si>
  <si>
    <r>
      <rPr>
        <sz val="9"/>
        <color rgb="FF231F20"/>
        <rFont val="Arial"/>
        <family val="2"/>
      </rPr>
      <t>– 0.6</t>
    </r>
  </si>
  <si>
    <r>
      <rPr>
        <b/>
        <sz val="9"/>
        <color rgb="FF231F20"/>
        <rFont val="Arial"/>
        <family val="2"/>
      </rPr>
      <t>HR</t>
    </r>
  </si>
  <si>
    <r>
      <rPr>
        <b/>
        <sz val="9"/>
        <color rgb="FF231F20"/>
        <rFont val="Arial"/>
        <family val="2"/>
      </rPr>
      <t>HU</t>
    </r>
  </si>
  <si>
    <r>
      <rPr>
        <b/>
        <sz val="9"/>
        <color rgb="FF231F20"/>
        <rFont val="Arial"/>
        <family val="2"/>
      </rPr>
      <t>IE</t>
    </r>
  </si>
  <si>
    <r>
      <rPr>
        <b/>
        <sz val="9"/>
        <color rgb="FF231F20"/>
        <rFont val="Arial"/>
        <family val="2"/>
      </rPr>
      <t>IS</t>
    </r>
  </si>
  <si>
    <r>
      <rPr>
        <b/>
        <sz val="9"/>
        <color rgb="FF231F20"/>
        <rFont val="Arial"/>
        <family val="2"/>
      </rPr>
      <t>IT</t>
    </r>
  </si>
  <si>
    <r>
      <rPr>
        <b/>
        <sz val="9"/>
        <color rgb="FF231F20"/>
        <rFont val="Arial"/>
        <family val="2"/>
      </rPr>
      <t>LT</t>
    </r>
  </si>
  <si>
    <r>
      <rPr>
        <b/>
        <sz val="9"/>
        <color rgb="FF231F20"/>
        <rFont val="Arial"/>
        <family val="2"/>
      </rPr>
      <t>LU</t>
    </r>
  </si>
  <si>
    <r>
      <rPr>
        <sz val="9"/>
        <color rgb="FF231F20"/>
        <rFont val="Arial"/>
        <family val="2"/>
      </rPr>
      <t>– 2.1</t>
    </r>
  </si>
  <si>
    <r>
      <rPr>
        <b/>
        <sz val="9"/>
        <color rgb="FF231F20"/>
        <rFont val="Arial"/>
        <family val="2"/>
      </rPr>
      <t>LV</t>
    </r>
  </si>
  <si>
    <r>
      <rPr>
        <b/>
        <sz val="9"/>
        <color rgb="FF231F20"/>
        <rFont val="Arial"/>
        <family val="2"/>
      </rPr>
      <t>ME</t>
    </r>
  </si>
  <si>
    <r>
      <rPr>
        <b/>
        <sz val="9"/>
        <color rgb="FF231F20"/>
        <rFont val="Arial"/>
        <family val="2"/>
      </rPr>
      <t>MK</t>
    </r>
  </si>
  <si>
    <r>
      <rPr>
        <sz val="9"/>
        <color rgb="FF231F20"/>
        <rFont val="Arial"/>
        <family val="2"/>
      </rPr>
      <t>– 1.1</t>
    </r>
  </si>
  <si>
    <r>
      <rPr>
        <b/>
        <sz val="9"/>
        <color rgb="FF231F20"/>
        <rFont val="Arial"/>
        <family val="2"/>
      </rPr>
      <t>NL</t>
    </r>
  </si>
  <si>
    <r>
      <rPr>
        <b/>
        <sz val="9"/>
        <color rgb="FF231F20"/>
        <rFont val="Arial"/>
        <family val="2"/>
      </rPr>
      <t>NO</t>
    </r>
  </si>
  <si>
    <r>
      <rPr>
        <b/>
        <sz val="9"/>
        <color rgb="FF231F20"/>
        <rFont val="Arial"/>
        <family val="2"/>
      </rPr>
      <t>PL</t>
    </r>
  </si>
  <si>
    <r>
      <rPr>
        <b/>
        <sz val="9"/>
        <color rgb="FF231F20"/>
        <rFont val="Arial"/>
        <family val="2"/>
      </rPr>
      <t>PT</t>
    </r>
  </si>
  <si>
    <r>
      <rPr>
        <b/>
        <sz val="9"/>
        <color rgb="FF231F20"/>
        <rFont val="Arial"/>
        <family val="2"/>
      </rPr>
      <t>RO</t>
    </r>
  </si>
  <si>
    <r>
      <rPr>
        <b/>
        <sz val="9"/>
        <color rgb="FF231F20"/>
        <rFont val="Arial"/>
        <family val="2"/>
      </rPr>
      <t>RS</t>
    </r>
  </si>
  <si>
    <r>
      <rPr>
        <sz val="9"/>
        <color rgb="FF231F20"/>
        <rFont val="Arial"/>
        <family val="2"/>
      </rPr>
      <t>– 1.4</t>
    </r>
  </si>
  <si>
    <r>
      <rPr>
        <b/>
        <sz val="9"/>
        <color rgb="FF231F20"/>
        <rFont val="Arial"/>
        <family val="2"/>
      </rPr>
      <t>SE</t>
    </r>
  </si>
  <si>
    <r>
      <rPr>
        <b/>
        <sz val="9"/>
        <color rgb="FF231F20"/>
        <rFont val="Arial"/>
        <family val="2"/>
      </rPr>
      <t>SI</t>
    </r>
  </si>
  <si>
    <r>
      <rPr>
        <b/>
        <sz val="9"/>
        <color rgb="FF231F20"/>
        <rFont val="Arial"/>
        <family val="2"/>
      </rPr>
      <t>SK</t>
    </r>
  </si>
  <si>
    <r>
      <rPr>
        <sz val="9"/>
        <color rgb="FF231F20"/>
        <rFont val="Arial"/>
        <family val="2"/>
      </rPr>
      <t>– 0.3</t>
    </r>
  </si>
  <si>
    <r>
      <rPr>
        <b/>
        <sz val="9"/>
        <color rgb="FF231F20"/>
        <rFont val="Arial"/>
        <family val="2"/>
      </rPr>
      <t>TR</t>
    </r>
  </si>
  <si>
    <r>
      <rPr>
        <b/>
        <sz val="9"/>
        <color rgb="FF231F20"/>
        <rFont val="Arial"/>
        <family val="2"/>
      </rPr>
      <t>ENTSO-E</t>
    </r>
  </si>
  <si>
    <r>
      <rPr>
        <b/>
        <sz val="9"/>
        <color rgb="FF231F20"/>
        <rFont val="Arial"/>
        <family val="2"/>
      </rPr>
      <t>–</t>
    </r>
  </si>
  <si>
    <r>
      <rPr>
        <b/>
        <sz val="9"/>
        <color rgb="FF231F20"/>
        <rFont val="Arial"/>
        <family val="2"/>
      </rPr>
      <t xml:space="preserve">ENTSO-E   </t>
    </r>
    <r>
      <rPr>
        <vertAlign val="superscript"/>
        <sz val="9"/>
        <color rgb="FF231F20"/>
        <rFont val="Arial"/>
        <family val="2"/>
      </rPr>
      <t>*</t>
    </r>
  </si>
  <si>
    <r>
      <rPr>
        <b/>
        <sz val="9"/>
        <color rgb="FF231F20"/>
        <rFont val="Arial"/>
        <family val="2"/>
      </rPr>
      <t>EU</t>
    </r>
  </si>
  <si>
    <t>Total NGC</t>
  </si>
  <si>
    <r>
      <rPr>
        <b/>
        <sz val="9"/>
        <color rgb="FF1A1A18"/>
        <rFont val="Arial"/>
        <family val="2"/>
      </rPr>
      <t>Non renewable net generation</t>
    </r>
  </si>
  <si>
    <r>
      <rPr>
        <sz val="9"/>
        <color rgb="FF1A1A18"/>
        <rFont val="Arial"/>
        <family val="2"/>
      </rPr>
      <t>Nuclear</t>
    </r>
  </si>
  <si>
    <r>
      <rPr>
        <sz val="9"/>
        <color rgb="FF1A1A18"/>
        <rFont val="Arial"/>
        <family val="2"/>
      </rPr>
      <t>Fossil fuels</t>
    </r>
  </si>
  <si>
    <r>
      <rPr>
        <sz val="9"/>
        <color rgb="FF1A1A18"/>
        <rFont val="Arial"/>
        <family val="2"/>
      </rPr>
      <t>Hydro pure pumped storage</t>
    </r>
  </si>
  <si>
    <r>
      <rPr>
        <sz val="9"/>
        <color rgb="FF1A1A18"/>
        <rFont val="Arial"/>
        <family val="2"/>
      </rPr>
      <t>Hydro mixed pumped
part)</t>
    </r>
  </si>
  <si>
    <r>
      <rPr>
        <sz val="9"/>
        <color rgb="FF1A1A18"/>
        <rFont val="Arial"/>
        <family val="2"/>
      </rPr>
      <t>Waste
(non renewable part)</t>
    </r>
  </si>
  <si>
    <r>
      <rPr>
        <sz val="9"/>
        <color rgb="FF1A1A18"/>
        <rFont val="Arial"/>
        <family val="2"/>
      </rPr>
      <t>Other non-renewable</t>
    </r>
  </si>
  <si>
    <r>
      <rPr>
        <b/>
        <sz val="9"/>
        <color rgb="FF1A1A18"/>
        <rFont val="Arial"/>
        <family val="2"/>
      </rPr>
      <t>Renewable net generation</t>
    </r>
  </si>
  <si>
    <r>
      <rPr>
        <sz val="9"/>
        <color rgb="FF1A1A18"/>
        <rFont val="Arial"/>
        <family val="2"/>
      </rPr>
      <t>Wind offshore</t>
    </r>
  </si>
  <si>
    <r>
      <rPr>
        <sz val="9"/>
        <color rgb="FF1A1A18"/>
        <rFont val="Arial"/>
        <family val="2"/>
      </rPr>
      <t>Wind onshore</t>
    </r>
  </si>
  <si>
    <r>
      <rPr>
        <sz val="9"/>
        <color rgb="FF1A1A18"/>
        <rFont val="Arial"/>
        <family val="2"/>
      </rPr>
      <t>Solar PV</t>
    </r>
  </si>
  <si>
    <r>
      <rPr>
        <sz val="9"/>
        <color rgb="FF1A1A18"/>
        <rFont val="Arial"/>
        <family val="2"/>
      </rPr>
      <t>Solar Thermal</t>
    </r>
  </si>
  <si>
    <r>
      <rPr>
        <sz val="9"/>
        <color rgb="FF1A1A18"/>
        <rFont val="Arial"/>
        <family val="2"/>
      </rPr>
      <t>Biomass</t>
    </r>
  </si>
  <si>
    <r>
      <rPr>
        <sz val="9"/>
        <color rgb="FF1A1A18"/>
        <rFont val="Arial"/>
        <family val="2"/>
      </rPr>
      <t>Biogas</t>
    </r>
  </si>
  <si>
    <r>
      <rPr>
        <sz val="9"/>
        <color rgb="FF1A1A18"/>
        <rFont val="Arial"/>
        <family val="2"/>
      </rPr>
      <t>Geothermal</t>
    </r>
  </si>
  <si>
    <r>
      <rPr>
        <sz val="9"/>
        <color rgb="FF1A1A18"/>
        <rFont val="Arial"/>
        <family val="2"/>
      </rPr>
      <t>Renewable Waste</t>
    </r>
  </si>
  <si>
    <r>
      <rPr>
        <sz val="9"/>
        <color rgb="FF1A1A18"/>
        <rFont val="Arial"/>
        <family val="2"/>
      </rPr>
      <t>Hydro Pure storage</t>
    </r>
  </si>
  <si>
    <r>
      <rPr>
        <sz val="9"/>
        <color rgb="FF1A1A18"/>
        <rFont val="Arial"/>
        <family val="2"/>
      </rPr>
      <t>Hydro Run-of-river and pondage</t>
    </r>
  </si>
  <si>
    <r>
      <rPr>
        <sz val="9"/>
        <color rgb="FF1A1A18"/>
        <rFont val="Arial"/>
        <family val="2"/>
      </rPr>
      <t>Hydro mixed pumped storage (renewable part)</t>
    </r>
  </si>
  <si>
    <r>
      <rPr>
        <sz val="9"/>
        <color rgb="FF1A1A18"/>
        <rFont val="Arial"/>
        <family val="2"/>
      </rPr>
      <t>Hydro Marine (tidal/wave)</t>
    </r>
  </si>
  <si>
    <r>
      <rPr>
        <sz val="9"/>
        <color rgb="FF1A1A18"/>
        <rFont val="Arial"/>
        <family val="2"/>
      </rPr>
      <t>Other renewable</t>
    </r>
  </si>
  <si>
    <r>
      <rPr>
        <sz val="9"/>
        <color rgb="FFFFFFFF"/>
        <rFont val="Arial"/>
        <family val="2"/>
      </rPr>
      <t>Not identified</t>
    </r>
  </si>
  <si>
    <r>
      <rPr>
        <b/>
        <sz val="9"/>
        <color rgb="FF231F20"/>
        <rFont val="Arial"/>
        <family val="2"/>
      </rPr>
      <t>MW</t>
    </r>
  </si>
  <si>
    <r>
      <rPr>
        <sz val="9"/>
        <color rgb="FF231F20"/>
        <rFont val="Arial"/>
        <family val="2"/>
      </rPr>
      <t>MW</t>
    </r>
  </si>
  <si>
    <r>
      <rPr>
        <b/>
        <sz val="9"/>
        <color rgb="FF1A1A18"/>
        <rFont val="Arial"/>
        <family val="2"/>
      </rPr>
      <t>MW</t>
    </r>
  </si>
  <si>
    <r>
      <rPr>
        <sz val="9"/>
        <color rgb="FF1A1A18"/>
        <rFont val="Arial"/>
        <family val="2"/>
      </rPr>
      <t>MW</t>
    </r>
  </si>
  <si>
    <t>Net Generation Capacity [MW]</t>
  </si>
  <si>
    <t>Thermal nuclear</t>
  </si>
  <si>
    <t>Lignite</t>
  </si>
  <si>
    <t>Hard coal</t>
  </si>
  <si>
    <t>Oil</t>
  </si>
  <si>
    <t>Mixed fuels</t>
  </si>
  <si>
    <t>Other fossil fuels</t>
  </si>
  <si>
    <t>Renewables</t>
  </si>
  <si>
    <t>Wind</t>
  </si>
  <si>
    <t>Solar</t>
  </si>
  <si>
    <t>Other Renewable</t>
  </si>
  <si>
    <t>Renewable Hydro</t>
  </si>
  <si>
    <t>Other Hydro</t>
  </si>
  <si>
    <t>Other sources</t>
  </si>
  <si>
    <t>Total</t>
  </si>
  <si>
    <t>Representativity of the values</t>
  </si>
  <si>
    <r>
      <rPr>
        <b/>
        <sz val="9"/>
        <color rgb="FF231F20"/>
        <rFont val="Arial"/>
        <family val="2"/>
      </rPr>
      <t>NI</t>
    </r>
  </si>
  <si>
    <r>
      <rPr>
        <vertAlign val="superscript"/>
        <sz val="9"/>
        <color rgb="FF231F20"/>
        <rFont val="Arial"/>
        <family val="2"/>
      </rPr>
      <t xml:space="preserve">ENTSO-E Transmission network losses percentage consumption: 1.65 </t>
    </r>
  </si>
  <si>
    <r>
      <rPr>
        <b/>
        <sz val="9"/>
        <color rgb="FF231F20"/>
        <rFont val="Arial"/>
        <family val="2"/>
      </rPr>
      <t>Net generation 2015</t>
    </r>
    <r>
      <rPr>
        <b/>
        <vertAlign val="superscript"/>
        <sz val="9"/>
        <color rgb="FF231F20"/>
        <rFont val="Arial"/>
        <family val="2"/>
      </rPr>
      <t xml:space="preserve">1                                                                                                                                                                             </t>
    </r>
    <r>
      <rPr>
        <b/>
        <sz val="9"/>
        <color rgb="FF231F20"/>
        <rFont val="Arial"/>
        <family val="2"/>
      </rPr>
      <t xml:space="preserve">Consumption </t>
    </r>
    <r>
      <rPr>
        <b/>
        <vertAlign val="superscript"/>
        <sz val="9"/>
        <color rgb="FF231F20"/>
        <rFont val="Arial"/>
        <family val="2"/>
      </rPr>
      <t xml:space="preserve">1                                                                                                                                                                           </t>
    </r>
    <r>
      <rPr>
        <b/>
        <sz val="9"/>
        <color rgb="FF231F20"/>
        <rFont val="Arial"/>
        <family val="2"/>
      </rPr>
      <t xml:space="preserve">Net generating capacity (NGC) as of 31 Dec. 2015 </t>
    </r>
    <r>
      <rPr>
        <b/>
        <vertAlign val="superscript"/>
        <sz val="9"/>
        <color rgb="FF231F20"/>
        <rFont val="Arial"/>
        <family val="2"/>
      </rPr>
      <t>2</t>
    </r>
  </si>
  <si>
    <t>Net Generaton [MWh]</t>
  </si>
  <si>
    <r>
      <rPr>
        <b/>
        <sz val="9"/>
        <color rgb="FF231F20"/>
        <rFont val="Arial"/>
        <family val="2"/>
      </rPr>
      <t>Net generation 2014</t>
    </r>
    <r>
      <rPr>
        <b/>
        <vertAlign val="superscript"/>
        <sz val="9"/>
        <color rgb="FF231F20"/>
        <rFont val="Arial"/>
        <family val="2"/>
      </rPr>
      <t>1</t>
    </r>
  </si>
  <si>
    <r>
      <rPr>
        <b/>
        <sz val="9"/>
        <color rgb="FF231F20"/>
        <rFont val="Arial"/>
        <family val="2"/>
      </rPr>
      <t xml:space="preserve">Consumption </t>
    </r>
    <r>
      <rPr>
        <b/>
        <vertAlign val="superscript"/>
        <sz val="9"/>
        <color rgb="FF231F20"/>
        <rFont val="Arial"/>
        <family val="2"/>
      </rPr>
      <t>1</t>
    </r>
  </si>
  <si>
    <r>
      <rPr>
        <b/>
        <sz val="9"/>
        <color rgb="FF231F20"/>
        <rFont val="Arial"/>
        <family val="2"/>
      </rPr>
      <t>Thermal nuclear</t>
    </r>
  </si>
  <si>
    <r>
      <rPr>
        <b/>
        <sz val="9"/>
        <color rgb="FF231F20"/>
        <rFont val="Arial"/>
        <family val="2"/>
      </rPr>
      <t>Fossil fuels</t>
    </r>
  </si>
  <si>
    <r>
      <rPr>
        <sz val="9"/>
        <color rgb="FF231F20"/>
        <rFont val="Arial"/>
        <family val="2"/>
      </rPr>
      <t>– of which lignite</t>
    </r>
  </si>
  <si>
    <r>
      <rPr>
        <sz val="9"/>
        <color rgb="FF231F20"/>
        <rFont val="Arial"/>
        <family val="2"/>
      </rPr>
      <t>– of which hard coal</t>
    </r>
  </si>
  <si>
    <r>
      <rPr>
        <sz val="9"/>
        <color rgb="FF231F20"/>
        <rFont val="Arial"/>
        <family val="2"/>
      </rPr>
      <t>– of which gas</t>
    </r>
  </si>
  <si>
    <r>
      <rPr>
        <sz val="9"/>
        <color rgb="FF231F20"/>
        <rFont val="Arial"/>
        <family val="2"/>
      </rPr>
      <t>– of which oil</t>
    </r>
  </si>
  <si>
    <r>
      <rPr>
        <sz val="9"/>
        <color rgb="FF231F20"/>
        <rFont val="Arial"/>
        <family val="2"/>
      </rPr>
      <t>– of which mixed fuels</t>
    </r>
  </si>
  <si>
    <r>
      <rPr>
        <b/>
        <sz val="9"/>
        <color rgb="FF231F20"/>
        <rFont val="Arial"/>
        <family val="2"/>
      </rPr>
      <t>Renewable</t>
    </r>
  </si>
  <si>
    <r>
      <rPr>
        <sz val="9"/>
        <color rgb="FF231F20"/>
        <rFont val="Arial"/>
        <family val="2"/>
      </rPr>
      <t>– of which wind</t>
    </r>
  </si>
  <si>
    <r>
      <rPr>
        <sz val="9"/>
        <color rgb="FF231F20"/>
        <rFont val="Arial"/>
        <family val="2"/>
      </rPr>
      <t>– of which solar</t>
    </r>
  </si>
  <si>
    <r>
      <rPr>
        <sz val="9"/>
        <color rgb="FF231F20"/>
        <rFont val="Arial"/>
        <family val="2"/>
      </rPr>
      <t>– of which biomass</t>
    </r>
  </si>
  <si>
    <r>
      <rPr>
        <b/>
        <sz val="9"/>
        <color rgb="FF231F20"/>
        <rFont val="Arial"/>
        <family val="2"/>
      </rPr>
      <t>Hydraulic</t>
    </r>
  </si>
  <si>
    <r>
      <rPr>
        <sz val="9"/>
        <color rgb="FF231F20"/>
        <rFont val="Arial"/>
        <family val="2"/>
      </rPr>
      <t>– of which renewable</t>
    </r>
  </si>
  <si>
    <r>
      <rPr>
        <b/>
        <sz val="9"/>
        <color rgb="FF231F20"/>
        <rFont val="Arial"/>
        <family val="2"/>
      </rPr>
      <t>Other sources</t>
    </r>
  </si>
  <si>
    <r>
      <rPr>
        <b/>
        <sz val="9"/>
        <color rgb="FF231F20"/>
        <rFont val="Arial"/>
        <family val="2"/>
      </rPr>
      <t>Total</t>
    </r>
  </si>
  <si>
    <r>
      <rPr>
        <b/>
        <sz val="9"/>
        <color rgb="FF231F20"/>
        <rFont val="Arial"/>
        <family val="2"/>
      </rPr>
      <t>Variation (compared with 2013)</t>
    </r>
  </si>
  <si>
    <r>
      <rPr>
        <b/>
        <sz val="9"/>
        <color rgb="FF231F20"/>
        <rFont val="Arial"/>
        <family val="2"/>
      </rPr>
      <t>Net generating capacity as of 31 Dec. 2014</t>
    </r>
  </si>
  <si>
    <r>
      <rPr>
        <b/>
        <sz val="9"/>
        <color rgb="FF231F20"/>
        <rFont val="Arial"/>
        <family val="2"/>
      </rPr>
      <t>NGC Nuclear</t>
    </r>
  </si>
  <si>
    <r>
      <rPr>
        <b/>
        <sz val="9"/>
        <color rgb="FF231F20"/>
        <rFont val="Arial"/>
        <family val="2"/>
      </rPr>
      <t>NGC Fossil fuels</t>
    </r>
  </si>
  <si>
    <r>
      <rPr>
        <b/>
        <sz val="9"/>
        <color rgb="FF231F20"/>
        <rFont val="Arial"/>
        <family val="2"/>
      </rPr>
      <t>NGC Renewable</t>
    </r>
  </si>
  <si>
    <r>
      <rPr>
        <b/>
        <sz val="9"/>
        <color rgb="FF231F20"/>
        <rFont val="Arial"/>
        <family val="2"/>
      </rPr>
      <t>NGC Hydraulic</t>
    </r>
  </si>
  <si>
    <r>
      <rPr>
        <b/>
        <sz val="9"/>
        <color rgb="FF231F20"/>
        <rFont val="Arial"/>
        <family val="2"/>
      </rPr>
      <t>NGC Other sources</t>
    </r>
  </si>
  <si>
    <r>
      <rPr>
        <b/>
        <sz val="9"/>
        <color rgb="FF231F20"/>
        <rFont val="Arial"/>
        <family val="2"/>
      </rPr>
      <t>NGC Total</t>
    </r>
  </si>
  <si>
    <r>
      <rPr>
        <b/>
        <sz val="9"/>
        <color rgb="FF231F20"/>
        <rFont val="Arial"/>
        <family val="2"/>
      </rPr>
      <t>Representativity of the values</t>
    </r>
  </si>
  <si>
    <t>Übereinstimmung</t>
  </si>
  <si>
    <t>Unit</t>
  </si>
  <si>
    <t>Other RES</t>
  </si>
  <si>
    <t>Total soll (Entso)</t>
  </si>
  <si>
    <t>Total (berechnet)</t>
  </si>
  <si>
    <t>Bioenergy</t>
  </si>
  <si>
    <t xml:space="preserve"> of which lignite</t>
  </si>
  <si>
    <t xml:space="preserve"> of which hard coal</t>
  </si>
  <si>
    <t xml:space="preserve"> of which gas</t>
  </si>
  <si>
    <t xml:space="preserve"> of which oil</t>
  </si>
  <si>
    <t xml:space="preserve"> of which mixed fuels</t>
  </si>
  <si>
    <t>wohfich other fossil fuels</t>
  </si>
  <si>
    <t xml:space="preserve"> of which wind</t>
  </si>
  <si>
    <t xml:space="preserve"> of which solar</t>
  </si>
  <si>
    <t xml:space="preserve"> of which biomass</t>
  </si>
  <si>
    <t>wohfich other renewable</t>
  </si>
  <si>
    <t xml:space="preserve"> of which renewable</t>
  </si>
  <si>
    <t xml:space="preserve"> of which other hydro</t>
  </si>
  <si>
    <t>Zeilenbeschriftungen</t>
  </si>
  <si>
    <t>Gesamtergebnis</t>
  </si>
  <si>
    <t>Spaltenbeschriftungen</t>
  </si>
  <si>
    <t>Others</t>
  </si>
  <si>
    <r>
      <rPr>
        <b/>
        <sz val="6.5"/>
        <color rgb="FF231F20"/>
        <rFont val="Verdana"/>
        <family val="2"/>
      </rPr>
      <t xml:space="preserve">Highest load
</t>
    </r>
    <r>
      <rPr>
        <b/>
        <sz val="6.5"/>
        <color rgb="FF231F20"/>
        <rFont val="Verdana"/>
        <family val="2"/>
      </rPr>
      <t>Date         Time</t>
    </r>
    <r>
      <rPr>
        <vertAlign val="superscript"/>
        <sz val="3.5"/>
        <color rgb="FF231F20"/>
        <rFont val="Times New Roman"/>
        <family val="1"/>
      </rPr>
      <t>2</t>
    </r>
  </si>
  <si>
    <t>Highest Load in 2018</t>
  </si>
  <si>
    <r>
      <rPr>
        <b/>
        <sz val="6.5"/>
        <color rgb="FF231F20"/>
        <rFont val="Verdana"/>
        <family val="2"/>
      </rPr>
      <t>Lo Date</t>
    </r>
  </si>
  <si>
    <r>
      <rPr>
        <b/>
        <sz val="6.5"/>
        <color rgb="FF231F20"/>
        <rFont val="Verdana"/>
        <family val="2"/>
      </rPr>
      <t xml:space="preserve">west load
</t>
    </r>
    <r>
      <rPr>
        <b/>
        <sz val="6.5"/>
        <color rgb="FF231F20"/>
        <rFont val="Verdana"/>
        <family val="2"/>
      </rPr>
      <t>Time</t>
    </r>
    <r>
      <rPr>
        <vertAlign val="superscript"/>
        <sz val="3.5"/>
        <color rgb="FF231F20"/>
        <rFont val="Times New Roman"/>
        <family val="1"/>
      </rPr>
      <t>2</t>
    </r>
  </si>
  <si>
    <t>Lowest Load in 201</t>
  </si>
  <si>
    <r>
      <rPr>
        <b/>
        <sz val="6.5"/>
        <color rgb="FF231F20"/>
        <rFont val="Arial"/>
        <family val="2"/>
      </rPr>
      <t>AL</t>
    </r>
  </si>
  <si>
    <r>
      <rPr>
        <sz val="6.5"/>
        <color rgb="FF231F20"/>
        <rFont val="Verdana"/>
        <family val="2"/>
      </rPr>
      <t>17:00 – 18:00</t>
    </r>
  </si>
  <si>
    <r>
      <rPr>
        <sz val="6.5"/>
        <color rgb="FF231F20"/>
        <rFont val="Verdana"/>
        <family val="2"/>
      </rPr>
      <t>03:00 – 04:00</t>
    </r>
  </si>
  <si>
    <r>
      <rPr>
        <b/>
        <sz val="6.5"/>
        <color rgb="FF231F20"/>
        <rFont val="Arial"/>
        <family val="2"/>
      </rPr>
      <t>AT</t>
    </r>
  </si>
  <si>
    <r>
      <rPr>
        <sz val="6.5"/>
        <color rgb="FF231F20"/>
        <rFont val="Verdana"/>
        <family val="2"/>
      </rPr>
      <t>16:00 – 17:00</t>
    </r>
  </si>
  <si>
    <r>
      <rPr>
        <sz val="6.5"/>
        <color rgb="FF231F20"/>
        <rFont val="Verdana"/>
        <family val="2"/>
      </rPr>
      <t>04:00 – 05:00</t>
    </r>
  </si>
  <si>
    <r>
      <rPr>
        <b/>
        <sz val="6.5"/>
        <color rgb="FF231F20"/>
        <rFont val="Arial"/>
        <family val="2"/>
      </rPr>
      <t>BA</t>
    </r>
  </si>
  <si>
    <r>
      <rPr>
        <sz val="6.5"/>
        <color rgb="FF231F20"/>
        <rFont val="Verdana"/>
        <family val="2"/>
      </rPr>
      <t>18:00 – 19:00</t>
    </r>
  </si>
  <si>
    <r>
      <rPr>
        <b/>
        <sz val="6.5"/>
        <color rgb="FF231F20"/>
        <rFont val="Arial"/>
        <family val="2"/>
      </rPr>
      <t>BE</t>
    </r>
  </si>
  <si>
    <r>
      <rPr>
        <sz val="6.5"/>
        <color rgb="FF231F20"/>
        <rFont val="Verdana"/>
        <family val="2"/>
      </rPr>
      <t>14:00 – 15:00</t>
    </r>
  </si>
  <si>
    <r>
      <rPr>
        <b/>
        <sz val="6.5"/>
        <color rgb="FF231F20"/>
        <rFont val="Arial"/>
        <family val="2"/>
      </rPr>
      <t>BG</t>
    </r>
  </si>
  <si>
    <r>
      <rPr>
        <sz val="6.5"/>
        <color rgb="FF231F20"/>
        <rFont val="Verdana"/>
        <family val="2"/>
      </rPr>
      <t>02:00 – 03:00</t>
    </r>
  </si>
  <si>
    <r>
      <rPr>
        <b/>
        <sz val="6.5"/>
        <color rgb="FF231F20"/>
        <rFont val="Arial"/>
        <family val="2"/>
      </rPr>
      <t>CH</t>
    </r>
  </si>
  <si>
    <r>
      <rPr>
        <sz val="6.5"/>
        <color rgb="FF231F20"/>
        <rFont val="Verdana"/>
        <family val="2"/>
      </rPr>
      <t>10:00 – 11:00</t>
    </r>
  </si>
  <si>
    <r>
      <rPr>
        <sz val="6.5"/>
        <color rgb="FF231F20"/>
        <rFont val="Verdana"/>
        <family val="2"/>
      </rPr>
      <t>06:00 – 07:00</t>
    </r>
  </si>
  <si>
    <r>
      <rPr>
        <b/>
        <sz val="6.5"/>
        <color rgb="FF231F20"/>
        <rFont val="Arial"/>
        <family val="2"/>
      </rPr>
      <t>CY</t>
    </r>
  </si>
  <si>
    <r>
      <rPr>
        <sz val="6.5"/>
        <color rgb="FF231F20"/>
        <rFont val="Verdana"/>
        <family val="2"/>
      </rPr>
      <t>15:00 – 16:00</t>
    </r>
  </si>
  <si>
    <r>
      <rPr>
        <b/>
        <sz val="6.5"/>
        <color rgb="FF231F20"/>
        <rFont val="Arial"/>
        <family val="2"/>
      </rPr>
      <t>CZ</t>
    </r>
  </si>
  <si>
    <r>
      <rPr>
        <sz val="6.5"/>
        <color rgb="FF231F20"/>
        <rFont val="Verdana"/>
        <family val="2"/>
      </rPr>
      <t>09:00 – 10:00</t>
    </r>
  </si>
  <si>
    <r>
      <rPr>
        <sz val="6.5"/>
        <color rgb="FF231F20"/>
        <rFont val="Verdana"/>
        <family val="2"/>
      </rPr>
      <t>05:00 – 06:00</t>
    </r>
  </si>
  <si>
    <r>
      <rPr>
        <b/>
        <sz val="6.5"/>
        <color rgb="FF231F20"/>
        <rFont val="Arial"/>
        <family val="2"/>
      </rPr>
      <t>DE</t>
    </r>
  </si>
  <si>
    <r>
      <rPr>
        <sz val="6.5"/>
        <color rgb="FF231F20"/>
        <rFont val="Verdana"/>
        <family val="2"/>
      </rPr>
      <t>19:00 – 20:00</t>
    </r>
  </si>
  <si>
    <r>
      <rPr>
        <b/>
        <sz val="6.5"/>
        <color rgb="FF231F20"/>
        <rFont val="Arial"/>
        <family val="2"/>
      </rPr>
      <t>DK</t>
    </r>
  </si>
  <si>
    <r>
      <rPr>
        <b/>
        <sz val="6.5"/>
        <color rgb="FF231F20"/>
        <rFont val="Arial"/>
        <family val="2"/>
      </rPr>
      <t>EE</t>
    </r>
  </si>
  <si>
    <r>
      <rPr>
        <sz val="6.5"/>
        <color rgb="FF231F20"/>
        <rFont val="Verdana"/>
        <family val="2"/>
      </rPr>
      <t>08:00 – 09:00</t>
    </r>
  </si>
  <si>
    <r>
      <rPr>
        <b/>
        <sz val="6.5"/>
        <color rgb="FF231F20"/>
        <rFont val="Arial"/>
        <family val="2"/>
      </rPr>
      <t>ES</t>
    </r>
  </si>
  <si>
    <r>
      <rPr>
        <sz val="6.5"/>
        <color rgb="FF231F20"/>
        <rFont val="Verdana"/>
        <family val="2"/>
      </rPr>
      <t>20:00 – 21:00</t>
    </r>
  </si>
  <si>
    <r>
      <rPr>
        <b/>
        <sz val="6.5"/>
        <color rgb="FF231F20"/>
        <rFont val="Arial"/>
        <family val="2"/>
      </rPr>
      <t>FI</t>
    </r>
  </si>
  <si>
    <r>
      <rPr>
        <b/>
        <sz val="6.5"/>
        <color rgb="FF231F20"/>
        <rFont val="Arial"/>
        <family val="2"/>
      </rPr>
      <t>FR</t>
    </r>
  </si>
  <si>
    <r>
      <rPr>
        <b/>
        <sz val="6.5"/>
        <color rgb="FF231F20"/>
        <rFont val="Arial"/>
        <family val="2"/>
      </rPr>
      <t>GR</t>
    </r>
  </si>
  <si>
    <r>
      <rPr>
        <sz val="6.5"/>
        <color rgb="FF231F20"/>
        <rFont val="Verdana"/>
        <family val="2"/>
      </rPr>
      <t>12:00 – 13:00</t>
    </r>
  </si>
  <si>
    <r>
      <rPr>
        <b/>
        <sz val="6.5"/>
        <color rgb="FF231F20"/>
        <rFont val="Arial"/>
        <family val="2"/>
      </rPr>
      <t>HR</t>
    </r>
  </si>
  <si>
    <r>
      <rPr>
        <b/>
        <sz val="6.5"/>
        <color rgb="FF231F20"/>
        <rFont val="Arial"/>
        <family val="2"/>
      </rPr>
      <t>HU</t>
    </r>
  </si>
  <si>
    <r>
      <rPr>
        <sz val="6.5"/>
        <color rgb="FF231F20"/>
        <rFont val="Verdana"/>
        <family val="2"/>
      </rPr>
      <t>11:00 – 12:00</t>
    </r>
  </si>
  <si>
    <r>
      <rPr>
        <b/>
        <sz val="6.5"/>
        <color rgb="FF231F20"/>
        <rFont val="Arial"/>
        <family val="2"/>
      </rPr>
      <t>IE</t>
    </r>
  </si>
  <si>
    <r>
      <rPr>
        <b/>
        <sz val="6.5"/>
        <color rgb="FF231F20"/>
        <rFont val="Arial"/>
        <family val="2"/>
      </rPr>
      <t>IS</t>
    </r>
  </si>
  <si>
    <r>
      <rPr>
        <b/>
        <sz val="6.5"/>
        <color rgb="FF231F20"/>
        <rFont val="Arial"/>
        <family val="2"/>
      </rPr>
      <t>IT</t>
    </r>
  </si>
  <si>
    <r>
      <rPr>
        <b/>
        <sz val="6.5"/>
        <color rgb="FF231F20"/>
        <rFont val="Arial"/>
        <family val="2"/>
      </rPr>
      <t>LT</t>
    </r>
  </si>
  <si>
    <r>
      <rPr>
        <b/>
        <sz val="6.5"/>
        <color rgb="FF231F20"/>
        <rFont val="Arial"/>
        <family val="2"/>
      </rPr>
      <t>LU</t>
    </r>
  </si>
  <si>
    <r>
      <rPr>
        <b/>
        <sz val="6.5"/>
        <color rgb="FF231F20"/>
        <rFont val="Arial"/>
        <family val="2"/>
      </rPr>
      <t>LV</t>
    </r>
  </si>
  <si>
    <r>
      <rPr>
        <b/>
        <sz val="6.5"/>
        <color rgb="FF231F20"/>
        <rFont val="Arial"/>
        <family val="2"/>
      </rPr>
      <t>ME</t>
    </r>
  </si>
  <si>
    <r>
      <rPr>
        <b/>
        <sz val="6.5"/>
        <color rgb="FF231F20"/>
        <rFont val="Arial"/>
        <family val="2"/>
      </rPr>
      <t>MK</t>
    </r>
  </si>
  <si>
    <r>
      <rPr>
        <b/>
        <sz val="6.5"/>
        <color rgb="FF231F20"/>
        <rFont val="Arial"/>
        <family val="2"/>
      </rPr>
      <t>NL</t>
    </r>
  </si>
  <si>
    <r>
      <rPr>
        <b/>
        <sz val="6.5"/>
        <color rgb="FF231F20"/>
        <rFont val="Arial"/>
        <family val="2"/>
      </rPr>
      <t>NO</t>
    </r>
  </si>
  <si>
    <r>
      <rPr>
        <b/>
        <sz val="6.5"/>
        <color rgb="FF231F20"/>
        <rFont val="Arial"/>
        <family val="2"/>
      </rPr>
      <t>PL</t>
    </r>
  </si>
  <si>
    <r>
      <rPr>
        <b/>
        <sz val="6.5"/>
        <color rgb="FF231F20"/>
        <rFont val="Arial"/>
        <family val="2"/>
      </rPr>
      <t>PT</t>
    </r>
  </si>
  <si>
    <r>
      <rPr>
        <b/>
        <sz val="6.5"/>
        <color rgb="FF231F20"/>
        <rFont val="Arial"/>
        <family val="2"/>
      </rPr>
      <t>RO</t>
    </r>
  </si>
  <si>
    <r>
      <rPr>
        <sz val="6.5"/>
        <color rgb="FF231F20"/>
        <rFont val="Verdana"/>
        <family val="2"/>
      </rPr>
      <t>13:00 – 14:00</t>
    </r>
  </si>
  <si>
    <r>
      <rPr>
        <b/>
        <sz val="6.5"/>
        <color rgb="FF231F20"/>
        <rFont val="Arial"/>
        <family val="2"/>
      </rPr>
      <t>RS</t>
    </r>
  </si>
  <si>
    <r>
      <rPr>
        <b/>
        <sz val="6.5"/>
        <color rgb="FF231F20"/>
        <rFont val="Arial"/>
        <family val="2"/>
      </rPr>
      <t>SE</t>
    </r>
  </si>
  <si>
    <r>
      <rPr>
        <b/>
        <sz val="6.5"/>
        <color rgb="FF231F20"/>
        <rFont val="Arial"/>
        <family val="2"/>
      </rPr>
      <t>SI</t>
    </r>
  </si>
  <si>
    <r>
      <rPr>
        <b/>
        <sz val="6.5"/>
        <color rgb="FF231F20"/>
        <rFont val="Arial"/>
        <family val="2"/>
      </rPr>
      <t>SK</t>
    </r>
  </si>
  <si>
    <r>
      <rPr>
        <b/>
        <sz val="6.5"/>
        <color rgb="FF231F20"/>
        <rFont val="Arial"/>
        <family val="2"/>
      </rPr>
      <t>TR</t>
    </r>
  </si>
  <si>
    <r>
      <rPr>
        <b/>
        <sz val="6.5"/>
        <color rgb="FF231F20"/>
        <rFont val="Verdana"/>
        <family val="2"/>
      </rPr>
      <t>28.O2.2O18</t>
    </r>
  </si>
  <si>
    <r>
      <rPr>
        <b/>
        <sz val="6.5"/>
        <color rgb="FF231F20"/>
        <rFont val="Verdana"/>
        <family val="2"/>
      </rPr>
      <t>18:OO – 19:OO</t>
    </r>
  </si>
  <si>
    <r>
      <rPr>
        <b/>
        <sz val="6.5"/>
        <color rgb="FF231F20"/>
        <rFont val="Verdana"/>
        <family val="2"/>
      </rPr>
      <t>17.O6.2O18</t>
    </r>
  </si>
  <si>
    <r>
      <rPr>
        <b/>
        <sz val="6.5"/>
        <color rgb="FF231F20"/>
        <rFont val="Verdana"/>
        <family val="2"/>
      </rPr>
      <t>O5:OO – O6:OO</t>
    </r>
  </si>
  <si>
    <r>
      <rPr>
        <b/>
        <sz val="6.5"/>
        <color rgb="FF1A1A18"/>
        <rFont val="Arial"/>
        <family val="2"/>
      </rPr>
      <t xml:space="preserve">Highest load
</t>
    </r>
    <r>
      <rPr>
        <b/>
        <sz val="6.5"/>
        <color rgb="FF1A1A18"/>
        <rFont val="Arial"/>
        <family val="2"/>
      </rPr>
      <t>Date          Time</t>
    </r>
    <r>
      <rPr>
        <vertAlign val="superscript"/>
        <sz val="3.5"/>
        <color rgb="FF1A1A18"/>
        <rFont val="Arial"/>
        <family val="2"/>
      </rPr>
      <t>2</t>
    </r>
  </si>
  <si>
    <r>
      <rPr>
        <b/>
        <sz val="6.5"/>
        <color rgb="FF1A1A18"/>
        <rFont val="Arial"/>
        <family val="2"/>
      </rPr>
      <t xml:space="preserve">value </t>
    </r>
    <r>
      <rPr>
        <b/>
        <vertAlign val="superscript"/>
        <sz val="6.5"/>
        <color rgb="FF1A1A18"/>
        <rFont val="Arial"/>
        <family val="2"/>
      </rPr>
      <t>(</t>
    </r>
    <r>
      <rPr>
        <b/>
        <sz val="6.5"/>
        <color rgb="FF1A1A18"/>
        <rFont val="Arial"/>
        <family val="2"/>
      </rPr>
      <t>in MW</t>
    </r>
    <r>
      <rPr>
        <b/>
        <vertAlign val="superscript"/>
        <sz val="6.5"/>
        <color rgb="FF1A1A18"/>
        <rFont val="Arial"/>
        <family val="2"/>
      </rPr>
      <t>)</t>
    </r>
  </si>
  <si>
    <r>
      <rPr>
        <b/>
        <sz val="6.5"/>
        <color rgb="FF1A1A18"/>
        <rFont val="Arial"/>
        <family val="2"/>
      </rPr>
      <t>Low Date</t>
    </r>
  </si>
  <si>
    <r>
      <rPr>
        <b/>
        <sz val="6.5"/>
        <color rgb="FF1A1A18"/>
        <rFont val="Arial"/>
        <family val="2"/>
      </rPr>
      <t xml:space="preserve">est load
</t>
    </r>
    <r>
      <rPr>
        <b/>
        <sz val="6.5"/>
        <color rgb="FF1A1A18"/>
        <rFont val="Arial"/>
        <family val="2"/>
      </rPr>
      <t>Time</t>
    </r>
    <r>
      <rPr>
        <vertAlign val="superscript"/>
        <sz val="3.5"/>
        <color rgb="FF1A1A18"/>
        <rFont val="Arial"/>
        <family val="2"/>
      </rPr>
      <t>2</t>
    </r>
  </si>
  <si>
    <r>
      <rPr>
        <b/>
        <sz val="6.5"/>
        <color rgb="FF1A1A18"/>
        <rFont val="Arial"/>
        <family val="2"/>
      </rPr>
      <t>AL</t>
    </r>
  </si>
  <si>
    <r>
      <rPr>
        <sz val="6.5"/>
        <color rgb="FF1A1A18"/>
        <rFont val="Arial"/>
        <family val="2"/>
      </rPr>
      <t>17:00 –18:00</t>
    </r>
  </si>
  <si>
    <r>
      <rPr>
        <sz val="6.5"/>
        <color rgb="FF1A1A18"/>
        <rFont val="Arial"/>
        <family val="2"/>
      </rPr>
      <t>04:00 – 05:00</t>
    </r>
  </si>
  <si>
    <r>
      <rPr>
        <b/>
        <sz val="6.5"/>
        <color rgb="FF1A1A18"/>
        <rFont val="Arial"/>
        <family val="2"/>
      </rPr>
      <t>AT</t>
    </r>
  </si>
  <si>
    <r>
      <rPr>
        <sz val="6.5"/>
        <color rgb="FF1A1A18"/>
        <rFont val="Arial"/>
        <family val="2"/>
      </rPr>
      <t>10:00 –11:00</t>
    </r>
  </si>
  <si>
    <r>
      <rPr>
        <sz val="6.5"/>
        <color rgb="FF1A1A18"/>
        <rFont val="Arial"/>
        <family val="2"/>
      </rPr>
      <t>03:00 – 04:00</t>
    </r>
  </si>
  <si>
    <r>
      <rPr>
        <b/>
        <sz val="6.5"/>
        <color rgb="FF1A1A18"/>
        <rFont val="Arial"/>
        <family val="2"/>
      </rPr>
      <t>BA</t>
    </r>
  </si>
  <si>
    <r>
      <rPr>
        <b/>
        <sz val="6.5"/>
        <color rgb="FF1A1A18"/>
        <rFont val="Arial"/>
        <family val="2"/>
      </rPr>
      <t>BE</t>
    </r>
  </si>
  <si>
    <r>
      <rPr>
        <sz val="6.5"/>
        <color rgb="FF1A1A18"/>
        <rFont val="Arial"/>
        <family val="2"/>
      </rPr>
      <t>18:00 –19:00</t>
    </r>
  </si>
  <si>
    <r>
      <rPr>
        <sz val="6.5"/>
        <color rgb="FF1A1A18"/>
        <rFont val="Arial"/>
        <family val="2"/>
      </rPr>
      <t>06:00 – 07:00</t>
    </r>
  </si>
  <si>
    <r>
      <rPr>
        <b/>
        <sz val="6.5"/>
        <color rgb="FF1A1A18"/>
        <rFont val="Arial"/>
        <family val="2"/>
      </rPr>
      <t>BG</t>
    </r>
  </si>
  <si>
    <r>
      <rPr>
        <b/>
        <sz val="6.5"/>
        <color rgb="FF1A1A18"/>
        <rFont val="Arial"/>
        <family val="2"/>
      </rPr>
      <t>CH</t>
    </r>
  </si>
  <si>
    <r>
      <rPr>
        <b/>
        <sz val="6.5"/>
        <color rgb="FF1A1A18"/>
        <rFont val="Arial"/>
        <family val="2"/>
      </rPr>
      <t>CY</t>
    </r>
  </si>
  <si>
    <r>
      <rPr>
        <sz val="6.5"/>
        <color rgb="FF1A1A18"/>
        <rFont val="Arial"/>
        <family val="2"/>
      </rPr>
      <t>14:00 –15:00</t>
    </r>
  </si>
  <si>
    <r>
      <rPr>
        <sz val="6.5"/>
        <color rgb="FF1A1A18"/>
        <rFont val="Arial"/>
        <family val="2"/>
      </rPr>
      <t>05:00 – 06:00</t>
    </r>
  </si>
  <si>
    <r>
      <rPr>
        <b/>
        <sz val="6.5"/>
        <color rgb="FF1A1A18"/>
        <rFont val="Arial"/>
        <family val="2"/>
      </rPr>
      <t>CZ</t>
    </r>
  </si>
  <si>
    <r>
      <rPr>
        <sz val="6.5"/>
        <color rgb="FF1A1A18"/>
        <rFont val="Arial"/>
        <family val="2"/>
      </rPr>
      <t>12:00 –13:00</t>
    </r>
  </si>
  <si>
    <r>
      <rPr>
        <b/>
        <sz val="6.5"/>
        <color rgb="FF1A1A18"/>
        <rFont val="Arial"/>
        <family val="2"/>
      </rPr>
      <t>DE</t>
    </r>
  </si>
  <si>
    <r>
      <rPr>
        <b/>
        <sz val="6.5"/>
        <color rgb="FF1A1A18"/>
        <rFont val="Arial"/>
        <family val="2"/>
      </rPr>
      <t>DK</t>
    </r>
  </si>
  <si>
    <r>
      <rPr>
        <b/>
        <sz val="6.5"/>
        <color rgb="FF1A1A18"/>
        <rFont val="Arial"/>
        <family val="2"/>
      </rPr>
      <t>EE</t>
    </r>
  </si>
  <si>
    <r>
      <rPr>
        <sz val="6.5"/>
        <color rgb="FF1A1A18"/>
        <rFont val="Arial"/>
        <family val="2"/>
      </rPr>
      <t>15:00 –16:00</t>
    </r>
  </si>
  <si>
    <r>
      <rPr>
        <b/>
        <sz val="6.5"/>
        <color rgb="FF1A1A18"/>
        <rFont val="Arial"/>
        <family val="2"/>
      </rPr>
      <t>ES</t>
    </r>
  </si>
  <si>
    <r>
      <rPr>
        <sz val="6.5"/>
        <color rgb="FF1A1A18"/>
        <rFont val="Arial"/>
        <family val="2"/>
      </rPr>
      <t>20:00 – 21:00</t>
    </r>
  </si>
  <si>
    <r>
      <rPr>
        <b/>
        <sz val="6.5"/>
        <color rgb="FF1A1A18"/>
        <rFont val="Arial"/>
        <family val="2"/>
      </rPr>
      <t>FI</t>
    </r>
  </si>
  <si>
    <r>
      <rPr>
        <sz val="6.5"/>
        <color rgb="FF1A1A18"/>
        <rFont val="Arial"/>
        <family val="2"/>
      </rPr>
      <t>16:00 –17:00</t>
    </r>
  </si>
  <si>
    <r>
      <rPr>
        <b/>
        <sz val="6.5"/>
        <color rgb="FF1A1A18"/>
        <rFont val="Arial"/>
        <family val="2"/>
      </rPr>
      <t>FR</t>
    </r>
  </si>
  <si>
    <r>
      <rPr>
        <sz val="6.5"/>
        <color rgb="FF1A1A18"/>
        <rFont val="Arial"/>
        <family val="2"/>
      </rPr>
      <t>08:00 – 09:00</t>
    </r>
  </si>
  <si>
    <r>
      <rPr>
        <b/>
        <sz val="6.5"/>
        <color rgb="FF1A1A18"/>
        <rFont val="Arial"/>
        <family val="2"/>
      </rPr>
      <t>GR</t>
    </r>
  </si>
  <si>
    <r>
      <rPr>
        <b/>
        <sz val="6.5"/>
        <color rgb="FF1A1A18"/>
        <rFont val="Arial"/>
        <family val="2"/>
      </rPr>
      <t>HR</t>
    </r>
  </si>
  <si>
    <r>
      <rPr>
        <sz val="6.5"/>
        <color rgb="FF1A1A18"/>
        <rFont val="Arial"/>
        <family val="2"/>
      </rPr>
      <t>13:00 –14:00</t>
    </r>
  </si>
  <si>
    <r>
      <rPr>
        <b/>
        <sz val="6.5"/>
        <color rgb="FF1A1A18"/>
        <rFont val="Arial"/>
        <family val="2"/>
      </rPr>
      <t>HU</t>
    </r>
  </si>
  <si>
    <r>
      <rPr>
        <b/>
        <sz val="6.5"/>
        <color rgb="FF1A1A18"/>
        <rFont val="Arial"/>
        <family val="2"/>
      </rPr>
      <t>IE</t>
    </r>
  </si>
  <si>
    <r>
      <rPr>
        <sz val="6.5"/>
        <color rgb="FF1A1A18"/>
        <rFont val="Arial"/>
        <family val="2"/>
      </rPr>
      <t>07:00 – 08:00</t>
    </r>
  </si>
  <si>
    <r>
      <rPr>
        <b/>
        <sz val="6.5"/>
        <color rgb="FF1A1A18"/>
        <rFont val="Arial"/>
        <family val="2"/>
      </rPr>
      <t>IS</t>
    </r>
  </si>
  <si>
    <r>
      <rPr>
        <b/>
        <sz val="6.5"/>
        <color rgb="FF1A1A18"/>
        <rFont val="Arial"/>
        <family val="2"/>
      </rPr>
      <t>IT</t>
    </r>
  </si>
  <si>
    <r>
      <rPr>
        <b/>
        <sz val="6.5"/>
        <color rgb="FF1A1A18"/>
        <rFont val="Arial"/>
        <family val="2"/>
      </rPr>
      <t>LT</t>
    </r>
  </si>
  <si>
    <r>
      <rPr>
        <b/>
        <sz val="6.5"/>
        <color rgb="FF1A1A18"/>
        <rFont val="Arial"/>
        <family val="2"/>
      </rPr>
      <t>LU</t>
    </r>
  </si>
  <si>
    <r>
      <rPr>
        <b/>
        <sz val="6.5"/>
        <color rgb="FF1A1A18"/>
        <rFont val="Arial"/>
        <family val="2"/>
      </rPr>
      <t>LV</t>
    </r>
  </si>
  <si>
    <r>
      <rPr>
        <b/>
        <sz val="6.5"/>
        <color rgb="FF1A1A18"/>
        <rFont val="Arial"/>
        <family val="2"/>
      </rPr>
      <t>ME</t>
    </r>
  </si>
  <si>
    <r>
      <rPr>
        <b/>
        <sz val="6.5"/>
        <color rgb="FF1A1A18"/>
        <rFont val="Arial"/>
        <family val="2"/>
      </rPr>
      <t>MK</t>
    </r>
  </si>
  <si>
    <r>
      <rPr>
        <sz val="6.5"/>
        <color rgb="FF1A1A18"/>
        <rFont val="Arial"/>
        <family val="2"/>
      </rPr>
      <t>22:00 – 23:00</t>
    </r>
  </si>
  <si>
    <r>
      <rPr>
        <b/>
        <sz val="6.5"/>
        <color rgb="FF1A1A18"/>
        <rFont val="Arial"/>
        <family val="2"/>
      </rPr>
      <t>NL</t>
    </r>
  </si>
  <si>
    <r>
      <rPr>
        <b/>
        <sz val="6.5"/>
        <color rgb="FF1A1A18"/>
        <rFont val="Arial"/>
        <family val="2"/>
      </rPr>
      <t>NO</t>
    </r>
  </si>
  <si>
    <r>
      <rPr>
        <b/>
        <sz val="6.5"/>
        <color rgb="FF1A1A18"/>
        <rFont val="Arial"/>
        <family val="2"/>
      </rPr>
      <t>PL</t>
    </r>
  </si>
  <si>
    <r>
      <rPr>
        <b/>
        <sz val="6.5"/>
        <color rgb="FF1A1A18"/>
        <rFont val="Arial"/>
        <family val="2"/>
      </rPr>
      <t>PT</t>
    </r>
  </si>
  <si>
    <r>
      <rPr>
        <sz val="6.5"/>
        <color rgb="FF1A1A18"/>
        <rFont val="Arial"/>
        <family val="2"/>
      </rPr>
      <t>19:00 – 20:00</t>
    </r>
  </si>
  <si>
    <r>
      <rPr>
        <b/>
        <sz val="6.5"/>
        <color rgb="FF1A1A18"/>
        <rFont val="Arial"/>
        <family val="2"/>
      </rPr>
      <t>RO</t>
    </r>
  </si>
  <si>
    <r>
      <rPr>
        <b/>
        <sz val="6.5"/>
        <color rgb="FF1A1A18"/>
        <rFont val="Arial"/>
        <family val="2"/>
      </rPr>
      <t>RS</t>
    </r>
  </si>
  <si>
    <r>
      <rPr>
        <b/>
        <sz val="6.5"/>
        <color rgb="FF1A1A18"/>
        <rFont val="Arial"/>
        <family val="2"/>
      </rPr>
      <t>SE</t>
    </r>
  </si>
  <si>
    <r>
      <rPr>
        <b/>
        <sz val="6.5"/>
        <color rgb="FF1A1A18"/>
        <rFont val="Arial"/>
        <family val="2"/>
      </rPr>
      <t>SI</t>
    </r>
  </si>
  <si>
    <r>
      <rPr>
        <sz val="6.5"/>
        <color rgb="FF1A1A18"/>
        <rFont val="Arial"/>
        <family val="2"/>
      </rPr>
      <t>02:00 – 03:00</t>
    </r>
  </si>
  <si>
    <r>
      <rPr>
        <b/>
        <sz val="6.5"/>
        <color rgb="FF1A1A18"/>
        <rFont val="Arial"/>
        <family val="2"/>
      </rPr>
      <t>SK</t>
    </r>
  </si>
  <si>
    <r>
      <rPr>
        <sz val="6.5"/>
        <color rgb="FF1A1A18"/>
        <rFont val="Arial"/>
        <family val="2"/>
      </rPr>
      <t>09:00 –10:00</t>
    </r>
  </si>
  <si>
    <r>
      <rPr>
        <b/>
        <sz val="6.5"/>
        <color rgb="FF1A1A18"/>
        <rFont val="Arial"/>
        <family val="2"/>
      </rPr>
      <t>TR</t>
    </r>
  </si>
  <si>
    <r>
      <rPr>
        <b/>
        <sz val="6.5"/>
        <color rgb="FF1A1A18"/>
        <rFont val="Arial"/>
        <family val="2"/>
      </rPr>
      <t>18:00 – 19:00</t>
    </r>
  </si>
  <si>
    <r>
      <rPr>
        <b/>
        <sz val="6.5"/>
        <color rgb="FF1A1A18"/>
        <rFont val="Arial"/>
        <family val="2"/>
      </rPr>
      <t>05:00 – 06:00</t>
    </r>
  </si>
  <si>
    <r>
      <rPr>
        <b/>
        <sz val="6.5"/>
        <color rgb="FF231F20"/>
        <rFont val="Arial"/>
        <family val="2"/>
      </rPr>
      <t>Highest load Date             Time</t>
    </r>
  </si>
  <si>
    <r>
      <rPr>
        <b/>
        <sz val="6.5"/>
        <color rgb="FF231F20"/>
        <rFont val="Arial"/>
        <family val="2"/>
      </rPr>
      <t xml:space="preserve">value </t>
    </r>
    <r>
      <rPr>
        <b/>
        <vertAlign val="superscript"/>
        <sz val="6.5"/>
        <color rgb="FF231F20"/>
        <rFont val="Arial"/>
        <family val="2"/>
      </rPr>
      <t>(</t>
    </r>
    <r>
      <rPr>
        <b/>
        <sz val="6.5"/>
        <color rgb="FF231F20"/>
        <rFont val="Arial"/>
        <family val="2"/>
      </rPr>
      <t>in MW</t>
    </r>
    <r>
      <rPr>
        <b/>
        <vertAlign val="superscript"/>
        <sz val="6.5"/>
        <color rgb="FF231F20"/>
        <rFont val="Arial"/>
        <family val="2"/>
      </rPr>
      <t>)</t>
    </r>
  </si>
  <si>
    <r>
      <rPr>
        <b/>
        <sz val="6.5"/>
        <color rgb="FF231F20"/>
        <rFont val="Arial"/>
        <family val="2"/>
      </rPr>
      <t>Date</t>
    </r>
  </si>
  <si>
    <r>
      <rPr>
        <b/>
        <sz val="6.5"/>
        <color rgb="FF231F20"/>
        <rFont val="Arial"/>
        <family val="2"/>
      </rPr>
      <t xml:space="preserve">Lowest load
</t>
    </r>
    <r>
      <rPr>
        <b/>
        <sz val="6.5"/>
        <color rgb="FF231F20"/>
        <rFont val="Arial"/>
        <family val="2"/>
      </rPr>
      <t>Time</t>
    </r>
  </si>
  <si>
    <r>
      <rPr>
        <sz val="6.5"/>
        <color rgb="FF231F20"/>
        <rFont val="Arial"/>
        <family val="2"/>
      </rPr>
      <t>17:00 – 18:00</t>
    </r>
  </si>
  <si>
    <r>
      <rPr>
        <sz val="6.5"/>
        <color rgb="FF231F20"/>
        <rFont val="Arial"/>
        <family val="2"/>
      </rPr>
      <t>03:00 – 04:00</t>
    </r>
  </si>
  <si>
    <r>
      <rPr>
        <sz val="6.5"/>
        <color rgb="FF231F20"/>
        <rFont val="Arial"/>
        <family val="2"/>
      </rPr>
      <t>18:00 – 19:00</t>
    </r>
  </si>
  <si>
    <r>
      <rPr>
        <sz val="6.5"/>
        <color rgb="FF231F20"/>
        <rFont val="Arial"/>
        <family val="2"/>
      </rPr>
      <t>14:00 – 15:00</t>
    </r>
  </si>
  <si>
    <r>
      <rPr>
        <sz val="6.5"/>
        <color rgb="FF231F20"/>
        <rFont val="Arial"/>
        <family val="2"/>
      </rPr>
      <t>02:00 – 03:00</t>
    </r>
  </si>
  <si>
    <r>
      <rPr>
        <sz val="6.5"/>
        <color rgb="FF231F20"/>
        <rFont val="Arial"/>
        <family val="2"/>
      </rPr>
      <t>10:00 – 11:00</t>
    </r>
  </si>
  <si>
    <r>
      <rPr>
        <sz val="6.5"/>
        <color rgb="FF231F20"/>
        <rFont val="Arial"/>
        <family val="2"/>
      </rPr>
      <t>06:00 – 07:00</t>
    </r>
  </si>
  <si>
    <r>
      <rPr>
        <sz val="6.5"/>
        <color rgb="FF231F20"/>
        <rFont val="Arial"/>
        <family val="2"/>
      </rPr>
      <t>05:00 – 06:00</t>
    </r>
  </si>
  <si>
    <r>
      <rPr>
        <sz val="6.5"/>
        <color rgb="FF231F20"/>
        <rFont val="Arial"/>
        <family val="2"/>
      </rPr>
      <t>16:00 – 17:00</t>
    </r>
  </si>
  <si>
    <r>
      <rPr>
        <sz val="6.5"/>
        <color rgb="FF231F20"/>
        <rFont val="Arial"/>
        <family val="2"/>
      </rPr>
      <t>09:00 – 10:00</t>
    </r>
  </si>
  <si>
    <r>
      <rPr>
        <sz val="6.5"/>
        <color rgb="FF231F20"/>
        <rFont val="Arial"/>
        <family val="2"/>
      </rPr>
      <t>04:00 – 05:00</t>
    </r>
  </si>
  <si>
    <r>
      <rPr>
        <sz val="6.5"/>
        <color rgb="FF231F20"/>
        <rFont val="Arial"/>
        <family val="2"/>
      </rPr>
      <t>13:00 – 14:00</t>
    </r>
  </si>
  <si>
    <r>
      <rPr>
        <sz val="6.5"/>
        <color rgb="FF231F20"/>
        <rFont val="Arial"/>
        <family val="2"/>
      </rPr>
      <t>07:00 – 08:00</t>
    </r>
  </si>
  <si>
    <r>
      <rPr>
        <sz val="6.5"/>
        <color rgb="FF231F20"/>
        <rFont val="Arial"/>
        <family val="2"/>
      </rPr>
      <t>11:00 – 12:00</t>
    </r>
  </si>
  <si>
    <r>
      <rPr>
        <sz val="6.5"/>
        <color rgb="FF231F20"/>
        <rFont val="Arial"/>
        <family val="2"/>
      </rPr>
      <t>08:00 – 09:00</t>
    </r>
  </si>
  <si>
    <r>
      <rPr>
        <sz val="6.5"/>
        <color rgb="FF231F20"/>
        <rFont val="Arial"/>
        <family val="2"/>
      </rPr>
      <t>19:00 – 20:00</t>
    </r>
  </si>
  <si>
    <r>
      <rPr>
        <b/>
        <sz val="6.5"/>
        <color rgb="FF231F20"/>
        <rFont val="Arial"/>
        <family val="2"/>
      </rPr>
      <t>18:00 – 19:00</t>
    </r>
  </si>
  <si>
    <r>
      <rPr>
        <b/>
        <sz val="6.5"/>
        <color rgb="FF231F20"/>
        <rFont val="Arial"/>
        <family val="2"/>
      </rPr>
      <t>05:00 – 06:00</t>
    </r>
  </si>
  <si>
    <r>
      <rPr>
        <b/>
        <sz val="6.5"/>
        <color rgb="FF231F20"/>
        <rFont val="Arial"/>
        <family val="2"/>
      </rPr>
      <t>Highest load Date    Time</t>
    </r>
    <r>
      <rPr>
        <vertAlign val="superscript"/>
        <sz val="3.5"/>
        <color rgb="FF231F20"/>
        <rFont val="Arial"/>
        <family val="2"/>
      </rPr>
      <t>2</t>
    </r>
  </si>
  <si>
    <r>
      <rPr>
        <b/>
        <sz val="6.5"/>
        <color rgb="FF231F20"/>
        <rFont val="Arial"/>
        <family val="2"/>
      </rPr>
      <t>value (in MW)</t>
    </r>
  </si>
  <si>
    <r>
      <rPr>
        <b/>
        <sz val="6.5"/>
        <color rgb="FF231F20"/>
        <rFont val="Arial"/>
        <family val="2"/>
      </rPr>
      <t>Lowes Date</t>
    </r>
  </si>
  <si>
    <r>
      <rPr>
        <b/>
        <sz val="6.5"/>
        <color rgb="FF231F20"/>
        <rFont val="Arial"/>
        <family val="2"/>
      </rPr>
      <t>t load Time</t>
    </r>
    <r>
      <rPr>
        <vertAlign val="superscript"/>
        <sz val="3.5"/>
        <color rgb="FF231F20"/>
        <rFont val="Arial"/>
        <family val="2"/>
      </rPr>
      <t>2</t>
    </r>
  </si>
  <si>
    <r>
      <rPr>
        <sz val="6.5"/>
        <color rgb="FF231F20"/>
        <rFont val="Arial"/>
        <family val="2"/>
      </rPr>
      <t>17:00</t>
    </r>
  </si>
  <si>
    <r>
      <rPr>
        <sz val="6.5"/>
        <color rgb="FF231F20"/>
        <rFont val="Arial"/>
        <family val="2"/>
      </rPr>
      <t>03:00</t>
    </r>
  </si>
  <si>
    <r>
      <rPr>
        <sz val="6.5"/>
        <color rgb="FF231F20"/>
        <rFont val="Arial"/>
        <family val="2"/>
      </rPr>
      <t>18:00</t>
    </r>
  </si>
  <si>
    <r>
      <rPr>
        <sz val="6.5"/>
        <color rgb="FF231F20"/>
        <rFont val="Arial"/>
        <family val="2"/>
      </rPr>
      <t>06:00</t>
    </r>
  </si>
  <si>
    <r>
      <rPr>
        <sz val="6.5"/>
        <color rgb="FF231F20"/>
        <rFont val="Arial"/>
        <family val="2"/>
      </rPr>
      <t>05:00</t>
    </r>
  </si>
  <si>
    <r>
      <rPr>
        <sz val="6.5"/>
        <color rgb="FF231F20"/>
        <rFont val="Arial"/>
        <family val="2"/>
      </rPr>
      <t>08:00</t>
    </r>
  </si>
  <si>
    <r>
      <rPr>
        <sz val="6.5"/>
        <color rgb="FF231F20"/>
        <rFont val="Arial"/>
        <family val="2"/>
      </rPr>
      <t>14:00</t>
    </r>
  </si>
  <si>
    <r>
      <rPr>
        <sz val="6.5"/>
        <color rgb="FF231F20"/>
        <rFont val="Arial"/>
        <family val="2"/>
      </rPr>
      <t>12:00</t>
    </r>
  </si>
  <si>
    <r>
      <rPr>
        <sz val="6.5"/>
        <color rgb="FF231F20"/>
        <rFont val="Arial"/>
        <family val="2"/>
      </rPr>
      <t>10:00</t>
    </r>
  </si>
  <si>
    <r>
      <rPr>
        <sz val="6.5"/>
        <color rgb="FF231F20"/>
        <rFont val="Arial"/>
        <family val="2"/>
      </rPr>
      <t>15:00</t>
    </r>
  </si>
  <si>
    <r>
      <rPr>
        <sz val="6.5"/>
        <color rgb="FF231F20"/>
        <rFont val="Arial"/>
        <family val="2"/>
      </rPr>
      <t>04:00</t>
    </r>
  </si>
  <si>
    <r>
      <rPr>
        <sz val="6.5"/>
        <color rgb="FF231F20"/>
        <rFont val="Arial"/>
        <family val="2"/>
      </rPr>
      <t>20:00</t>
    </r>
  </si>
  <si>
    <r>
      <rPr>
        <sz val="6.5"/>
        <color rgb="FF231F20"/>
        <rFont val="Arial"/>
        <family val="2"/>
      </rPr>
      <t>07:00</t>
    </r>
  </si>
  <si>
    <r>
      <rPr>
        <sz val="6.5"/>
        <color rgb="FF231F20"/>
        <rFont val="Arial"/>
        <family val="2"/>
      </rPr>
      <t>02:00</t>
    </r>
  </si>
  <si>
    <r>
      <rPr>
        <sz val="6.5"/>
        <color rgb="FF231F20"/>
        <rFont val="Arial"/>
        <family val="2"/>
      </rPr>
      <t>13:00</t>
    </r>
  </si>
  <si>
    <r>
      <rPr>
        <sz val="6.5"/>
        <color rgb="FF231F20"/>
        <rFont val="Arial"/>
        <family val="2"/>
      </rPr>
      <t>16:00</t>
    </r>
  </si>
  <si>
    <r>
      <rPr>
        <sz val="6.5"/>
        <color rgb="FF231F20"/>
        <rFont val="Arial"/>
        <family val="2"/>
      </rPr>
      <t>11:00</t>
    </r>
  </si>
  <si>
    <r>
      <rPr>
        <sz val="6.5"/>
        <color rgb="FF231F20"/>
        <rFont val="Arial"/>
        <family val="2"/>
      </rPr>
      <t>23:00</t>
    </r>
  </si>
  <si>
    <r>
      <rPr>
        <sz val="6.5"/>
        <color rgb="FF231F20"/>
        <rFont val="Arial"/>
        <family val="2"/>
      </rPr>
      <t>00:00</t>
    </r>
  </si>
  <si>
    <r>
      <rPr>
        <b/>
        <sz val="6.5"/>
        <color rgb="FF231F20"/>
        <rFont val="Arial"/>
        <family val="2"/>
      </rPr>
      <t>18:00</t>
    </r>
  </si>
  <si>
    <r>
      <rPr>
        <b/>
        <sz val="6.5"/>
        <color rgb="FF231F20"/>
        <rFont val="Arial"/>
        <family val="2"/>
      </rPr>
      <t>06:00</t>
    </r>
  </si>
  <si>
    <t>NI</t>
  </si>
  <si>
    <r>
      <rPr>
        <b/>
        <sz val="6.5"/>
        <color rgb="FF231F20"/>
        <rFont val="Arial"/>
        <family val="2"/>
      </rPr>
      <t>Highest load</t>
    </r>
  </si>
  <si>
    <r>
      <rPr>
        <b/>
        <sz val="6.5"/>
        <color rgb="FF231F20"/>
        <rFont val="Arial"/>
        <family val="2"/>
      </rPr>
      <t>date</t>
    </r>
  </si>
  <si>
    <r>
      <rPr>
        <b/>
        <sz val="6.5"/>
        <color rgb="FF231F20"/>
        <rFont val="Arial"/>
        <family val="2"/>
      </rPr>
      <t>time</t>
    </r>
  </si>
  <si>
    <r>
      <rPr>
        <b/>
        <sz val="6.5"/>
        <color rgb="FF231F20"/>
        <rFont val="Arial"/>
        <family val="2"/>
      </rPr>
      <t>(in MW)</t>
    </r>
  </si>
  <si>
    <r>
      <rPr>
        <b/>
        <sz val="6.5"/>
        <color rgb="FF231F20"/>
        <rFont val="Arial"/>
        <family val="2"/>
      </rPr>
      <t>Lowest load</t>
    </r>
  </si>
  <si>
    <r>
      <rPr>
        <sz val="6.5"/>
        <color rgb="FF231F20"/>
        <rFont val="Arial"/>
        <family val="2"/>
      </rPr>
      <t>19:00</t>
    </r>
  </si>
  <si>
    <r>
      <rPr>
        <sz val="6.5"/>
        <color rgb="FF231F20"/>
        <rFont val="Arial"/>
        <family val="2"/>
      </rPr>
      <t>09:00</t>
    </r>
  </si>
  <si>
    <r>
      <rPr>
        <sz val="6.5"/>
        <color rgb="FF231F20"/>
        <rFont val="Arial"/>
        <family val="2"/>
      </rPr>
      <t>21:00</t>
    </r>
  </si>
  <si>
    <r>
      <rPr>
        <sz val="6.5"/>
        <color rgb="FF231F20"/>
        <rFont val="Arial"/>
        <family val="2"/>
      </rPr>
      <t>01:00</t>
    </r>
  </si>
  <si>
    <r>
      <rPr>
        <b/>
        <sz val="6.5"/>
        <color rgb="FF231F20"/>
        <rFont val="Arial"/>
        <family val="2"/>
      </rPr>
      <t>19:00</t>
    </r>
  </si>
  <si>
    <r>
      <rPr>
        <b/>
        <sz val="6.5"/>
        <color rgb="FF231F20"/>
        <rFont val="Arial"/>
        <family val="2"/>
      </rPr>
      <t>07:00</t>
    </r>
  </si>
  <si>
    <t>Fossil gases</t>
  </si>
  <si>
    <t>Highest load</t>
  </si>
  <si>
    <t>Lowest load</t>
  </si>
  <si>
    <t>Summe von Wert</t>
  </si>
  <si>
    <t>VBA</t>
  </si>
  <si>
    <t>Hard Coal Lignite</t>
  </si>
  <si>
    <t>Fossil Gases</t>
  </si>
  <si>
    <t>Generation [TWh]</t>
  </si>
  <si>
    <t>Capacity [MW]</t>
  </si>
  <si>
    <t>Wind Offshore</t>
  </si>
  <si>
    <t>2018 Ergebnis</t>
  </si>
  <si>
    <t>Kohle</t>
  </si>
  <si>
    <t>Kohlekapazität</t>
  </si>
  <si>
    <t>Kernenergiekapazität</t>
  </si>
  <si>
    <t>Summe</t>
  </si>
  <si>
    <t>Belgien</t>
  </si>
  <si>
    <t>Malta</t>
  </si>
  <si>
    <t>Bulgarien</t>
  </si>
  <si>
    <t>Niederlande</t>
  </si>
  <si>
    <t>Dänemark</t>
  </si>
  <si>
    <t>Österreich</t>
  </si>
  <si>
    <t>Deutschland</t>
  </si>
  <si>
    <t>Polen</t>
  </si>
  <si>
    <t>Estland</t>
  </si>
  <si>
    <t>Portugal</t>
  </si>
  <si>
    <t>Finnland</t>
  </si>
  <si>
    <t>Rumänien</t>
  </si>
  <si>
    <t>Frankreich</t>
  </si>
  <si>
    <t>Slowakei</t>
  </si>
  <si>
    <t>Griechenland</t>
  </si>
  <si>
    <t>Slowenien</t>
  </si>
  <si>
    <t>Irland</t>
  </si>
  <si>
    <t>Spanien</t>
  </si>
  <si>
    <t>Italien</t>
  </si>
  <si>
    <t>Schweden</t>
  </si>
  <si>
    <t>Kroatien</t>
  </si>
  <si>
    <t>Tschechien</t>
  </si>
  <si>
    <t>Lettland</t>
  </si>
  <si>
    <t>Ungarn</t>
  </si>
  <si>
    <t>Litauen</t>
  </si>
  <si>
    <t>Zypern</t>
  </si>
  <si>
    <t>Luxemburg</t>
  </si>
  <si>
    <t>MT</t>
  </si>
  <si>
    <t>EU-28</t>
  </si>
  <si>
    <t>Coal</t>
  </si>
  <si>
    <t>Wert</t>
  </si>
  <si>
    <t>17 Calculated sum of the ENTSO-E member TSOs’ countries</t>
  </si>
  <si>
    <t>sum of monthly hourly load of member countries</t>
  </si>
  <si>
    <t>Entso-E</t>
  </si>
  <si>
    <r>
      <rPr>
        <b/>
        <sz val="5"/>
        <color rgb="FF1A1A18"/>
        <rFont val="Trebuchet MS"/>
        <family val="2"/>
      </rPr>
      <t>–</t>
    </r>
  </si>
  <si>
    <t>XK</t>
  </si>
  <si>
    <t>Technology</t>
  </si>
  <si>
    <t>Pumped Hydro</t>
  </si>
  <si>
    <t>VBH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</si>
</sst>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€_-;\-* #,##0.00\ _€_-;_-* &quot;-&quot;??\ _€_-;_-@_-"/>
    <numFmt numFmtId="164" formatCode="0.0"/>
    <numFmt numFmtId="165" formatCode="0.0%"/>
    <numFmt numFmtId="166" formatCode="0.000"/>
    <numFmt numFmtId="167" formatCode="0.0000"/>
    <numFmt numFmtId="168" formatCode="#,##0.0"/>
    <numFmt numFmtId="169" formatCode="dd\.mm\.yyyy;@"/>
    <numFmt numFmtId="170" formatCode="00.00"/>
    <numFmt numFmtId="171" formatCode="_-* #,##0\ _€_-;\-* #,##0\ _€_-;_-* &quot;-&quot;??\ _€_-;_-@_-"/>
    <numFmt numFmtId="172" formatCode="#,##0.0,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5"/>
      <color rgb="FF1A1A18"/>
      <name val="Arial"/>
      <family val="2"/>
    </font>
    <font>
      <sz val="5"/>
      <name val="Arial"/>
      <family val="2"/>
    </font>
    <font>
      <sz val="10"/>
      <color rgb="FF000000"/>
      <name val="Times New Roman"/>
      <family val="1"/>
    </font>
    <font>
      <b/>
      <sz val="5"/>
      <name val="Trebuchet MS"/>
      <family val="2"/>
    </font>
    <font>
      <b/>
      <sz val="5"/>
      <name val="Arial"/>
      <family val="2"/>
    </font>
    <font>
      <b/>
      <sz val="5"/>
      <color rgb="FF1A1A18"/>
      <name val="Trebuchet MS"/>
      <family val="2"/>
    </font>
    <font>
      <b/>
      <sz val="5"/>
      <color rgb="FF1A1A18"/>
      <name val="Arial"/>
      <family val="2"/>
    </font>
    <font>
      <b/>
      <sz val="5"/>
      <color rgb="FFFFFFFF"/>
      <name val="Trebuchet MS"/>
      <family val="2"/>
    </font>
    <font>
      <sz val="5"/>
      <color rgb="FFFFFFFF"/>
      <name val="Arial"/>
      <family val="2"/>
    </font>
    <font>
      <b/>
      <sz val="5"/>
      <color theme="0"/>
      <name val="Trebuchet MS"/>
      <family val="2"/>
    </font>
    <font>
      <sz val="5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2"/>
      <name val="Arial"/>
      <family val="2"/>
    </font>
    <font>
      <sz val="5"/>
      <name val="Trebuchet MS"/>
      <family val="2"/>
    </font>
    <font>
      <b/>
      <sz val="5"/>
      <color rgb="FF231F20"/>
      <name val="Arial"/>
      <family val="2"/>
    </font>
    <font>
      <b/>
      <sz val="5"/>
      <name val="Verdana"/>
      <family val="2"/>
    </font>
    <font>
      <b/>
      <sz val="5"/>
      <color rgb="FF231F20"/>
      <name val="Verdana"/>
      <family val="2"/>
    </font>
    <font>
      <sz val="5"/>
      <color rgb="FF231F20"/>
      <name val="Georgia"/>
      <family val="2"/>
    </font>
    <font>
      <vertAlign val="superscript"/>
      <sz val="3"/>
      <color rgb="FF231F20"/>
      <name val="Arial"/>
      <family val="2"/>
    </font>
    <font>
      <sz val="11"/>
      <color theme="1"/>
      <name val="Calibri"/>
      <family val="2"/>
      <scheme val="minor"/>
    </font>
    <font>
      <b/>
      <sz val="5"/>
      <color rgb="FF231F20"/>
      <name val="Georgia"/>
      <family val="1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1A1A18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1A1A18"/>
      <name val="Arial"/>
      <family val="2"/>
    </font>
    <font>
      <b/>
      <sz val="9"/>
      <color rgb="FF000000"/>
      <name val="Arial"/>
      <family val="2"/>
    </font>
    <font>
      <sz val="9"/>
      <color rgb="FF231F20"/>
      <name val="Arial"/>
      <family val="2"/>
    </font>
    <font>
      <b/>
      <sz val="9"/>
      <color rgb="FF231F20"/>
      <name val="Arial"/>
      <family val="2"/>
    </font>
    <font>
      <vertAlign val="superscript"/>
      <sz val="9"/>
      <color rgb="FF231F20"/>
      <name val="Arial"/>
      <family val="2"/>
    </font>
    <font>
      <b/>
      <vertAlign val="superscript"/>
      <sz val="9"/>
      <color rgb="FF231F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6.5"/>
      <color rgb="FF231F20"/>
      <name val="Verdana"/>
      <family val="2"/>
    </font>
    <font>
      <vertAlign val="superscript"/>
      <sz val="3.5"/>
      <color rgb="FF231F20"/>
      <name val="Times New Roman"/>
      <family val="1"/>
    </font>
    <font>
      <b/>
      <sz val="6.5"/>
      <name val="Verdana"/>
      <family val="2"/>
    </font>
    <font>
      <b/>
      <sz val="6.5"/>
      <name val="Arial"/>
      <family val="2"/>
    </font>
    <font>
      <b/>
      <sz val="6.5"/>
      <color rgb="FF231F20"/>
      <name val="Arial"/>
      <family val="2"/>
    </font>
    <font>
      <sz val="6.5"/>
      <color rgb="FF231F20"/>
      <name val="Verdana"/>
      <family val="2"/>
    </font>
    <font>
      <sz val="6.5"/>
      <name val="Verdana"/>
      <family val="2"/>
    </font>
    <font>
      <b/>
      <sz val="6.5"/>
      <color rgb="FF1A1A18"/>
      <name val="Arial"/>
      <family val="2"/>
    </font>
    <font>
      <vertAlign val="superscript"/>
      <sz val="3.5"/>
      <color rgb="FF1A1A18"/>
      <name val="Arial"/>
      <family val="2"/>
    </font>
    <font>
      <b/>
      <sz val="6.5"/>
      <name val="Arial"/>
      <family val="2"/>
    </font>
    <font>
      <b/>
      <vertAlign val="superscript"/>
      <sz val="6.5"/>
      <color rgb="FF1A1A18"/>
      <name val="Arial"/>
      <family val="2"/>
    </font>
    <font>
      <sz val="6.5"/>
      <color rgb="FF1A1A18"/>
      <name val="Arial"/>
      <family val="2"/>
    </font>
    <font>
      <sz val="6.5"/>
      <name val="Arial"/>
      <family val="2"/>
    </font>
    <font>
      <b/>
      <sz val="9"/>
      <name val="Arial"/>
      <family val="2"/>
    </font>
    <font>
      <b/>
      <vertAlign val="superscript"/>
      <sz val="6.5"/>
      <color rgb="FF231F20"/>
      <name val="Arial"/>
      <family val="2"/>
    </font>
    <font>
      <sz val="6.5"/>
      <color rgb="FF231F20"/>
      <name val="Arial"/>
      <family val="2"/>
    </font>
    <font>
      <vertAlign val="superscript"/>
      <sz val="3.5"/>
      <color rgb="FF231F20"/>
      <name val="Arial"/>
      <family val="2"/>
    </font>
    <font>
      <sz val="6.5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5"/>
      <name val="Trebuchet MS"/>
      <family val="2"/>
    </font>
    <font>
      <b/>
      <sz val="10"/>
      <color rgb="FF000000"/>
      <name val="Times New Roman"/>
      <family val="1"/>
    </font>
    <font>
      <b/>
      <sz val="9"/>
      <color theme="1"/>
      <name val="Arial"/>
      <family val="2"/>
    </font>
    <font>
      <sz val="9"/>
      <color rgb="FF000000"/>
      <name val="Arial"/>
    </font>
  </fonts>
  <fills count="42">
    <fill>
      <patternFill patternType="none"/>
    </fill>
    <fill>
      <patternFill patternType="gray125"/>
    </fill>
    <fill>
      <patternFill patternType="solid">
        <fgColor rgb="FFDADADA"/>
      </patternFill>
    </fill>
    <fill>
      <patternFill patternType="solid">
        <fgColor rgb="FFFDD490"/>
      </patternFill>
    </fill>
    <fill>
      <patternFill patternType="solid">
        <fgColor rgb="FFECECED"/>
      </patternFill>
    </fill>
    <fill>
      <patternFill patternType="solid">
        <fgColor rgb="FFFFF9EB"/>
      </patternFill>
    </fill>
    <fill>
      <patternFill patternType="solid">
        <fgColor rgb="FFF2F5DA"/>
      </patternFill>
    </fill>
    <fill>
      <patternFill patternType="solid">
        <fgColor rgb="FFE9F0FA"/>
      </patternFill>
    </fill>
    <fill>
      <patternFill patternType="solid">
        <fgColor rgb="FFFFFFFF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1D3D4"/>
      </patternFill>
    </fill>
    <fill>
      <patternFill patternType="solid">
        <fgColor rgb="FFE6E7E8"/>
      </patternFill>
    </fill>
    <fill>
      <patternFill patternType="solid">
        <fgColor rgb="FFFFF6E4"/>
      </patternFill>
    </fill>
    <fill>
      <patternFill patternType="solid">
        <fgColor rgb="FFEDF4D5"/>
      </patternFill>
    </fill>
    <fill>
      <patternFill patternType="solid">
        <fgColor rgb="FFE1EAF7"/>
      </patternFill>
    </fill>
    <fill>
      <patternFill patternType="solid">
        <fgColor rgb="FFD6EAE5"/>
      </patternFill>
    </fill>
    <fill>
      <patternFill patternType="solid">
        <fgColor rgb="FFDCEAF8"/>
      </patternFill>
    </fill>
    <fill>
      <patternFill patternType="solid">
        <fgColor rgb="FFFFE9BA"/>
      </patternFill>
    </fill>
    <fill>
      <patternFill patternType="solid">
        <fgColor rgb="FFA9D5CB"/>
      </patternFill>
    </fill>
    <fill>
      <patternFill patternType="solid">
        <fgColor rgb="FFBCBEC0"/>
      </patternFill>
    </fill>
    <fill>
      <patternFill patternType="solid">
        <fgColor rgb="FFB2D4F0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EBDDB"/>
      </patternFill>
    </fill>
    <fill>
      <patternFill patternType="solid">
        <fgColor rgb="FFDADAEB"/>
      </patternFill>
    </fill>
    <fill>
      <patternFill patternType="solid">
        <fgColor rgb="FFDCDDDE"/>
      </patternFill>
    </fill>
    <fill>
      <patternFill patternType="solid">
        <fgColor rgb="FFCBC8E2"/>
      </patternFill>
    </fill>
    <fill>
      <patternFill patternType="solid">
        <fgColor rgb="FFE6E7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DC2"/>
      </patternFill>
    </fill>
    <fill>
      <patternFill patternType="solid">
        <fgColor rgb="FFE2E9A6"/>
      </patternFill>
    </fill>
    <fill>
      <patternFill patternType="solid">
        <fgColor rgb="FFBCD1E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3">
    <border>
      <left/>
      <right/>
      <top/>
      <bottom/>
      <diagonal/>
    </border>
    <border>
      <left style="thin">
        <color rgb="FFC5C6C6"/>
      </left>
      <right style="thin">
        <color rgb="FFC5C6C6"/>
      </right>
      <top style="thin">
        <color rgb="FFC5C6C6"/>
      </top>
      <bottom style="thin">
        <color rgb="FFC5C6C6"/>
      </bottom>
      <diagonal/>
    </border>
    <border>
      <left style="thin">
        <color rgb="FFC5C6C6"/>
      </left>
      <right style="thin">
        <color rgb="FFC5C6C6"/>
      </right>
      <top/>
      <bottom style="thin">
        <color rgb="FFC5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C5C6C6"/>
      </bottom>
      <diagonal/>
    </border>
    <border>
      <left style="thin">
        <color rgb="FFFFFFFF"/>
      </left>
      <right/>
      <top style="thin">
        <color rgb="FFC5C6C6"/>
      </top>
      <bottom style="thin">
        <color rgb="FFC5C6C6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/>
      <top/>
      <bottom style="thin">
        <color rgb="FFBCBEC0"/>
      </bottom>
      <diagonal/>
    </border>
    <border>
      <left style="thin">
        <color rgb="FFBCBEC0"/>
      </left>
      <right style="thin">
        <color rgb="FFBCBEC0"/>
      </right>
      <top/>
      <bottom style="thin">
        <color rgb="FFBCBEC0"/>
      </bottom>
      <diagonal/>
    </border>
    <border>
      <left style="thin">
        <color rgb="FFBCBEC0"/>
      </left>
      <right/>
      <top/>
      <bottom style="thin">
        <color rgb="FFBCBEC0"/>
      </bottom>
      <diagonal/>
    </border>
    <border>
      <left style="thin">
        <color rgb="FFFFFFFF"/>
      </left>
      <right/>
      <top style="thin">
        <color rgb="FFBCBEC0"/>
      </top>
      <bottom style="thin">
        <color rgb="FFBCBEC0"/>
      </bottom>
      <diagonal/>
    </border>
    <border>
      <left style="thin">
        <color rgb="FFBCBEC0"/>
      </left>
      <right style="thin">
        <color rgb="FFBCBEC0"/>
      </right>
      <top style="thin">
        <color rgb="FFBCBEC0"/>
      </top>
      <bottom style="thin">
        <color rgb="FFBCBEC0"/>
      </bottom>
      <diagonal/>
    </border>
    <border>
      <left style="thin">
        <color rgb="FFBCBEC0"/>
      </left>
      <right/>
      <top style="thin">
        <color rgb="FFBCBEC0"/>
      </top>
      <bottom style="thin">
        <color rgb="FFBCBEC0"/>
      </bottom>
      <diagonal/>
    </border>
    <border>
      <left/>
      <right/>
      <top/>
      <bottom style="thin">
        <color rgb="FFBCBEC0"/>
      </bottom>
      <diagonal/>
    </border>
    <border>
      <left/>
      <right style="thin">
        <color rgb="FFBCBEC0"/>
      </right>
      <top/>
      <bottom style="thin">
        <color rgb="FFBCBEC0"/>
      </bottom>
      <diagonal/>
    </border>
    <border>
      <left/>
      <right/>
      <top style="thin">
        <color rgb="FFBCBEC0"/>
      </top>
      <bottom style="thin">
        <color rgb="FFBCBEC0"/>
      </bottom>
      <diagonal/>
    </border>
    <border>
      <left style="thin">
        <color rgb="FFBCBEC0"/>
      </left>
      <right style="thin">
        <color rgb="FFBCBEC0"/>
      </right>
      <top style="thin">
        <color rgb="FFBCBEC0"/>
      </top>
      <bottom/>
      <diagonal/>
    </border>
    <border>
      <left/>
      <right/>
      <top/>
      <bottom style="thin">
        <color rgb="FFC5C6C6"/>
      </bottom>
      <diagonal/>
    </border>
    <border>
      <left/>
      <right/>
      <top style="thin">
        <color rgb="FFC5C6C6"/>
      </top>
      <bottom style="thin">
        <color rgb="FFC5C6C6"/>
      </bottom>
      <diagonal/>
    </border>
    <border>
      <left/>
      <right/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/>
      <right/>
      <top style="thin">
        <color rgb="FF1A1A18"/>
      </top>
      <bottom style="thin">
        <color rgb="FF1A1A18"/>
      </bottom>
      <diagonal/>
    </border>
    <border>
      <left/>
      <right style="thin">
        <color rgb="FF1A1A18"/>
      </right>
      <top style="thin">
        <color rgb="FF1A1A18"/>
      </top>
      <bottom style="thin">
        <color rgb="FF1A1A18"/>
      </bottom>
      <diagonal/>
    </border>
    <border>
      <left style="thin">
        <color rgb="FF1A1A18"/>
      </left>
      <right/>
      <top style="thin">
        <color rgb="FF1A1A18"/>
      </top>
      <bottom style="thin">
        <color rgb="FF1A1A18"/>
      </bottom>
      <diagonal/>
    </border>
    <border>
      <left style="thin">
        <color rgb="FF231F20"/>
      </left>
      <right/>
      <top/>
      <bottom/>
      <diagonal/>
    </border>
    <border>
      <left/>
      <right/>
      <top style="thin">
        <color rgb="FF231F20"/>
      </top>
      <bottom/>
      <diagonal/>
    </border>
    <border>
      <left style="thin">
        <color rgb="FFC5C6C6"/>
      </left>
      <right/>
      <top style="thin">
        <color rgb="FFC5C6C6"/>
      </top>
      <bottom style="thin">
        <color rgb="FFC5C6C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rgb="FFFFFFFF"/>
      </left>
      <right/>
      <top style="thin">
        <color rgb="FFBCBEC0"/>
      </top>
      <bottom/>
      <diagonal/>
    </border>
  </borders>
  <cellStyleXfs count="5">
    <xf numFmtId="0" fontId="0" fillId="0" borderId="0"/>
    <xf numFmtId="0" fontId="5" fillId="0" borderId="0"/>
    <xf numFmtId="0" fontId="2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574">
    <xf numFmtId="0" fontId="0" fillId="0" borderId="0" xfId="0"/>
    <xf numFmtId="0" fontId="5" fillId="0" borderId="0" xfId="1" applyFill="1" applyBorder="1" applyAlignment="1">
      <alignment horizontal="left" vertical="top"/>
    </xf>
    <xf numFmtId="0" fontId="4" fillId="3" borderId="3" xfId="1" applyFont="1" applyFill="1" applyBorder="1" applyAlignment="1">
      <alignment horizontal="left" textRotation="90" wrapText="1"/>
    </xf>
    <xf numFmtId="0" fontId="6" fillId="5" borderId="2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center" vertical="top" wrapText="1"/>
    </xf>
    <xf numFmtId="0" fontId="4" fillId="5" borderId="2" xfId="1" applyFont="1" applyFill="1" applyBorder="1" applyAlignment="1">
      <alignment horizontal="right" vertical="top" wrapText="1"/>
    </xf>
    <xf numFmtId="0" fontId="6" fillId="6" borderId="2" xfId="1" applyFont="1" applyFill="1" applyBorder="1" applyAlignment="1">
      <alignment horizontal="right" vertical="top" wrapText="1"/>
    </xf>
    <xf numFmtId="0" fontId="4" fillId="6" borderId="2" xfId="1" applyFont="1" applyFill="1" applyBorder="1" applyAlignment="1">
      <alignment horizontal="center" vertical="top" wrapText="1"/>
    </xf>
    <xf numFmtId="0" fontId="4" fillId="6" borderId="2" xfId="1" applyFont="1" applyFill="1" applyBorder="1" applyAlignment="1">
      <alignment horizontal="right" vertical="top" wrapText="1"/>
    </xf>
    <xf numFmtId="0" fontId="6" fillId="7" borderId="2" xfId="1" applyFont="1" applyFill="1" applyBorder="1" applyAlignment="1">
      <alignment horizontal="right" vertical="top" wrapText="1"/>
    </xf>
    <xf numFmtId="0" fontId="4" fillId="7" borderId="2" xfId="1" applyFont="1" applyFill="1" applyBorder="1" applyAlignment="1">
      <alignment horizontal="right" vertical="top" wrapText="1"/>
    </xf>
    <xf numFmtId="0" fontId="5" fillId="7" borderId="2" xfId="1" applyFill="1" applyBorder="1" applyAlignment="1">
      <alignment horizontal="left" wrapText="1"/>
    </xf>
    <xf numFmtId="0" fontId="6" fillId="2" borderId="4" xfId="1" applyFont="1" applyFill="1" applyBorder="1" applyAlignment="1">
      <alignment horizontal="left" textRotation="90" wrapText="1"/>
    </xf>
    <xf numFmtId="0" fontId="5" fillId="4" borderId="5" xfId="1" applyFill="1" applyBorder="1" applyAlignment="1">
      <alignment horizontal="left" wrapText="1"/>
    </xf>
    <xf numFmtId="0" fontId="7" fillId="4" borderId="6" xfId="1" applyFont="1" applyFill="1" applyBorder="1" applyAlignment="1">
      <alignment horizontal="left" vertical="top" wrapText="1"/>
    </xf>
    <xf numFmtId="0" fontId="10" fillId="9" borderId="3" xfId="1" applyFont="1" applyFill="1" applyBorder="1" applyAlignment="1">
      <alignment horizontal="left" textRotation="90" wrapText="1"/>
    </xf>
    <xf numFmtId="0" fontId="4" fillId="9" borderId="3" xfId="1" applyFont="1" applyFill="1" applyBorder="1" applyAlignment="1">
      <alignment horizontal="left" textRotation="90" wrapText="1"/>
    </xf>
    <xf numFmtId="0" fontId="6" fillId="9" borderId="3" xfId="1" applyFont="1" applyFill="1" applyBorder="1" applyAlignment="1">
      <alignment horizontal="left" textRotation="90" wrapText="1"/>
    </xf>
    <xf numFmtId="0" fontId="12" fillId="10" borderId="3" xfId="1" applyFont="1" applyFill="1" applyBorder="1" applyAlignment="1">
      <alignment horizontal="left" textRotation="90" wrapText="1"/>
    </xf>
    <xf numFmtId="0" fontId="13" fillId="10" borderId="3" xfId="1" applyFont="1" applyFill="1" applyBorder="1" applyAlignment="1">
      <alignment horizontal="left" textRotation="90" wrapText="1"/>
    </xf>
    <xf numFmtId="0" fontId="12" fillId="11" borderId="3" xfId="1" applyFont="1" applyFill="1" applyBorder="1" applyAlignment="1">
      <alignment horizontal="center" textRotation="90" wrapText="1"/>
    </xf>
    <xf numFmtId="0" fontId="13" fillId="11" borderId="3" xfId="1" applyFont="1" applyFill="1" applyBorder="1" applyAlignment="1">
      <alignment horizontal="center" textRotation="90" wrapText="1"/>
    </xf>
    <xf numFmtId="0" fontId="13" fillId="12" borderId="3" xfId="1" applyFont="1" applyFill="1" applyBorder="1" applyAlignment="1">
      <alignment horizontal="center" textRotation="90" wrapText="1"/>
    </xf>
    <xf numFmtId="0" fontId="14" fillId="0" borderId="0" xfId="0" applyFont="1"/>
    <xf numFmtId="0" fontId="3" fillId="3" borderId="3" xfId="1" applyFont="1" applyFill="1" applyBorder="1" applyAlignment="1">
      <alignment horizontal="left" textRotation="90" wrapText="1"/>
    </xf>
    <xf numFmtId="164" fontId="6" fillId="13" borderId="1" xfId="1" applyNumberFormat="1" applyFont="1" applyFill="1" applyBorder="1" applyAlignment="1">
      <alignment horizontal="right" vertical="top" wrapText="1"/>
    </xf>
    <xf numFmtId="164" fontId="4" fillId="13" borderId="1" xfId="1" applyNumberFormat="1" applyFont="1" applyFill="1" applyBorder="1" applyAlignment="1">
      <alignment horizontal="center" vertical="top" wrapText="1"/>
    </xf>
    <xf numFmtId="164" fontId="8" fillId="13" borderId="1" xfId="1" applyNumberFormat="1" applyFont="1" applyFill="1" applyBorder="1" applyAlignment="1">
      <alignment horizontal="right" vertical="top" shrinkToFit="1"/>
    </xf>
    <xf numFmtId="164" fontId="4" fillId="13" borderId="1" xfId="1" applyNumberFormat="1" applyFont="1" applyFill="1" applyBorder="1" applyAlignment="1">
      <alignment horizontal="right" vertical="top" wrapText="1"/>
    </xf>
    <xf numFmtId="164" fontId="7" fillId="13" borderId="1" xfId="1" applyNumberFormat="1" applyFont="1" applyFill="1" applyBorder="1" applyAlignment="1">
      <alignment horizontal="center" vertical="top" wrapText="1"/>
    </xf>
    <xf numFmtId="0" fontId="6" fillId="2" borderId="7" xfId="1" applyFont="1" applyFill="1" applyBorder="1" applyAlignment="1">
      <alignment horizontal="left" textRotation="90" wrapText="1"/>
    </xf>
    <xf numFmtId="0" fontId="12" fillId="11" borderId="8" xfId="1" applyFont="1" applyFill="1" applyBorder="1" applyAlignment="1">
      <alignment horizontal="center" textRotation="90" wrapText="1"/>
    </xf>
    <xf numFmtId="0" fontId="13" fillId="11" borderId="8" xfId="1" applyFont="1" applyFill="1" applyBorder="1" applyAlignment="1">
      <alignment horizontal="center" textRotation="90" wrapText="1"/>
    </xf>
    <xf numFmtId="0" fontId="4" fillId="3" borderId="8" xfId="1" applyFont="1" applyFill="1" applyBorder="1" applyAlignment="1">
      <alignment horizontal="left" textRotation="90" wrapText="1"/>
    </xf>
    <xf numFmtId="0" fontId="3" fillId="3" borderId="8" xfId="1" applyFont="1" applyFill="1" applyBorder="1" applyAlignment="1">
      <alignment horizontal="left" textRotation="90" wrapText="1"/>
    </xf>
    <xf numFmtId="0" fontId="12" fillId="10" borderId="8" xfId="1" applyFont="1" applyFill="1" applyBorder="1" applyAlignment="1">
      <alignment horizontal="left" textRotation="90" wrapText="1"/>
    </xf>
    <xf numFmtId="0" fontId="13" fillId="12" borderId="8" xfId="1" applyFont="1" applyFill="1" applyBorder="1" applyAlignment="1">
      <alignment horizontal="center" textRotation="90" wrapText="1"/>
    </xf>
    <xf numFmtId="0" fontId="13" fillId="10" borderId="8" xfId="1" applyFont="1" applyFill="1" applyBorder="1" applyAlignment="1">
      <alignment horizontal="left" textRotation="90" wrapText="1"/>
    </xf>
    <xf numFmtId="0" fontId="10" fillId="9" borderId="8" xfId="1" applyFont="1" applyFill="1" applyBorder="1" applyAlignment="1">
      <alignment horizontal="left" textRotation="90" wrapText="1"/>
    </xf>
    <xf numFmtId="0" fontId="4" fillId="9" borderId="8" xfId="1" applyFont="1" applyFill="1" applyBorder="1" applyAlignment="1">
      <alignment horizontal="left" textRotation="90" wrapText="1"/>
    </xf>
    <xf numFmtId="0" fontId="6" fillId="9" borderId="8" xfId="1" applyFont="1" applyFill="1" applyBorder="1" applyAlignment="1">
      <alignment horizontal="left" textRotation="90" wrapText="1"/>
    </xf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15" fillId="14" borderId="0" xfId="0" applyFont="1" applyFill="1" applyBorder="1"/>
    <xf numFmtId="0" fontId="15" fillId="14" borderId="13" xfId="0" applyFont="1" applyFill="1" applyBorder="1"/>
    <xf numFmtId="0" fontId="0" fillId="14" borderId="14" xfId="0" applyFill="1" applyBorder="1"/>
    <xf numFmtId="0" fontId="15" fillId="14" borderId="15" xfId="0" applyFont="1" applyFill="1" applyBorder="1"/>
    <xf numFmtId="0" fontId="15" fillId="14" borderId="16" xfId="0" applyFont="1" applyFill="1" applyBorder="1"/>
    <xf numFmtId="0" fontId="16" fillId="0" borderId="0" xfId="1" applyFont="1" applyFill="1" applyBorder="1" applyAlignment="1">
      <alignment horizontal="left" vertical="top"/>
    </xf>
    <xf numFmtId="0" fontId="15" fillId="14" borderId="10" xfId="0" applyFont="1" applyFill="1" applyBorder="1"/>
    <xf numFmtId="0" fontId="0" fillId="14" borderId="0" xfId="0" applyFill="1" applyBorder="1"/>
    <xf numFmtId="0" fontId="0" fillId="14" borderId="13" xfId="0" applyFill="1" applyBorder="1"/>
    <xf numFmtId="165" fontId="6" fillId="8" borderId="1" xfId="1" applyNumberFormat="1" applyFont="1" applyFill="1" applyBorder="1" applyAlignment="1">
      <alignment horizontal="right" vertical="top" wrapText="1"/>
    </xf>
    <xf numFmtId="165" fontId="17" fillId="8" borderId="1" xfId="1" applyNumberFormat="1" applyFont="1" applyFill="1" applyBorder="1" applyAlignment="1">
      <alignment horizontal="right" vertical="top" wrapText="1"/>
    </xf>
    <xf numFmtId="9" fontId="6" fillId="8" borderId="1" xfId="1" applyNumberFormat="1" applyFont="1" applyFill="1" applyBorder="1" applyAlignment="1">
      <alignment horizontal="right" vertical="top" wrapText="1"/>
    </xf>
    <xf numFmtId="164" fontId="6" fillId="15" borderId="1" xfId="1" applyNumberFormat="1" applyFont="1" applyFill="1" applyBorder="1" applyAlignment="1">
      <alignment horizontal="right" vertical="top" wrapText="1"/>
    </xf>
    <xf numFmtId="164" fontId="4" fillId="15" borderId="1" xfId="1" applyNumberFormat="1" applyFont="1" applyFill="1" applyBorder="1" applyAlignment="1">
      <alignment horizontal="center" vertical="top" wrapText="1"/>
    </xf>
    <xf numFmtId="164" fontId="8" fillId="15" borderId="1" xfId="1" applyNumberFormat="1" applyFont="1" applyFill="1" applyBorder="1" applyAlignment="1">
      <alignment horizontal="right" vertical="top" shrinkToFit="1"/>
    </xf>
    <xf numFmtId="164" fontId="4" fillId="15" borderId="1" xfId="1" applyNumberFormat="1" applyFont="1" applyFill="1" applyBorder="1" applyAlignment="1">
      <alignment horizontal="right" vertical="top" wrapText="1"/>
    </xf>
    <xf numFmtId="164" fontId="7" fillId="15" borderId="1" xfId="1" applyNumberFormat="1" applyFont="1" applyFill="1" applyBorder="1" applyAlignment="1">
      <alignment horizontal="center" vertical="top" wrapText="1"/>
    </xf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0" borderId="0" xfId="2" applyFill="1" applyBorder="1" applyAlignment="1">
      <alignment horizontal="left" vertical="top"/>
    </xf>
    <xf numFmtId="0" fontId="19" fillId="16" borderId="0" xfId="2" applyFont="1" applyFill="1" applyBorder="1" applyAlignment="1">
      <alignment horizontal="left" textRotation="90" wrapText="1"/>
    </xf>
    <xf numFmtId="0" fontId="2" fillId="17" borderId="19" xfId="2" applyFill="1" applyBorder="1" applyAlignment="1">
      <alignment horizontal="left" wrapText="1"/>
    </xf>
    <xf numFmtId="0" fontId="7" fillId="17" borderId="22" xfId="2" applyFont="1" applyFill="1" applyBorder="1" applyAlignment="1">
      <alignment horizontal="left" vertical="top" wrapText="1"/>
    </xf>
    <xf numFmtId="0" fontId="2" fillId="17" borderId="22" xfId="2" applyFill="1" applyBorder="1" applyAlignment="1">
      <alignment horizontal="left" vertical="top" wrapText="1"/>
    </xf>
    <xf numFmtId="0" fontId="7" fillId="17" borderId="22" xfId="2" applyFont="1" applyFill="1" applyBorder="1" applyAlignment="1">
      <alignment horizontal="left" vertical="top" wrapText="1"/>
    </xf>
    <xf numFmtId="0" fontId="2" fillId="17" borderId="19" xfId="2" applyFill="1" applyBorder="1" applyAlignment="1">
      <alignment horizontal="left" wrapText="1"/>
    </xf>
    <xf numFmtId="0" fontId="19" fillId="18" borderId="18" xfId="2" applyFont="1" applyFill="1" applyBorder="1" applyAlignment="1">
      <alignment vertical="center" wrapText="1"/>
    </xf>
    <xf numFmtId="164" fontId="21" fillId="18" borderId="21" xfId="2" applyNumberFormat="1" applyFont="1" applyFill="1" applyBorder="1" applyAlignment="1">
      <alignment vertical="center" shrinkToFit="1"/>
    </xf>
    <xf numFmtId="9" fontId="21" fillId="18" borderId="21" xfId="3" applyFont="1" applyFill="1" applyBorder="1" applyAlignment="1">
      <alignment vertical="center" shrinkToFit="1"/>
    </xf>
    <xf numFmtId="0" fontId="7" fillId="17" borderId="19" xfId="2" applyFont="1" applyFill="1" applyBorder="1" applyAlignment="1">
      <alignment horizontal="left" vertical="top" wrapText="1"/>
    </xf>
    <xf numFmtId="0" fontId="2" fillId="17" borderId="22" xfId="2" applyFill="1" applyBorder="1" applyAlignment="1">
      <alignment horizontal="left" wrapText="1"/>
    </xf>
    <xf numFmtId="164" fontId="21" fillId="18" borderId="18" xfId="2" applyNumberFormat="1" applyFont="1" applyFill="1" applyBorder="1" applyAlignment="1">
      <alignment vertical="center" shrinkToFit="1"/>
    </xf>
    <xf numFmtId="0" fontId="19" fillId="18" borderId="21" xfId="2" applyFont="1" applyFill="1" applyBorder="1" applyAlignment="1">
      <alignment vertical="center" wrapText="1"/>
    </xf>
    <xf numFmtId="9" fontId="21" fillId="18" borderId="18" xfId="3" applyFont="1" applyFill="1" applyBorder="1" applyAlignment="1">
      <alignment vertical="center" shrinkToFit="1"/>
    </xf>
    <xf numFmtId="0" fontId="19" fillId="16" borderId="0" xfId="2" applyFont="1" applyFill="1" applyBorder="1" applyAlignment="1">
      <alignment horizontal="left" textRotation="90" wrapText="1"/>
    </xf>
    <xf numFmtId="0" fontId="20" fillId="16" borderId="0" xfId="2" applyFont="1" applyFill="1" applyBorder="1" applyAlignment="1">
      <alignment horizontal="left" textRotation="90" wrapText="1"/>
    </xf>
    <xf numFmtId="164" fontId="24" fillId="18" borderId="21" xfId="2" applyNumberFormat="1" applyFont="1" applyFill="1" applyBorder="1" applyAlignment="1">
      <alignment vertical="center" shrinkToFit="1"/>
    </xf>
    <xf numFmtId="9" fontId="24" fillId="18" borderId="21" xfId="3" applyFont="1" applyFill="1" applyBorder="1" applyAlignment="1">
      <alignment vertical="center" shrinkToFit="1"/>
    </xf>
    <xf numFmtId="9" fontId="21" fillId="18" borderId="0" xfId="3" applyFont="1" applyFill="1" applyBorder="1" applyAlignment="1">
      <alignment vertical="center" shrinkToFit="1"/>
    </xf>
    <xf numFmtId="0" fontId="12" fillId="27" borderId="3" xfId="1" applyFont="1" applyFill="1" applyBorder="1" applyAlignment="1">
      <alignment horizontal="center" textRotation="90" wrapText="1"/>
    </xf>
    <xf numFmtId="0" fontId="19" fillId="16" borderId="0" xfId="2" applyFont="1" applyFill="1" applyBorder="1" applyAlignment="1">
      <alignment horizontal="left" textRotation="90" wrapText="1"/>
    </xf>
    <xf numFmtId="0" fontId="19" fillId="18" borderId="0" xfId="2" applyFont="1" applyFill="1" applyBorder="1" applyAlignment="1">
      <alignment vertical="center" wrapText="1"/>
    </xf>
    <xf numFmtId="0" fontId="13" fillId="9" borderId="0" xfId="1" applyFont="1" applyFill="1" applyBorder="1" applyAlignment="1">
      <alignment horizontal="center" textRotation="90" wrapText="1"/>
    </xf>
    <xf numFmtId="0" fontId="13" fillId="12" borderId="0" xfId="1" applyFont="1" applyFill="1" applyBorder="1" applyAlignment="1">
      <alignment horizontal="center" textRotation="90" wrapText="1"/>
    </xf>
    <xf numFmtId="0" fontId="13" fillId="28" borderId="0" xfId="1" applyFont="1" applyFill="1" applyBorder="1" applyAlignment="1">
      <alignment horizontal="center" textRotation="90" wrapText="1"/>
    </xf>
    <xf numFmtId="164" fontId="2" fillId="0" borderId="0" xfId="2" applyNumberForma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25" fillId="16" borderId="7" xfId="1" applyFont="1" applyFill="1" applyBorder="1" applyAlignment="1">
      <alignment horizontal="center" vertical="center" wrapText="1"/>
    </xf>
    <xf numFmtId="0" fontId="25" fillId="16" borderId="7" xfId="1" applyFont="1" applyFill="1" applyBorder="1" applyAlignment="1">
      <alignment horizontal="left" wrapText="1"/>
    </xf>
    <xf numFmtId="0" fontId="26" fillId="11" borderId="3" xfId="1" applyFont="1" applyFill="1" applyBorder="1" applyAlignment="1">
      <alignment horizontal="center" textRotation="90" wrapText="1"/>
    </xf>
    <xf numFmtId="0" fontId="27" fillId="11" borderId="3" xfId="1" applyFont="1" applyFill="1" applyBorder="1" applyAlignment="1">
      <alignment horizontal="center" textRotation="90" wrapText="1"/>
    </xf>
    <xf numFmtId="0" fontId="28" fillId="3" borderId="3" xfId="1" applyFont="1" applyFill="1" applyBorder="1" applyAlignment="1">
      <alignment horizontal="left" textRotation="90" wrapText="1"/>
    </xf>
    <xf numFmtId="0" fontId="27" fillId="12" borderId="3" xfId="1" applyFont="1" applyFill="1" applyBorder="1" applyAlignment="1">
      <alignment horizontal="center" textRotation="90" wrapText="1"/>
    </xf>
    <xf numFmtId="0" fontId="26" fillId="10" borderId="3" xfId="1" applyFont="1" applyFill="1" applyBorder="1" applyAlignment="1">
      <alignment horizontal="left" textRotation="90" wrapText="1"/>
    </xf>
    <xf numFmtId="0" fontId="27" fillId="10" borderId="3" xfId="1" applyFont="1" applyFill="1" applyBorder="1" applyAlignment="1">
      <alignment horizontal="left" textRotation="90" wrapText="1"/>
    </xf>
    <xf numFmtId="0" fontId="30" fillId="9" borderId="3" xfId="1" applyFont="1" applyFill="1" applyBorder="1" applyAlignment="1">
      <alignment horizontal="left" textRotation="90" wrapText="1"/>
    </xf>
    <xf numFmtId="0" fontId="28" fillId="9" borderId="3" xfId="1" applyFont="1" applyFill="1" applyBorder="1" applyAlignment="1">
      <alignment horizontal="left" textRotation="90" wrapText="1"/>
    </xf>
    <xf numFmtId="0" fontId="25" fillId="9" borderId="3" xfId="1" applyFont="1" applyFill="1" applyBorder="1" applyAlignment="1">
      <alignment horizontal="left" textRotation="90" wrapText="1"/>
    </xf>
    <xf numFmtId="0" fontId="32" fillId="9" borderId="3" xfId="1" applyFont="1" applyFill="1" applyBorder="1" applyAlignment="1">
      <alignment horizontal="left" textRotation="90" wrapText="1"/>
    </xf>
    <xf numFmtId="0" fontId="32" fillId="0" borderId="0" xfId="1" applyFont="1" applyFill="1" applyBorder="1" applyAlignment="1">
      <alignment horizontal="left" vertical="top" wrapText="1"/>
    </xf>
    <xf numFmtId="0" fontId="33" fillId="0" borderId="0" xfId="0" applyFont="1"/>
    <xf numFmtId="0" fontId="32" fillId="4" borderId="5" xfId="1" applyFont="1" applyFill="1" applyBorder="1" applyAlignment="1">
      <alignment horizontal="center" vertical="center" wrapText="1"/>
    </xf>
    <xf numFmtId="0" fontId="32" fillId="4" borderId="27" xfId="1" applyFont="1" applyFill="1" applyBorder="1" applyAlignment="1">
      <alignment horizontal="left" wrapText="1"/>
    </xf>
    <xf numFmtId="0" fontId="25" fillId="5" borderId="2" xfId="1" applyFont="1" applyFill="1" applyBorder="1" applyAlignment="1">
      <alignment horizontal="right" vertical="top" wrapText="1"/>
    </xf>
    <xf numFmtId="0" fontId="28" fillId="5" borderId="2" xfId="1" applyFont="1" applyFill="1" applyBorder="1" applyAlignment="1">
      <alignment horizontal="center" vertical="top" wrapText="1"/>
    </xf>
    <xf numFmtId="0" fontId="28" fillId="5" borderId="2" xfId="1" applyFont="1" applyFill="1" applyBorder="1" applyAlignment="1">
      <alignment horizontal="right" vertical="top" wrapText="1"/>
    </xf>
    <xf numFmtId="0" fontId="25" fillId="6" borderId="2" xfId="1" applyFont="1" applyFill="1" applyBorder="1" applyAlignment="1">
      <alignment horizontal="right" vertical="top" wrapText="1"/>
    </xf>
    <xf numFmtId="0" fontId="28" fillId="6" borderId="2" xfId="1" applyFont="1" applyFill="1" applyBorder="1" applyAlignment="1">
      <alignment horizontal="center" vertical="top" wrapText="1"/>
    </xf>
    <xf numFmtId="0" fontId="28" fillId="6" borderId="2" xfId="1" applyFont="1" applyFill="1" applyBorder="1" applyAlignment="1">
      <alignment horizontal="right" vertical="top" wrapText="1"/>
    </xf>
    <xf numFmtId="0" fontId="25" fillId="7" borderId="2" xfId="1" applyFont="1" applyFill="1" applyBorder="1" applyAlignment="1">
      <alignment horizontal="right" vertical="top" wrapText="1"/>
    </xf>
    <xf numFmtId="0" fontId="28" fillId="7" borderId="2" xfId="1" applyFont="1" applyFill="1" applyBorder="1" applyAlignment="1">
      <alignment horizontal="right" vertical="top" wrapText="1"/>
    </xf>
    <xf numFmtId="0" fontId="32" fillId="7" borderId="2" xfId="1" applyFont="1" applyFill="1" applyBorder="1" applyAlignment="1">
      <alignment horizontal="left" wrapText="1"/>
    </xf>
    <xf numFmtId="0" fontId="25" fillId="4" borderId="6" xfId="1" applyFont="1" applyFill="1" applyBorder="1" applyAlignment="1">
      <alignment horizontal="center" vertical="center" wrapText="1"/>
    </xf>
    <xf numFmtId="0" fontId="25" fillId="8" borderId="1" xfId="1" applyFont="1" applyFill="1" applyBorder="1" applyAlignment="1">
      <alignment horizontal="right" vertical="top" wrapText="1"/>
    </xf>
    <xf numFmtId="0" fontId="28" fillId="8" borderId="1" xfId="1" applyFont="1" applyFill="1" applyBorder="1" applyAlignment="1">
      <alignment horizontal="center" vertical="top" wrapText="1"/>
    </xf>
    <xf numFmtId="0" fontId="28" fillId="8" borderId="1" xfId="1" applyFont="1" applyFill="1" applyBorder="1" applyAlignment="1">
      <alignment horizontal="right" vertical="top" wrapText="1"/>
    </xf>
    <xf numFmtId="164" fontId="34" fillId="8" borderId="1" xfId="1" applyNumberFormat="1" applyFont="1" applyFill="1" applyBorder="1" applyAlignment="1">
      <alignment horizontal="right" vertical="top" shrinkToFit="1"/>
    </xf>
    <xf numFmtId="164" fontId="29" fillId="8" borderId="1" xfId="1" applyNumberFormat="1" applyFont="1" applyFill="1" applyBorder="1" applyAlignment="1">
      <alignment horizontal="right" vertical="top" shrinkToFit="1"/>
    </xf>
    <xf numFmtId="164" fontId="29" fillId="8" borderId="1" xfId="1" applyNumberFormat="1" applyFont="1" applyFill="1" applyBorder="1" applyAlignment="1">
      <alignment horizontal="center" vertical="top" shrinkToFit="1"/>
    </xf>
    <xf numFmtId="0" fontId="32" fillId="8" borderId="1" xfId="1" applyFont="1" applyFill="1" applyBorder="1" applyAlignment="1">
      <alignment horizontal="left" wrapText="1"/>
    </xf>
    <xf numFmtId="164" fontId="34" fillId="5" borderId="1" xfId="1" applyNumberFormat="1" applyFont="1" applyFill="1" applyBorder="1" applyAlignment="1">
      <alignment horizontal="right" vertical="top" shrinkToFit="1"/>
    </xf>
    <xf numFmtId="0" fontId="28" fillId="5" borderId="1" xfId="1" applyFont="1" applyFill="1" applyBorder="1" applyAlignment="1">
      <alignment horizontal="center" vertical="top" wrapText="1"/>
    </xf>
    <xf numFmtId="164" fontId="29" fillId="5" borderId="1" xfId="1" applyNumberFormat="1" applyFont="1" applyFill="1" applyBorder="1" applyAlignment="1">
      <alignment horizontal="right" vertical="top" shrinkToFit="1"/>
    </xf>
    <xf numFmtId="0" fontId="28" fillId="5" borderId="1" xfId="1" applyFont="1" applyFill="1" applyBorder="1" applyAlignment="1">
      <alignment horizontal="right" vertical="top" wrapText="1"/>
    </xf>
    <xf numFmtId="164" fontId="29" fillId="5" borderId="1" xfId="1" applyNumberFormat="1" applyFont="1" applyFill="1" applyBorder="1" applyAlignment="1">
      <alignment horizontal="center" vertical="top" shrinkToFit="1"/>
    </xf>
    <xf numFmtId="0" fontId="28" fillId="5" borderId="1" xfId="1" applyFont="1" applyFill="1" applyBorder="1" applyAlignment="1">
      <alignment horizontal="left" vertical="top" wrapText="1" indent="1"/>
    </xf>
    <xf numFmtId="164" fontId="34" fillId="6" borderId="1" xfId="1" applyNumberFormat="1" applyFont="1" applyFill="1" applyBorder="1" applyAlignment="1">
      <alignment horizontal="right" vertical="top" shrinkToFit="1"/>
    </xf>
    <xf numFmtId="0" fontId="28" fillId="6" borderId="1" xfId="1" applyFont="1" applyFill="1" applyBorder="1" applyAlignment="1">
      <alignment horizontal="center" vertical="top" wrapText="1"/>
    </xf>
    <xf numFmtId="164" fontId="29" fillId="6" borderId="1" xfId="1" applyNumberFormat="1" applyFont="1" applyFill="1" applyBorder="1" applyAlignment="1">
      <alignment horizontal="right" vertical="top" shrinkToFit="1"/>
    </xf>
    <xf numFmtId="0" fontId="28" fillId="6" borderId="1" xfId="1" applyFont="1" applyFill="1" applyBorder="1" applyAlignment="1">
      <alignment horizontal="right" vertical="top" wrapText="1"/>
    </xf>
    <xf numFmtId="164" fontId="29" fillId="6" borderId="1" xfId="1" applyNumberFormat="1" applyFont="1" applyFill="1" applyBorder="1" applyAlignment="1">
      <alignment horizontal="center" vertical="top" shrinkToFit="1"/>
    </xf>
    <xf numFmtId="164" fontId="34" fillId="7" borderId="1" xfId="1" applyNumberFormat="1" applyFont="1" applyFill="1" applyBorder="1" applyAlignment="1">
      <alignment horizontal="right" vertical="top" shrinkToFit="1"/>
    </xf>
    <xf numFmtId="164" fontId="29" fillId="7" borderId="1" xfId="1" applyNumberFormat="1" applyFont="1" applyFill="1" applyBorder="1" applyAlignment="1">
      <alignment horizontal="right" vertical="top" shrinkToFit="1"/>
    </xf>
    <xf numFmtId="3" fontId="33" fillId="0" borderId="0" xfId="0" applyNumberFormat="1" applyFont="1"/>
    <xf numFmtId="0" fontId="28" fillId="7" borderId="1" xfId="1" applyFont="1" applyFill="1" applyBorder="1" applyAlignment="1">
      <alignment horizontal="right" vertical="top" wrapText="1"/>
    </xf>
    <xf numFmtId="0" fontId="33" fillId="0" borderId="0" xfId="0" applyFont="1" applyAlignment="1">
      <alignment horizontal="center" vertical="center"/>
    </xf>
    <xf numFmtId="0" fontId="27" fillId="29" borderId="3" xfId="1" applyFont="1" applyFill="1" applyBorder="1" applyAlignment="1">
      <alignment horizontal="left" textRotation="90" wrapText="1"/>
    </xf>
    <xf numFmtId="0" fontId="32" fillId="0" borderId="0" xfId="1" applyFont="1" applyFill="1" applyBorder="1" applyAlignment="1">
      <alignment horizontal="left" vertical="top"/>
    </xf>
    <xf numFmtId="0" fontId="32" fillId="4" borderId="27" xfId="1" applyFont="1" applyFill="1" applyBorder="1" applyAlignment="1">
      <alignment horizontal="center" vertical="center" wrapText="1"/>
    </xf>
    <xf numFmtId="0" fontId="25" fillId="4" borderId="28" xfId="1" applyFont="1" applyFill="1" applyBorder="1" applyAlignment="1">
      <alignment horizontal="center" vertical="center" wrapText="1"/>
    </xf>
    <xf numFmtId="164" fontId="35" fillId="8" borderId="1" xfId="1" applyNumberFormat="1" applyFont="1" applyFill="1" applyBorder="1" applyAlignment="1">
      <alignment horizontal="right" vertical="top" shrinkToFit="1"/>
    </xf>
    <xf numFmtId="164" fontId="32" fillId="8" borderId="1" xfId="1" applyNumberFormat="1" applyFont="1" applyFill="1" applyBorder="1" applyAlignment="1">
      <alignment horizontal="right" vertical="top" shrinkToFit="1"/>
    </xf>
    <xf numFmtId="164" fontId="32" fillId="8" borderId="1" xfId="1" applyNumberFormat="1" applyFont="1" applyFill="1" applyBorder="1" applyAlignment="1">
      <alignment horizontal="center" vertical="top" shrinkToFit="1"/>
    </xf>
    <xf numFmtId="0" fontId="28" fillId="8" borderId="1" xfId="1" applyFont="1" applyFill="1" applyBorder="1" applyAlignment="1">
      <alignment horizontal="left" vertical="top" wrapText="1" indent="1"/>
    </xf>
    <xf numFmtId="164" fontId="35" fillId="5" borderId="1" xfId="1" applyNumberFormat="1" applyFont="1" applyFill="1" applyBorder="1" applyAlignment="1">
      <alignment horizontal="right" vertical="top" shrinkToFit="1"/>
    </xf>
    <xf numFmtId="164" fontId="32" fillId="5" borderId="1" xfId="1" applyNumberFormat="1" applyFont="1" applyFill="1" applyBorder="1" applyAlignment="1">
      <alignment horizontal="right" vertical="top" shrinkToFit="1"/>
    </xf>
    <xf numFmtId="164" fontId="35" fillId="6" borderId="1" xfId="1" applyNumberFormat="1" applyFont="1" applyFill="1" applyBorder="1" applyAlignment="1">
      <alignment horizontal="right" vertical="top" shrinkToFit="1"/>
    </xf>
    <xf numFmtId="164" fontId="32" fillId="6" borderId="1" xfId="1" applyNumberFormat="1" applyFont="1" applyFill="1" applyBorder="1" applyAlignment="1">
      <alignment horizontal="right" vertical="top" shrinkToFit="1"/>
    </xf>
    <xf numFmtId="164" fontId="35" fillId="7" borderId="1" xfId="1" applyNumberFormat="1" applyFont="1" applyFill="1" applyBorder="1" applyAlignment="1">
      <alignment horizontal="right" vertical="top" shrinkToFit="1"/>
    </xf>
    <xf numFmtId="164" fontId="32" fillId="7" borderId="1" xfId="1" applyNumberFormat="1" applyFont="1" applyFill="1" applyBorder="1" applyAlignment="1">
      <alignment horizontal="right" vertical="top" shrinkToFit="1"/>
    </xf>
    <xf numFmtId="164" fontId="32" fillId="5" borderId="1" xfId="1" applyNumberFormat="1" applyFont="1" applyFill="1" applyBorder="1" applyAlignment="1">
      <alignment horizontal="center" vertical="top" shrinkToFit="1"/>
    </xf>
    <xf numFmtId="164" fontId="32" fillId="6" borderId="1" xfId="1" applyNumberFormat="1" applyFont="1" applyFill="1" applyBorder="1" applyAlignment="1">
      <alignment horizontal="center" vertical="top" shrinkToFit="1"/>
    </xf>
    <xf numFmtId="168" fontId="35" fillId="5" borderId="1" xfId="1" applyNumberFormat="1" applyFont="1" applyFill="1" applyBorder="1" applyAlignment="1">
      <alignment horizontal="right" vertical="top" shrinkToFit="1"/>
    </xf>
    <xf numFmtId="164" fontId="35" fillId="5" borderId="1" xfId="1" applyNumberFormat="1" applyFont="1" applyFill="1" applyBorder="1" applyAlignment="1">
      <alignment horizontal="center" vertical="top" shrinkToFit="1"/>
    </xf>
    <xf numFmtId="168" fontId="35" fillId="6" borderId="1" xfId="1" applyNumberFormat="1" applyFont="1" applyFill="1" applyBorder="1" applyAlignment="1">
      <alignment horizontal="right" vertical="top" shrinkToFit="1"/>
    </xf>
    <xf numFmtId="164" fontId="35" fillId="6" borderId="1" xfId="1" applyNumberFormat="1" applyFont="1" applyFill="1" applyBorder="1" applyAlignment="1">
      <alignment horizontal="center" vertical="top" shrinkToFit="1"/>
    </xf>
    <xf numFmtId="0" fontId="25" fillId="6" borderId="1" xfId="1" applyFont="1" applyFill="1" applyBorder="1" applyAlignment="1">
      <alignment horizontal="right" vertical="top" wrapText="1"/>
    </xf>
    <xf numFmtId="168" fontId="35" fillId="7" borderId="1" xfId="1" applyNumberFormat="1" applyFont="1" applyFill="1" applyBorder="1" applyAlignment="1">
      <alignment horizontal="right" vertical="top" shrinkToFit="1"/>
    </xf>
    <xf numFmtId="0" fontId="25" fillId="7" borderId="1" xfId="1" applyFont="1" applyFill="1" applyBorder="1" applyAlignment="1">
      <alignment horizontal="right" vertical="top" wrapText="1"/>
    </xf>
    <xf numFmtId="0" fontId="32" fillId="0" borderId="0" xfId="1" applyFont="1" applyFill="1" applyBorder="1" applyAlignment="1">
      <alignment horizontal="center" vertical="center"/>
    </xf>
    <xf numFmtId="3" fontId="32" fillId="0" borderId="0" xfId="1" applyNumberFormat="1" applyFont="1" applyFill="1" applyBorder="1" applyAlignment="1">
      <alignment horizontal="left" vertical="top"/>
    </xf>
    <xf numFmtId="0" fontId="33" fillId="0" borderId="0" xfId="2" applyFont="1" applyFill="1" applyBorder="1" applyAlignment="1">
      <alignment horizontal="left" vertical="top"/>
    </xf>
    <xf numFmtId="0" fontId="25" fillId="16" borderId="0" xfId="2" applyFont="1" applyFill="1" applyBorder="1" applyAlignment="1">
      <alignment horizontal="left" textRotation="90" wrapText="1"/>
    </xf>
    <xf numFmtId="0" fontId="37" fillId="16" borderId="0" xfId="2" applyFont="1" applyFill="1" applyBorder="1" applyAlignment="1">
      <alignment horizontal="left" textRotation="90" wrapText="1"/>
    </xf>
    <xf numFmtId="0" fontId="33" fillId="17" borderId="23" xfId="2" applyFont="1" applyFill="1" applyBorder="1" applyAlignment="1">
      <alignment vertical="center" wrapText="1"/>
    </xf>
    <xf numFmtId="0" fontId="25" fillId="18" borderId="18" xfId="2" applyFont="1" applyFill="1" applyBorder="1" applyAlignment="1">
      <alignment vertical="center" wrapText="1"/>
    </xf>
    <xf numFmtId="0" fontId="28" fillId="18" borderId="18" xfId="2" applyFont="1" applyFill="1" applyBorder="1" applyAlignment="1">
      <alignment vertical="center" wrapText="1"/>
    </xf>
    <xf numFmtId="0" fontId="25" fillId="21" borderId="18" xfId="2" applyFont="1" applyFill="1" applyBorder="1" applyAlignment="1">
      <alignment vertical="center" wrapText="1"/>
    </xf>
    <xf numFmtId="0" fontId="28" fillId="21" borderId="18" xfId="2" applyFont="1" applyFill="1" applyBorder="1" applyAlignment="1">
      <alignment vertical="center" wrapText="1"/>
    </xf>
    <xf numFmtId="0" fontId="28" fillId="17" borderId="18" xfId="2" applyFont="1" applyFill="1" applyBorder="1" applyAlignment="1">
      <alignment vertical="center" wrapText="1"/>
    </xf>
    <xf numFmtId="0" fontId="25" fillId="22" borderId="18" xfId="2" applyFont="1" applyFill="1" applyBorder="1" applyAlignment="1">
      <alignment vertical="center" wrapText="1"/>
    </xf>
    <xf numFmtId="0" fontId="28" fillId="22" borderId="18" xfId="2" applyFont="1" applyFill="1" applyBorder="1" applyAlignment="1">
      <alignment vertical="center" wrapText="1"/>
    </xf>
    <xf numFmtId="0" fontId="33" fillId="22" borderId="18" xfId="2" applyFont="1" applyFill="1" applyBorder="1" applyAlignment="1">
      <alignment vertical="center" wrapText="1"/>
    </xf>
    <xf numFmtId="0" fontId="33" fillId="17" borderId="19" xfId="2" applyFont="1" applyFill="1" applyBorder="1" applyAlignment="1">
      <alignment horizontal="left" wrapText="1"/>
    </xf>
    <xf numFmtId="0" fontId="25" fillId="17" borderId="25" xfId="2" applyFont="1" applyFill="1" applyBorder="1" applyAlignment="1">
      <alignment vertical="center" wrapText="1"/>
    </xf>
    <xf numFmtId="0" fontId="25" fillId="0" borderId="21" xfId="2" applyFont="1" applyFill="1" applyBorder="1" applyAlignment="1">
      <alignment vertical="center" wrapText="1"/>
    </xf>
    <xf numFmtId="0" fontId="28" fillId="0" borderId="21" xfId="2" applyFont="1" applyFill="1" applyBorder="1" applyAlignment="1">
      <alignment vertical="center" wrapText="1"/>
    </xf>
    <xf numFmtId="164" fontId="37" fillId="0" borderId="21" xfId="2" applyNumberFormat="1" applyFont="1" applyFill="1" applyBorder="1" applyAlignment="1">
      <alignment vertical="center" shrinkToFit="1"/>
    </xf>
    <xf numFmtId="164" fontId="36" fillId="0" borderId="21" xfId="2" applyNumberFormat="1" applyFont="1" applyFill="1" applyBorder="1" applyAlignment="1">
      <alignment vertical="center" shrinkToFit="1"/>
    </xf>
    <xf numFmtId="0" fontId="28" fillId="17" borderId="21" xfId="2" applyFont="1" applyFill="1" applyBorder="1" applyAlignment="1">
      <alignment vertical="center" wrapText="1"/>
    </xf>
    <xf numFmtId="0" fontId="25" fillId="17" borderId="22" xfId="2" applyFont="1" applyFill="1" applyBorder="1" applyAlignment="1">
      <alignment horizontal="left" vertical="top" wrapText="1"/>
    </xf>
    <xf numFmtId="164" fontId="37" fillId="18" borderId="21" xfId="2" applyNumberFormat="1" applyFont="1" applyFill="1" applyBorder="1" applyAlignment="1">
      <alignment vertical="center" shrinkToFit="1"/>
    </xf>
    <xf numFmtId="0" fontId="28" fillId="18" borderId="21" xfId="2" applyFont="1" applyFill="1" applyBorder="1" applyAlignment="1">
      <alignment vertical="center" wrapText="1"/>
    </xf>
    <xf numFmtId="164" fontId="36" fillId="18" borderId="21" xfId="2" applyNumberFormat="1" applyFont="1" applyFill="1" applyBorder="1" applyAlignment="1">
      <alignment vertical="center" shrinkToFit="1"/>
    </xf>
    <xf numFmtId="164" fontId="37" fillId="21" borderId="21" xfId="2" applyNumberFormat="1" applyFont="1" applyFill="1" applyBorder="1" applyAlignment="1">
      <alignment vertical="center" shrinkToFit="1"/>
    </xf>
    <xf numFmtId="0" fontId="28" fillId="21" borderId="21" xfId="2" applyFont="1" applyFill="1" applyBorder="1" applyAlignment="1">
      <alignment vertical="center" wrapText="1"/>
    </xf>
    <xf numFmtId="164" fontId="36" fillId="21" borderId="21" xfId="2" applyNumberFormat="1" applyFont="1" applyFill="1" applyBorder="1" applyAlignment="1">
      <alignment vertical="center" shrinkToFit="1"/>
    </xf>
    <xf numFmtId="164" fontId="36" fillId="17" borderId="21" xfId="2" applyNumberFormat="1" applyFont="1" applyFill="1" applyBorder="1" applyAlignment="1">
      <alignment vertical="center" shrinkToFit="1"/>
    </xf>
    <xf numFmtId="164" fontId="37" fillId="22" borderId="21" xfId="2" applyNumberFormat="1" applyFont="1" applyFill="1" applyBorder="1" applyAlignment="1">
      <alignment vertical="center" shrinkToFit="1"/>
    </xf>
    <xf numFmtId="164" fontId="36" fillId="22" borderId="21" xfId="2" applyNumberFormat="1" applyFont="1" applyFill="1" applyBorder="1" applyAlignment="1">
      <alignment vertical="center" shrinkToFit="1"/>
    </xf>
    <xf numFmtId="0" fontId="28" fillId="22" borderId="21" xfId="2" applyFont="1" applyFill="1" applyBorder="1" applyAlignment="1">
      <alignment vertical="center" wrapText="1"/>
    </xf>
    <xf numFmtId="0" fontId="36" fillId="0" borderId="21" xfId="2" applyFont="1" applyFill="1" applyBorder="1" applyAlignment="1">
      <alignment vertical="center" wrapText="1"/>
    </xf>
    <xf numFmtId="0" fontId="28" fillId="17" borderId="26" xfId="2" applyFont="1" applyFill="1" applyBorder="1" applyAlignment="1">
      <alignment vertical="center" wrapText="1"/>
    </xf>
    <xf numFmtId="164" fontId="37" fillId="22" borderId="26" xfId="2" applyNumberFormat="1" applyFont="1" applyFill="1" applyBorder="1" applyAlignment="1">
      <alignment vertical="center" shrinkToFit="1"/>
    </xf>
    <xf numFmtId="0" fontId="28" fillId="22" borderId="26" xfId="2" applyFont="1" applyFill="1" applyBorder="1" applyAlignment="1">
      <alignment vertical="center" wrapText="1"/>
    </xf>
    <xf numFmtId="164" fontId="36" fillId="22" borderId="26" xfId="2" applyNumberFormat="1" applyFont="1" applyFill="1" applyBorder="1" applyAlignment="1">
      <alignment vertical="center" shrinkToFit="1"/>
    </xf>
    <xf numFmtId="168" fontId="37" fillId="23" borderId="21" xfId="2" applyNumberFormat="1" applyFont="1" applyFill="1" applyBorder="1" applyAlignment="1">
      <alignment vertical="center" shrinkToFit="1"/>
    </xf>
    <xf numFmtId="164" fontId="37" fillId="23" borderId="21" xfId="2" applyNumberFormat="1" applyFont="1" applyFill="1" applyBorder="1" applyAlignment="1">
      <alignment vertical="center" shrinkToFit="1"/>
    </xf>
    <xf numFmtId="168" fontId="37" fillId="24" borderId="21" xfId="2" applyNumberFormat="1" applyFont="1" applyFill="1" applyBorder="1" applyAlignment="1">
      <alignment vertical="center" shrinkToFit="1"/>
    </xf>
    <xf numFmtId="164" fontId="37" fillId="24" borderId="21" xfId="2" applyNumberFormat="1" applyFont="1" applyFill="1" applyBorder="1" applyAlignment="1">
      <alignment vertical="center" shrinkToFit="1"/>
    </xf>
    <xf numFmtId="0" fontId="25" fillId="24" borderId="21" xfId="2" applyFont="1" applyFill="1" applyBorder="1" applyAlignment="1">
      <alignment vertical="center" wrapText="1"/>
    </xf>
    <xf numFmtId="164" fontId="37" fillId="24" borderId="22" xfId="2" applyNumberFormat="1" applyFont="1" applyFill="1" applyBorder="1" applyAlignment="1">
      <alignment vertical="center" shrinkToFit="1"/>
    </xf>
    <xf numFmtId="164" fontId="37" fillId="25" borderId="0" xfId="2" applyNumberFormat="1" applyFont="1" applyFill="1" applyBorder="1" applyAlignment="1">
      <alignment vertical="center" shrinkToFit="1"/>
    </xf>
    <xf numFmtId="168" fontId="37" fillId="26" borderId="18" xfId="2" applyNumberFormat="1" applyFont="1" applyFill="1" applyBorder="1" applyAlignment="1">
      <alignment vertical="center" shrinkToFit="1"/>
    </xf>
    <xf numFmtId="164" fontId="37" fillId="26" borderId="18" xfId="2" applyNumberFormat="1" applyFont="1" applyFill="1" applyBorder="1" applyAlignment="1">
      <alignment vertical="center" shrinkToFit="1"/>
    </xf>
    <xf numFmtId="0" fontId="25" fillId="26" borderId="18" xfId="2" applyFont="1" applyFill="1" applyBorder="1" applyAlignment="1">
      <alignment vertical="center" wrapText="1"/>
    </xf>
    <xf numFmtId="0" fontId="33" fillId="17" borderId="22" xfId="2" applyFont="1" applyFill="1" applyBorder="1" applyAlignment="1">
      <alignment horizontal="left" vertical="top" wrapText="1"/>
    </xf>
    <xf numFmtId="168" fontId="37" fillId="26" borderId="24" xfId="2" applyNumberFormat="1" applyFont="1" applyFill="1" applyBorder="1" applyAlignment="1">
      <alignment vertical="center" shrinkToFit="1"/>
    </xf>
    <xf numFmtId="164" fontId="35" fillId="8" borderId="1" xfId="1" applyNumberFormat="1" applyFont="1" applyFill="1" applyBorder="1" applyAlignment="1">
      <alignment horizontal="center" vertical="center" shrinkToFit="1"/>
    </xf>
    <xf numFmtId="0" fontId="28" fillId="8" borderId="1" xfId="1" applyFont="1" applyFill="1" applyBorder="1" applyAlignment="1">
      <alignment horizontal="center" vertical="center" wrapText="1"/>
    </xf>
    <xf numFmtId="164" fontId="32" fillId="8" borderId="1" xfId="1" applyNumberFormat="1" applyFont="1" applyFill="1" applyBorder="1" applyAlignment="1">
      <alignment horizontal="center" vertical="center" shrinkToFit="1"/>
    </xf>
    <xf numFmtId="164" fontId="35" fillId="5" borderId="1" xfId="1" applyNumberFormat="1" applyFont="1" applyFill="1" applyBorder="1" applyAlignment="1">
      <alignment horizontal="center" vertical="center" shrinkToFit="1"/>
    </xf>
    <xf numFmtId="164" fontId="32" fillId="5" borderId="1" xfId="1" applyNumberFormat="1" applyFont="1" applyFill="1" applyBorder="1" applyAlignment="1">
      <alignment horizontal="center" vertical="center" shrinkToFit="1"/>
    </xf>
    <xf numFmtId="0" fontId="28" fillId="5" borderId="1" xfId="1" applyFont="1" applyFill="1" applyBorder="1" applyAlignment="1">
      <alignment horizontal="center" vertical="center" wrapText="1"/>
    </xf>
    <xf numFmtId="164" fontId="35" fillId="6" borderId="1" xfId="1" applyNumberFormat="1" applyFont="1" applyFill="1" applyBorder="1" applyAlignment="1">
      <alignment horizontal="center" vertical="center" shrinkToFit="1"/>
    </xf>
    <xf numFmtId="164" fontId="32" fillId="6" borderId="1" xfId="1" applyNumberFormat="1" applyFont="1" applyFill="1" applyBorder="1" applyAlignment="1">
      <alignment horizontal="center" vertical="center" shrinkToFit="1"/>
    </xf>
    <xf numFmtId="0" fontId="28" fillId="6" borderId="1" xfId="1" applyFont="1" applyFill="1" applyBorder="1" applyAlignment="1">
      <alignment horizontal="center" vertical="center" wrapText="1"/>
    </xf>
    <xf numFmtId="164" fontId="35" fillId="7" borderId="1" xfId="1" applyNumberFormat="1" applyFont="1" applyFill="1" applyBorder="1" applyAlignment="1">
      <alignment horizontal="center" vertical="center" shrinkToFit="1"/>
    </xf>
    <xf numFmtId="164" fontId="32" fillId="7" borderId="1" xfId="1" applyNumberFormat="1" applyFont="1" applyFill="1" applyBorder="1" applyAlignment="1">
      <alignment horizontal="center" vertical="center" shrinkToFit="1"/>
    </xf>
    <xf numFmtId="0" fontId="25" fillId="16" borderId="0" xfId="2" applyFont="1" applyFill="1" applyBorder="1" applyAlignment="1">
      <alignment textRotation="90" wrapText="1"/>
    </xf>
    <xf numFmtId="0" fontId="33" fillId="17" borderId="22" xfId="2" applyFont="1" applyFill="1" applyBorder="1" applyAlignment="1">
      <alignment horizontal="left" wrapText="1"/>
    </xf>
    <xf numFmtId="0" fontId="25" fillId="18" borderId="21" xfId="2" applyFont="1" applyFill="1" applyBorder="1" applyAlignment="1">
      <alignment vertical="center" wrapText="1"/>
    </xf>
    <xf numFmtId="1" fontId="37" fillId="0" borderId="21" xfId="2" applyNumberFormat="1" applyFont="1" applyFill="1" applyBorder="1" applyAlignment="1">
      <alignment vertical="center" shrinkToFit="1"/>
    </xf>
    <xf numFmtId="1" fontId="36" fillId="0" borderId="21" xfId="2" applyNumberFormat="1" applyFont="1" applyFill="1" applyBorder="1" applyAlignment="1">
      <alignment vertical="center" shrinkToFit="1"/>
    </xf>
    <xf numFmtId="3" fontId="37" fillId="0" borderId="21" xfId="2" applyNumberFormat="1" applyFont="1" applyFill="1" applyBorder="1" applyAlignment="1">
      <alignment vertical="center" shrinkToFit="1"/>
    </xf>
    <xf numFmtId="3" fontId="36" fillId="0" borderId="21" xfId="2" applyNumberFormat="1" applyFont="1" applyFill="1" applyBorder="1" applyAlignment="1">
      <alignment vertical="center" shrinkToFit="1"/>
    </xf>
    <xf numFmtId="9" fontId="36" fillId="18" borderId="21" xfId="3" applyFont="1" applyFill="1" applyBorder="1" applyAlignment="1">
      <alignment vertical="center" shrinkToFit="1"/>
    </xf>
    <xf numFmtId="0" fontId="25" fillId="17" borderId="19" xfId="2" applyFont="1" applyFill="1" applyBorder="1" applyAlignment="1">
      <alignment horizontal="left" vertical="top" wrapText="1"/>
    </xf>
    <xf numFmtId="164" fontId="36" fillId="18" borderId="18" xfId="2" applyNumberFormat="1" applyFont="1" applyFill="1" applyBorder="1" applyAlignment="1">
      <alignment vertical="center" shrinkToFit="1"/>
    </xf>
    <xf numFmtId="9" fontId="36" fillId="18" borderId="18" xfId="3" applyFont="1" applyFill="1" applyBorder="1" applyAlignment="1">
      <alignment vertical="center" shrinkToFit="1"/>
    </xf>
    <xf numFmtId="3" fontId="37" fillId="18" borderId="21" xfId="2" applyNumberFormat="1" applyFont="1" applyFill="1" applyBorder="1" applyAlignment="1">
      <alignment vertical="center" shrinkToFit="1"/>
    </xf>
    <xf numFmtId="3" fontId="36" fillId="18" borderId="21" xfId="2" applyNumberFormat="1" applyFont="1" applyFill="1" applyBorder="1" applyAlignment="1">
      <alignment vertical="center" shrinkToFit="1"/>
    </xf>
    <xf numFmtId="1" fontId="36" fillId="18" borderId="21" xfId="2" applyNumberFormat="1" applyFont="1" applyFill="1" applyBorder="1" applyAlignment="1">
      <alignment vertical="center" shrinkToFit="1"/>
    </xf>
    <xf numFmtId="3" fontId="37" fillId="21" borderId="21" xfId="2" applyNumberFormat="1" applyFont="1" applyFill="1" applyBorder="1" applyAlignment="1">
      <alignment vertical="center" shrinkToFit="1"/>
    </xf>
    <xf numFmtId="3" fontId="36" fillId="21" borderId="21" xfId="2" applyNumberFormat="1" applyFont="1" applyFill="1" applyBorder="1" applyAlignment="1">
      <alignment vertical="center" shrinkToFit="1"/>
    </xf>
    <xf numFmtId="1" fontId="36" fillId="21" borderId="21" xfId="2" applyNumberFormat="1" applyFont="1" applyFill="1" applyBorder="1" applyAlignment="1">
      <alignment vertical="center" shrinkToFit="1"/>
    </xf>
    <xf numFmtId="3" fontId="37" fillId="22" borderId="21" xfId="2" applyNumberFormat="1" applyFont="1" applyFill="1" applyBorder="1" applyAlignment="1">
      <alignment vertical="center" shrinkToFit="1"/>
    </xf>
    <xf numFmtId="1" fontId="37" fillId="18" borderId="21" xfId="2" applyNumberFormat="1" applyFont="1" applyFill="1" applyBorder="1" applyAlignment="1">
      <alignment vertical="center" shrinkToFit="1"/>
    </xf>
    <xf numFmtId="0" fontId="36" fillId="18" borderId="21" xfId="2" applyFont="1" applyFill="1" applyBorder="1" applyAlignment="1">
      <alignment vertical="center" wrapText="1"/>
    </xf>
    <xf numFmtId="1" fontId="37" fillId="21" borderId="21" xfId="2" applyNumberFormat="1" applyFont="1" applyFill="1" applyBorder="1" applyAlignment="1">
      <alignment vertical="center" shrinkToFit="1"/>
    </xf>
    <xf numFmtId="3" fontId="37" fillId="22" borderId="26" xfId="2" applyNumberFormat="1" applyFont="1" applyFill="1" applyBorder="1" applyAlignment="1">
      <alignment vertical="center" shrinkToFit="1"/>
    </xf>
    <xf numFmtId="3" fontId="37" fillId="23" borderId="21" xfId="2" applyNumberFormat="1" applyFont="1" applyFill="1" applyBorder="1" applyAlignment="1">
      <alignment vertical="center" shrinkToFit="1"/>
    </xf>
    <xf numFmtId="1" fontId="37" fillId="23" borderId="21" xfId="2" applyNumberFormat="1" applyFont="1" applyFill="1" applyBorder="1" applyAlignment="1">
      <alignment vertical="center" shrinkToFit="1"/>
    </xf>
    <xf numFmtId="3" fontId="37" fillId="24" borderId="21" xfId="2" applyNumberFormat="1" applyFont="1" applyFill="1" applyBorder="1" applyAlignment="1">
      <alignment vertical="center" shrinkToFit="1"/>
    </xf>
    <xf numFmtId="1" fontId="37" fillId="24" borderId="21" xfId="2" applyNumberFormat="1" applyFont="1" applyFill="1" applyBorder="1" applyAlignment="1">
      <alignment vertical="center" shrinkToFit="1"/>
    </xf>
    <xf numFmtId="3" fontId="37" fillId="24" borderId="22" xfId="2" applyNumberFormat="1" applyFont="1" applyFill="1" applyBorder="1" applyAlignment="1">
      <alignment vertical="center" shrinkToFit="1"/>
    </xf>
    <xf numFmtId="1" fontId="37" fillId="25" borderId="0" xfId="2" applyNumberFormat="1" applyFont="1" applyFill="1" applyBorder="1" applyAlignment="1">
      <alignment vertical="center" shrinkToFit="1"/>
    </xf>
    <xf numFmtId="3" fontId="37" fillId="26" borderId="18" xfId="2" applyNumberFormat="1" applyFont="1" applyFill="1" applyBorder="1" applyAlignment="1">
      <alignment vertical="center" shrinkToFit="1"/>
    </xf>
    <xf numFmtId="3" fontId="37" fillId="26" borderId="24" xfId="2" applyNumberFormat="1" applyFont="1" applyFill="1" applyBorder="1" applyAlignment="1">
      <alignment vertical="center" shrinkToFit="1"/>
    </xf>
    <xf numFmtId="0" fontId="33" fillId="0" borderId="0" xfId="2" applyFont="1" applyFill="1" applyBorder="1" applyAlignment="1">
      <alignment vertical="center"/>
    </xf>
    <xf numFmtId="0" fontId="32" fillId="4" borderId="5" xfId="1" applyFont="1" applyFill="1" applyBorder="1" applyAlignment="1">
      <alignment horizontal="left" wrapText="1"/>
    </xf>
    <xf numFmtId="0" fontId="28" fillId="7" borderId="2" xfId="1" applyFont="1" applyFill="1" applyBorder="1" applyAlignment="1">
      <alignment horizontal="center" vertical="top" wrapText="1"/>
    </xf>
    <xf numFmtId="0" fontId="25" fillId="4" borderId="6" xfId="1" applyFont="1" applyFill="1" applyBorder="1" applyAlignment="1">
      <alignment horizontal="left" vertical="top" wrapText="1"/>
    </xf>
    <xf numFmtId="1" fontId="34" fillId="8" borderId="1" xfId="1" applyNumberFormat="1" applyFont="1" applyFill="1" applyBorder="1" applyAlignment="1">
      <alignment horizontal="right" vertical="top" shrinkToFit="1"/>
    </xf>
    <xf numFmtId="1" fontId="29" fillId="8" borderId="1" xfId="1" applyNumberFormat="1" applyFont="1" applyFill="1" applyBorder="1" applyAlignment="1">
      <alignment horizontal="right" vertical="top" shrinkToFit="1"/>
    </xf>
    <xf numFmtId="3" fontId="34" fillId="8" borderId="1" xfId="1" applyNumberFormat="1" applyFont="1" applyFill="1" applyBorder="1" applyAlignment="1">
      <alignment horizontal="right" vertical="top" shrinkToFit="1"/>
    </xf>
    <xf numFmtId="3" fontId="29" fillId="8" borderId="1" xfId="1" applyNumberFormat="1" applyFont="1" applyFill="1" applyBorder="1" applyAlignment="1">
      <alignment horizontal="right" vertical="top" shrinkToFit="1"/>
    </xf>
    <xf numFmtId="3" fontId="34" fillId="5" borderId="1" xfId="1" applyNumberFormat="1" applyFont="1" applyFill="1" applyBorder="1" applyAlignment="1">
      <alignment horizontal="right" vertical="top" shrinkToFit="1"/>
    </xf>
    <xf numFmtId="3" fontId="29" fillId="5" borderId="1" xfId="1" applyNumberFormat="1" applyFont="1" applyFill="1" applyBorder="1" applyAlignment="1">
      <alignment horizontal="right" vertical="top" shrinkToFit="1"/>
    </xf>
    <xf numFmtId="1" fontId="29" fillId="5" borderId="1" xfId="1" applyNumberFormat="1" applyFont="1" applyFill="1" applyBorder="1" applyAlignment="1">
      <alignment horizontal="right" vertical="top" shrinkToFit="1"/>
    </xf>
    <xf numFmtId="1" fontId="29" fillId="5" borderId="1" xfId="1" applyNumberFormat="1" applyFont="1" applyFill="1" applyBorder="1" applyAlignment="1">
      <alignment horizontal="center" vertical="top" shrinkToFit="1"/>
    </xf>
    <xf numFmtId="3" fontId="34" fillId="6" borderId="1" xfId="1" applyNumberFormat="1" applyFont="1" applyFill="1" applyBorder="1" applyAlignment="1">
      <alignment horizontal="right" vertical="top" shrinkToFit="1"/>
    </xf>
    <xf numFmtId="3" fontId="29" fillId="6" borderId="1" xfId="1" applyNumberFormat="1" applyFont="1" applyFill="1" applyBorder="1" applyAlignment="1">
      <alignment horizontal="right" vertical="top" shrinkToFit="1"/>
    </xf>
    <xf numFmtId="1" fontId="29" fillId="6" borderId="1" xfId="1" applyNumberFormat="1" applyFont="1" applyFill="1" applyBorder="1" applyAlignment="1">
      <alignment horizontal="right" vertical="top" shrinkToFit="1"/>
    </xf>
    <xf numFmtId="0" fontId="28" fillId="7" borderId="1" xfId="1" applyFont="1" applyFill="1" applyBorder="1" applyAlignment="1">
      <alignment horizontal="center" vertical="top" wrapText="1"/>
    </xf>
    <xf numFmtId="3" fontId="34" fillId="7" borderId="1" xfId="1" applyNumberFormat="1" applyFont="1" applyFill="1" applyBorder="1" applyAlignment="1">
      <alignment horizontal="right" vertical="top" shrinkToFit="1"/>
    </xf>
    <xf numFmtId="1" fontId="29" fillId="8" borderId="1" xfId="1" applyNumberFormat="1" applyFont="1" applyFill="1" applyBorder="1" applyAlignment="1">
      <alignment horizontal="center" vertical="top" shrinkToFit="1"/>
    </xf>
    <xf numFmtId="1" fontId="29" fillId="7" borderId="1" xfId="1" applyNumberFormat="1" applyFont="1" applyFill="1" applyBorder="1" applyAlignment="1">
      <alignment horizontal="center" vertical="top" shrinkToFit="1"/>
    </xf>
    <xf numFmtId="0" fontId="28" fillId="7" borderId="1" xfId="1" applyFont="1" applyFill="1" applyBorder="1" applyAlignment="1">
      <alignment horizontal="left" vertical="top" wrapText="1"/>
    </xf>
    <xf numFmtId="1" fontId="34" fillId="6" borderId="1" xfId="1" applyNumberFormat="1" applyFont="1" applyFill="1" applyBorder="1" applyAlignment="1">
      <alignment horizontal="right" vertical="top" shrinkToFit="1"/>
    </xf>
    <xf numFmtId="1" fontId="34" fillId="5" borderId="1" xfId="1" applyNumberFormat="1" applyFont="1" applyFill="1" applyBorder="1" applyAlignment="1">
      <alignment horizontal="right" vertical="top" shrinkToFit="1"/>
    </xf>
    <xf numFmtId="3" fontId="29" fillId="8" borderId="1" xfId="1" applyNumberFormat="1" applyFont="1" applyFill="1" applyBorder="1" applyAlignment="1">
      <alignment horizontal="center" vertical="top" shrinkToFit="1"/>
    </xf>
    <xf numFmtId="0" fontId="25" fillId="4" borderId="28" xfId="1" applyFont="1" applyFill="1" applyBorder="1" applyAlignment="1">
      <alignment horizontal="left" vertical="top" wrapText="1"/>
    </xf>
    <xf numFmtId="0" fontId="32" fillId="17" borderId="17" xfId="1" applyFont="1" applyFill="1" applyBorder="1" applyAlignment="1">
      <alignment horizontal="left" wrapText="1"/>
    </xf>
    <xf numFmtId="0" fontId="25" fillId="18" borderId="18" xfId="1" applyFont="1" applyFill="1" applyBorder="1" applyAlignment="1">
      <alignment horizontal="right" vertical="top" wrapText="1"/>
    </xf>
    <xf numFmtId="0" fontId="28" fillId="18" borderId="18" xfId="1" applyFont="1" applyFill="1" applyBorder="1" applyAlignment="1">
      <alignment horizontal="right" vertical="top" wrapText="1"/>
    </xf>
    <xf numFmtId="0" fontId="28" fillId="18" borderId="18" xfId="1" applyFont="1" applyFill="1" applyBorder="1" applyAlignment="1">
      <alignment horizontal="center" vertical="top" wrapText="1"/>
    </xf>
    <xf numFmtId="0" fontId="25" fillId="19" borderId="18" xfId="1" applyFont="1" applyFill="1" applyBorder="1" applyAlignment="1">
      <alignment horizontal="right" vertical="top" wrapText="1"/>
    </xf>
    <xf numFmtId="0" fontId="28" fillId="19" borderId="18" xfId="1" applyFont="1" applyFill="1" applyBorder="1" applyAlignment="1">
      <alignment horizontal="right" vertical="top" wrapText="1"/>
    </xf>
    <xf numFmtId="0" fontId="28" fillId="19" borderId="18" xfId="1" applyFont="1" applyFill="1" applyBorder="1" applyAlignment="1">
      <alignment horizontal="center" vertical="top" wrapText="1"/>
    </xf>
    <xf numFmtId="0" fontId="28" fillId="20" borderId="18" xfId="1" applyFont="1" applyFill="1" applyBorder="1" applyAlignment="1">
      <alignment horizontal="right" vertical="top" wrapText="1"/>
    </xf>
    <xf numFmtId="0" fontId="25" fillId="20" borderId="18" xfId="1" applyFont="1" applyFill="1" applyBorder="1" applyAlignment="1">
      <alignment horizontal="right" vertical="top" wrapText="1"/>
    </xf>
    <xf numFmtId="0" fontId="37" fillId="17" borderId="20" xfId="1" applyFont="1" applyFill="1" applyBorder="1" applyAlignment="1">
      <alignment horizontal="right" vertical="top" wrapText="1"/>
    </xf>
    <xf numFmtId="3" fontId="37" fillId="8" borderId="21" xfId="1" applyNumberFormat="1" applyFont="1" applyFill="1" applyBorder="1" applyAlignment="1">
      <alignment horizontal="right" vertical="top" shrinkToFit="1"/>
    </xf>
    <xf numFmtId="0" fontId="28" fillId="8" borderId="21" xfId="1" applyFont="1" applyFill="1" applyBorder="1" applyAlignment="1">
      <alignment horizontal="right" vertical="top" wrapText="1"/>
    </xf>
    <xf numFmtId="3" fontId="36" fillId="8" borderId="21" xfId="1" applyNumberFormat="1" applyFont="1" applyFill="1" applyBorder="1" applyAlignment="1">
      <alignment horizontal="right" vertical="top" shrinkToFit="1"/>
    </xf>
    <xf numFmtId="1" fontId="36" fillId="8" borderId="21" xfId="1" applyNumberFormat="1" applyFont="1" applyFill="1" applyBorder="1" applyAlignment="1">
      <alignment horizontal="right" vertical="top" shrinkToFit="1"/>
    </xf>
    <xf numFmtId="0" fontId="28" fillId="8" borderId="21" xfId="1" applyFont="1" applyFill="1" applyBorder="1" applyAlignment="1">
      <alignment horizontal="center" vertical="top" wrapText="1"/>
    </xf>
    <xf numFmtId="1" fontId="36" fillId="8" borderId="21" xfId="1" applyNumberFormat="1" applyFont="1" applyFill="1" applyBorder="1" applyAlignment="1">
      <alignment horizontal="center" vertical="top" shrinkToFit="1"/>
    </xf>
    <xf numFmtId="3" fontId="37" fillId="18" borderId="21" xfId="1" applyNumberFormat="1" applyFont="1" applyFill="1" applyBorder="1" applyAlignment="1">
      <alignment horizontal="right" vertical="top" shrinkToFit="1"/>
    </xf>
    <xf numFmtId="0" fontId="28" fillId="18" borderId="21" xfId="1" applyFont="1" applyFill="1" applyBorder="1" applyAlignment="1">
      <alignment horizontal="right" vertical="top" wrapText="1"/>
    </xf>
    <xf numFmtId="3" fontId="36" fillId="18" borderId="21" xfId="1" applyNumberFormat="1" applyFont="1" applyFill="1" applyBorder="1" applyAlignment="1">
      <alignment horizontal="right" vertical="top" shrinkToFit="1"/>
    </xf>
    <xf numFmtId="1" fontId="36" fillId="18" borderId="21" xfId="1" applyNumberFormat="1" applyFont="1" applyFill="1" applyBorder="1" applyAlignment="1">
      <alignment horizontal="right" vertical="top" shrinkToFit="1"/>
    </xf>
    <xf numFmtId="0" fontId="28" fillId="18" borderId="21" xfId="1" applyFont="1" applyFill="1" applyBorder="1" applyAlignment="1">
      <alignment horizontal="center" vertical="top" wrapText="1"/>
    </xf>
    <xf numFmtId="3" fontId="37" fillId="19" borderId="21" xfId="1" applyNumberFormat="1" applyFont="1" applyFill="1" applyBorder="1" applyAlignment="1">
      <alignment horizontal="right" vertical="top" shrinkToFit="1"/>
    </xf>
    <xf numFmtId="0" fontId="28" fillId="19" borderId="21" xfId="1" applyFont="1" applyFill="1" applyBorder="1" applyAlignment="1">
      <alignment horizontal="right" vertical="top" wrapText="1"/>
    </xf>
    <xf numFmtId="0" fontId="28" fillId="19" borderId="21" xfId="1" applyFont="1" applyFill="1" applyBorder="1" applyAlignment="1">
      <alignment horizontal="center" vertical="top" wrapText="1"/>
    </xf>
    <xf numFmtId="3" fontId="36" fillId="19" borderId="21" xfId="1" applyNumberFormat="1" applyFont="1" applyFill="1" applyBorder="1" applyAlignment="1">
      <alignment horizontal="right" vertical="top" shrinkToFit="1"/>
    </xf>
    <xf numFmtId="0" fontId="28" fillId="20" borderId="21" xfId="1" applyFont="1" applyFill="1" applyBorder="1" applyAlignment="1">
      <alignment horizontal="right" vertical="top" wrapText="1"/>
    </xf>
    <xf numFmtId="3" fontId="37" fillId="20" borderId="21" xfId="1" applyNumberFormat="1" applyFont="1" applyFill="1" applyBorder="1" applyAlignment="1">
      <alignment horizontal="right" vertical="top" shrinkToFit="1"/>
    </xf>
    <xf numFmtId="1" fontId="36" fillId="19" borderId="21" xfId="1" applyNumberFormat="1" applyFont="1" applyFill="1" applyBorder="1" applyAlignment="1">
      <alignment horizontal="right" vertical="top" shrinkToFit="1"/>
    </xf>
    <xf numFmtId="1" fontId="37" fillId="19" borderId="21" xfId="1" applyNumberFormat="1" applyFont="1" applyFill="1" applyBorder="1" applyAlignment="1">
      <alignment horizontal="right" vertical="top" shrinkToFit="1"/>
    </xf>
    <xf numFmtId="1" fontId="36" fillId="19" borderId="21" xfId="1" applyNumberFormat="1" applyFont="1" applyFill="1" applyBorder="1" applyAlignment="1">
      <alignment horizontal="center" vertical="top" shrinkToFit="1"/>
    </xf>
    <xf numFmtId="1" fontId="36" fillId="18" borderId="21" xfId="1" applyNumberFormat="1" applyFont="1" applyFill="1" applyBorder="1" applyAlignment="1">
      <alignment horizontal="center" vertical="top" shrinkToFit="1"/>
    </xf>
    <xf numFmtId="0" fontId="28" fillId="19" borderId="21" xfId="1" applyFont="1" applyFill="1" applyBorder="1" applyAlignment="1">
      <alignment horizontal="left" vertical="top" wrapText="1" indent="1"/>
    </xf>
    <xf numFmtId="3" fontId="36" fillId="8" borderId="21" xfId="1" applyNumberFormat="1" applyFont="1" applyFill="1" applyBorder="1" applyAlignment="1">
      <alignment horizontal="center" vertical="top" shrinkToFit="1"/>
    </xf>
    <xf numFmtId="0" fontId="28" fillId="18" borderId="21" xfId="1" applyFont="1" applyFill="1" applyBorder="1" applyAlignment="1">
      <alignment horizontal="left" vertical="top" wrapText="1" indent="1"/>
    </xf>
    <xf numFmtId="0" fontId="28" fillId="8" borderId="21" xfId="1" applyFont="1" applyFill="1" applyBorder="1" applyAlignment="1">
      <alignment horizontal="left" vertical="top" wrapText="1" indent="1"/>
    </xf>
    <xf numFmtId="1" fontId="37" fillId="8" borderId="21" xfId="1" applyNumberFormat="1" applyFont="1" applyFill="1" applyBorder="1" applyAlignment="1">
      <alignment horizontal="right" vertical="top" shrinkToFit="1"/>
    </xf>
    <xf numFmtId="1" fontId="36" fillId="20" borderId="21" xfId="1" applyNumberFormat="1" applyFont="1" applyFill="1" applyBorder="1" applyAlignment="1">
      <alignment horizontal="right" vertical="top" shrinkToFit="1"/>
    </xf>
    <xf numFmtId="3" fontId="36" fillId="18" borderId="21" xfId="1" applyNumberFormat="1" applyFont="1" applyFill="1" applyBorder="1" applyAlignment="1">
      <alignment horizontal="center" vertical="top" shrinkToFit="1"/>
    </xf>
    <xf numFmtId="1" fontId="37" fillId="18" borderId="21" xfId="1" applyNumberFormat="1" applyFont="1" applyFill="1" applyBorder="1" applyAlignment="1">
      <alignment horizontal="right" vertical="top" shrinkToFit="1"/>
    </xf>
    <xf numFmtId="1" fontId="37" fillId="20" borderId="21" xfId="1" applyNumberFormat="1" applyFont="1" applyFill="1" applyBorder="1" applyAlignment="1">
      <alignment horizontal="right" vertical="top" shrinkToFit="1"/>
    </xf>
    <xf numFmtId="0" fontId="25" fillId="17" borderId="20" xfId="1" applyFont="1" applyFill="1" applyBorder="1" applyAlignment="1">
      <alignment horizontal="right" vertical="top" wrapText="1"/>
    </xf>
    <xf numFmtId="3" fontId="37" fillId="18" borderId="21" xfId="1" applyNumberFormat="1" applyFont="1" applyFill="1" applyBorder="1" applyAlignment="1">
      <alignment horizontal="center" vertical="top" shrinkToFit="1"/>
    </xf>
    <xf numFmtId="3" fontId="37" fillId="19" borderId="21" xfId="1" applyNumberFormat="1" applyFont="1" applyFill="1" applyBorder="1" applyAlignment="1">
      <alignment horizontal="center" vertical="top" shrinkToFit="1"/>
    </xf>
    <xf numFmtId="1" fontId="37" fillId="19" borderId="21" xfId="1" applyNumberFormat="1" applyFont="1" applyFill="1" applyBorder="1" applyAlignment="1">
      <alignment horizontal="center" vertical="top" shrinkToFit="1"/>
    </xf>
    <xf numFmtId="0" fontId="32" fillId="17" borderId="23" xfId="1" applyFont="1" applyFill="1" applyBorder="1" applyAlignment="1">
      <alignment horizontal="left" wrapText="1"/>
    </xf>
    <xf numFmtId="0" fontId="37" fillId="17" borderId="25" xfId="1" applyFont="1" applyFill="1" applyBorder="1" applyAlignment="1">
      <alignment horizontal="right" vertical="top" wrapText="1"/>
    </xf>
    <xf numFmtId="0" fontId="35" fillId="0" borderId="29" xfId="1" applyFont="1" applyFill="1" applyBorder="1" applyAlignment="1">
      <alignment textRotation="90"/>
    </xf>
    <xf numFmtId="0" fontId="32" fillId="0" borderId="29" xfId="1" quotePrefix="1" applyFont="1" applyFill="1" applyBorder="1" applyAlignment="1">
      <alignment textRotation="90"/>
    </xf>
    <xf numFmtId="0" fontId="32" fillId="0" borderId="0" xfId="1" quotePrefix="1" applyFont="1" applyFill="1" applyBorder="1" applyAlignment="1">
      <alignment horizontal="left" textRotation="90"/>
    </xf>
    <xf numFmtId="0" fontId="32" fillId="0" borderId="0" xfId="1" applyFont="1" applyFill="1" applyBorder="1" applyAlignment="1">
      <alignment horizontal="left" textRotation="90"/>
    </xf>
    <xf numFmtId="0" fontId="32" fillId="0" borderId="29" xfId="1" applyFont="1" applyFill="1" applyBorder="1" applyAlignment="1">
      <alignment textRotation="90"/>
    </xf>
    <xf numFmtId="0" fontId="35" fillId="0" borderId="0" xfId="1" applyFont="1" applyFill="1" applyBorder="1" applyAlignment="1">
      <alignment horizontal="center" textRotation="90"/>
    </xf>
    <xf numFmtId="0" fontId="28" fillId="0" borderId="30" xfId="1" applyFont="1" applyFill="1" applyBorder="1" applyAlignment="1">
      <alignment horizontal="right" vertical="top" wrapText="1"/>
    </xf>
    <xf numFmtId="0" fontId="28" fillId="0" borderId="31" xfId="1" applyFont="1" applyFill="1" applyBorder="1" applyAlignment="1">
      <alignment vertical="top" wrapText="1"/>
    </xf>
    <xf numFmtId="0" fontId="28" fillId="0" borderId="31" xfId="1" applyFont="1" applyFill="1" applyBorder="1" applyAlignment="1">
      <alignment horizontal="center" vertical="top" wrapText="1"/>
    </xf>
    <xf numFmtId="0" fontId="28" fillId="0" borderId="31" xfId="1" applyFont="1" applyFill="1" applyBorder="1" applyAlignment="1">
      <alignment horizontal="right" vertical="top" wrapText="1"/>
    </xf>
    <xf numFmtId="0" fontId="32" fillId="0" borderId="31" xfId="1" applyFont="1" applyFill="1" applyBorder="1" applyAlignment="1">
      <alignment horizontal="left" wrapText="1"/>
    </xf>
    <xf numFmtId="0" fontId="25" fillId="17" borderId="31" xfId="1" applyFont="1" applyFill="1" applyBorder="1" applyAlignment="1">
      <alignment vertical="top" wrapText="1"/>
    </xf>
    <xf numFmtId="0" fontId="25" fillId="17" borderId="0" xfId="1" applyFont="1" applyFill="1" applyBorder="1" applyAlignment="1">
      <alignment vertical="top" wrapText="1"/>
    </xf>
    <xf numFmtId="1" fontId="36" fillId="17" borderId="31" xfId="1" applyNumberFormat="1" applyFont="1" applyFill="1" applyBorder="1" applyAlignment="1">
      <alignment horizontal="right" vertical="top" shrinkToFit="1"/>
    </xf>
    <xf numFmtId="0" fontId="25" fillId="0" borderId="31" xfId="1" applyFont="1" applyFill="1" applyBorder="1" applyAlignment="1">
      <alignment vertical="top" wrapText="1"/>
    </xf>
    <xf numFmtId="1" fontId="36" fillId="0" borderId="31" xfId="1" applyNumberFormat="1" applyFont="1" applyFill="1" applyBorder="1" applyAlignment="1">
      <alignment horizontal="right" vertical="top" shrinkToFit="1"/>
    </xf>
    <xf numFmtId="0" fontId="32" fillId="30" borderId="31" xfId="1" applyFont="1" applyFill="1" applyBorder="1" applyAlignment="1">
      <alignment horizontal="left" wrapText="1"/>
    </xf>
    <xf numFmtId="0" fontId="35" fillId="0" borderId="29" xfId="1" applyFont="1" applyFill="1" applyBorder="1" applyAlignment="1">
      <alignment horizontal="center" textRotation="90"/>
    </xf>
    <xf numFmtId="0" fontId="32" fillId="0" borderId="29" xfId="1" quotePrefix="1" applyFont="1" applyFill="1" applyBorder="1" applyAlignment="1">
      <alignment horizontal="center" textRotation="90"/>
    </xf>
    <xf numFmtId="0" fontId="32" fillId="0" borderId="0" xfId="1" quotePrefix="1" applyFont="1" applyFill="1" applyBorder="1" applyAlignment="1">
      <alignment horizontal="center" textRotation="90"/>
    </xf>
    <xf numFmtId="0" fontId="32" fillId="0" borderId="0" xfId="1" applyFont="1" applyFill="1" applyBorder="1" applyAlignment="1">
      <alignment horizontal="center" textRotation="90"/>
    </xf>
    <xf numFmtId="0" fontId="32" fillId="0" borderId="29" xfId="1" applyFont="1" applyFill="1" applyBorder="1" applyAlignment="1">
      <alignment horizontal="center" textRotation="90"/>
    </xf>
    <xf numFmtId="0" fontId="32" fillId="0" borderId="30" xfId="1" applyFont="1" applyFill="1" applyBorder="1" applyAlignment="1">
      <alignment horizontal="left" wrapText="1"/>
    </xf>
    <xf numFmtId="0" fontId="32" fillId="0" borderId="0" xfId="1" applyFont="1" applyFill="1" applyBorder="1" applyAlignment="1">
      <alignment horizontal="left" wrapText="1"/>
    </xf>
    <xf numFmtId="0" fontId="32" fillId="0" borderId="0" xfId="1" applyFont="1"/>
    <xf numFmtId="0" fontId="36" fillId="0" borderId="0" xfId="1" applyFont="1" applyFill="1" applyBorder="1" applyAlignment="1">
      <alignment horizontal="left" vertical="top"/>
    </xf>
    <xf numFmtId="0" fontId="25" fillId="17" borderId="30" xfId="1" applyFont="1" applyFill="1" applyBorder="1" applyAlignment="1">
      <alignment horizontal="left" vertical="top" wrapText="1"/>
    </xf>
    <xf numFmtId="0" fontId="25" fillId="17" borderId="0" xfId="1" applyFont="1" applyFill="1" applyBorder="1" applyAlignment="1">
      <alignment horizontal="left" vertical="top" wrapText="1"/>
    </xf>
    <xf numFmtId="0" fontId="25" fillId="0" borderId="30" xfId="1" applyFont="1" applyFill="1" applyBorder="1" applyAlignment="1">
      <alignment horizontal="left" vertical="top" wrapText="1"/>
    </xf>
    <xf numFmtId="0" fontId="25" fillId="30" borderId="30" xfId="1" applyFont="1" applyFill="1" applyBorder="1" applyAlignment="1">
      <alignment horizontal="left" vertical="top" wrapText="1"/>
    </xf>
    <xf numFmtId="0" fontId="32" fillId="0" borderId="29" xfId="1" applyFont="1" applyFill="1" applyBorder="1" applyAlignment="1">
      <alignment horizontal="left" vertical="center" wrapText="1"/>
    </xf>
    <xf numFmtId="0" fontId="32" fillId="31" borderId="31" xfId="1" applyFont="1" applyFill="1" applyBorder="1" applyAlignment="1">
      <alignment horizontal="center" vertical="top" wrapText="1"/>
    </xf>
    <xf numFmtId="0" fontId="25" fillId="31" borderId="31" xfId="1" applyFont="1" applyFill="1" applyBorder="1" applyAlignment="1">
      <alignment horizontal="center" textRotation="90" wrapText="1"/>
    </xf>
    <xf numFmtId="0" fontId="28" fillId="31" borderId="31" xfId="1" applyFont="1" applyFill="1" applyBorder="1" applyAlignment="1">
      <alignment horizontal="center" textRotation="90" wrapText="1"/>
    </xf>
    <xf numFmtId="0" fontId="25" fillId="31" borderId="32" xfId="1" applyFont="1" applyFill="1" applyBorder="1" applyAlignment="1">
      <alignment horizontal="center" textRotation="90" wrapText="1"/>
    </xf>
    <xf numFmtId="0" fontId="25" fillId="30" borderId="32" xfId="1" applyFont="1" applyFill="1" applyBorder="1" applyAlignment="1">
      <alignment horizontal="center" textRotation="90" wrapText="1"/>
    </xf>
    <xf numFmtId="0" fontId="32" fillId="0" borderId="0" xfId="1" applyFont="1" applyFill="1" applyBorder="1" applyAlignment="1">
      <alignment horizontal="center" vertical="top"/>
    </xf>
    <xf numFmtId="0" fontId="28" fillId="0" borderId="31" xfId="1" applyFont="1" applyFill="1" applyBorder="1" applyAlignment="1">
      <alignment horizontal="right" vertical="top" wrapText="1" indent="1"/>
    </xf>
    <xf numFmtId="0" fontId="28" fillId="0" borderId="32" xfId="1" applyFont="1" applyFill="1" applyBorder="1" applyAlignment="1">
      <alignment horizontal="right" vertical="top" wrapText="1"/>
    </xf>
    <xf numFmtId="0" fontId="32" fillId="0" borderId="32" xfId="1" applyFont="1" applyFill="1" applyBorder="1" applyAlignment="1">
      <alignment horizontal="left" wrapText="1"/>
    </xf>
    <xf numFmtId="0" fontId="25" fillId="17" borderId="31" xfId="1" applyFont="1" applyFill="1" applyBorder="1" applyAlignment="1">
      <alignment horizontal="left" vertical="top" wrapText="1"/>
    </xf>
    <xf numFmtId="0" fontId="28" fillId="17" borderId="31" xfId="1" applyFont="1" applyFill="1" applyBorder="1" applyAlignment="1">
      <alignment horizontal="right" vertical="top" wrapText="1"/>
    </xf>
    <xf numFmtId="164" fontId="36" fillId="17" borderId="31" xfId="1" applyNumberFormat="1" applyFont="1" applyFill="1" applyBorder="1" applyAlignment="1">
      <alignment horizontal="right" vertical="top" shrinkToFit="1"/>
    </xf>
    <xf numFmtId="164" fontId="36" fillId="17" borderId="31" xfId="1" applyNumberFormat="1" applyFont="1" applyFill="1" applyBorder="1" applyAlignment="1">
      <alignment horizontal="right" vertical="top" indent="1" shrinkToFit="1"/>
    </xf>
    <xf numFmtId="0" fontId="28" fillId="17" borderId="31" xfId="1" applyFont="1" applyFill="1" applyBorder="1" applyAlignment="1">
      <alignment horizontal="center" vertical="top" wrapText="1"/>
    </xf>
    <xf numFmtId="164" fontId="36" fillId="17" borderId="31" xfId="1" applyNumberFormat="1" applyFont="1" applyFill="1" applyBorder="1" applyAlignment="1">
      <alignment horizontal="center" vertical="top" shrinkToFit="1"/>
    </xf>
    <xf numFmtId="164" fontId="37" fillId="17" borderId="32" xfId="1" applyNumberFormat="1" applyFont="1" applyFill="1" applyBorder="1" applyAlignment="1">
      <alignment horizontal="right" vertical="top" shrinkToFit="1"/>
    </xf>
    <xf numFmtId="164" fontId="36" fillId="17" borderId="30" xfId="1" applyNumberFormat="1" applyFont="1" applyFill="1" applyBorder="1" applyAlignment="1">
      <alignment horizontal="right" vertical="top" shrinkToFit="1"/>
    </xf>
    <xf numFmtId="164" fontId="37" fillId="17" borderId="31" xfId="1" applyNumberFormat="1" applyFont="1" applyFill="1" applyBorder="1" applyAlignment="1">
      <alignment horizontal="right" vertical="top" shrinkToFit="1"/>
    </xf>
    <xf numFmtId="164" fontId="36" fillId="17" borderId="32" xfId="1" applyNumberFormat="1" applyFont="1" applyFill="1" applyBorder="1" applyAlignment="1">
      <alignment horizontal="right" vertical="top" shrinkToFit="1"/>
    </xf>
    <xf numFmtId="0" fontId="25" fillId="0" borderId="31" xfId="1" applyFont="1" applyFill="1" applyBorder="1" applyAlignment="1">
      <alignment horizontal="left" vertical="top" wrapText="1"/>
    </xf>
    <xf numFmtId="164" fontId="36" fillId="0" borderId="31" xfId="1" applyNumberFormat="1" applyFont="1" applyFill="1" applyBorder="1" applyAlignment="1">
      <alignment horizontal="right" vertical="top" shrinkToFit="1"/>
    </xf>
    <xf numFmtId="164" fontId="36" fillId="0" borderId="31" xfId="1" applyNumberFormat="1" applyFont="1" applyFill="1" applyBorder="1" applyAlignment="1">
      <alignment horizontal="center" vertical="top" shrinkToFit="1"/>
    </xf>
    <xf numFmtId="164" fontId="37" fillId="0" borderId="32" xfId="1" applyNumberFormat="1" applyFont="1" applyFill="1" applyBorder="1" applyAlignment="1">
      <alignment horizontal="right" vertical="top" shrinkToFit="1"/>
    </xf>
    <xf numFmtId="164" fontId="36" fillId="0" borderId="30" xfId="1" applyNumberFormat="1" applyFont="1" applyFill="1" applyBorder="1" applyAlignment="1">
      <alignment horizontal="right" vertical="top" shrinkToFit="1"/>
    </xf>
    <xf numFmtId="164" fontId="37" fillId="0" borderId="31" xfId="1" applyNumberFormat="1" applyFont="1" applyFill="1" applyBorder="1" applyAlignment="1">
      <alignment horizontal="right" vertical="top" shrinkToFit="1"/>
    </xf>
    <xf numFmtId="164" fontId="36" fillId="0" borderId="32" xfId="1" applyNumberFormat="1" applyFont="1" applyFill="1" applyBorder="1" applyAlignment="1">
      <alignment horizontal="right" vertical="top" shrinkToFit="1"/>
    </xf>
    <xf numFmtId="2" fontId="36" fillId="17" borderId="31" xfId="1" applyNumberFormat="1" applyFont="1" applyFill="1" applyBorder="1" applyAlignment="1">
      <alignment horizontal="right" vertical="top" indent="1" shrinkToFit="1"/>
    </xf>
    <xf numFmtId="164" fontId="36" fillId="0" borderId="31" xfId="1" applyNumberFormat="1" applyFont="1" applyFill="1" applyBorder="1" applyAlignment="1">
      <alignment horizontal="right" vertical="top" indent="1" shrinkToFit="1"/>
    </xf>
    <xf numFmtId="0" fontId="28" fillId="17" borderId="31" xfId="1" applyFont="1" applyFill="1" applyBorder="1" applyAlignment="1">
      <alignment horizontal="right" vertical="top" wrapText="1" indent="1"/>
    </xf>
    <xf numFmtId="2" fontId="36" fillId="17" borderId="31" xfId="1" applyNumberFormat="1" applyFont="1" applyFill="1" applyBorder="1" applyAlignment="1">
      <alignment horizontal="right" vertical="top" shrinkToFit="1"/>
    </xf>
    <xf numFmtId="2" fontId="36" fillId="17" borderId="31" xfId="1" applyNumberFormat="1" applyFont="1" applyFill="1" applyBorder="1" applyAlignment="1">
      <alignment horizontal="center" vertical="top" shrinkToFit="1"/>
    </xf>
    <xf numFmtId="2" fontId="36" fillId="0" borderId="31" xfId="1" applyNumberFormat="1" applyFont="1" applyFill="1" applyBorder="1" applyAlignment="1">
      <alignment horizontal="right" vertical="top" shrinkToFit="1"/>
    </xf>
    <xf numFmtId="2" fontId="36" fillId="0" borderId="31" xfId="1" applyNumberFormat="1" applyFont="1" applyFill="1" applyBorder="1" applyAlignment="1">
      <alignment horizontal="center" vertical="top" shrinkToFit="1"/>
    </xf>
    <xf numFmtId="166" fontId="36" fillId="17" borderId="31" xfId="1" applyNumberFormat="1" applyFont="1" applyFill="1" applyBorder="1" applyAlignment="1">
      <alignment horizontal="center" vertical="top" shrinkToFit="1"/>
    </xf>
    <xf numFmtId="2" fontId="36" fillId="0" borderId="31" xfId="1" applyNumberFormat="1" applyFont="1" applyFill="1" applyBorder="1" applyAlignment="1">
      <alignment horizontal="right" vertical="top" indent="1" shrinkToFit="1"/>
    </xf>
    <xf numFmtId="166" fontId="36" fillId="17" borderId="31" xfId="1" applyNumberFormat="1" applyFont="1" applyFill="1" applyBorder="1" applyAlignment="1">
      <alignment horizontal="right" vertical="top" indent="1" shrinkToFit="1"/>
    </xf>
    <xf numFmtId="166" fontId="36" fillId="0" borderId="31" xfId="1" applyNumberFormat="1" applyFont="1" applyFill="1" applyBorder="1" applyAlignment="1">
      <alignment horizontal="right" vertical="top" indent="1" shrinkToFit="1"/>
    </xf>
    <xf numFmtId="166" fontId="36" fillId="0" borderId="31" xfId="1" applyNumberFormat="1" applyFont="1" applyFill="1" applyBorder="1" applyAlignment="1">
      <alignment horizontal="center" vertical="top" shrinkToFit="1"/>
    </xf>
    <xf numFmtId="166" fontId="36" fillId="17" borderId="31" xfId="1" applyNumberFormat="1" applyFont="1" applyFill="1" applyBorder="1" applyAlignment="1">
      <alignment horizontal="right" vertical="top" shrinkToFit="1"/>
    </xf>
    <xf numFmtId="164" fontId="36" fillId="30" borderId="31" xfId="1" applyNumberFormat="1" applyFont="1" applyFill="1" applyBorder="1" applyAlignment="1">
      <alignment horizontal="right" vertical="top" shrinkToFit="1"/>
    </xf>
    <xf numFmtId="168" fontId="36" fillId="30" borderId="31" xfId="1" applyNumberFormat="1" applyFont="1" applyFill="1" applyBorder="1" applyAlignment="1">
      <alignment horizontal="right" vertical="top" shrinkToFit="1"/>
    </xf>
    <xf numFmtId="164" fontId="36" fillId="30" borderId="31" xfId="1" applyNumberFormat="1" applyFont="1" applyFill="1" applyBorder="1" applyAlignment="1">
      <alignment horizontal="right" vertical="top" indent="1" shrinkToFit="1"/>
    </xf>
    <xf numFmtId="164" fontId="36" fillId="30" borderId="31" xfId="1" applyNumberFormat="1" applyFont="1" applyFill="1" applyBorder="1" applyAlignment="1">
      <alignment horizontal="center" vertical="top" shrinkToFit="1"/>
    </xf>
    <xf numFmtId="164" fontId="36" fillId="30" borderId="30" xfId="1" applyNumberFormat="1" applyFont="1" applyFill="1" applyBorder="1" applyAlignment="1">
      <alignment horizontal="right" vertical="top" shrinkToFit="1"/>
    </xf>
    <xf numFmtId="164" fontId="36" fillId="30" borderId="32" xfId="1" applyNumberFormat="1" applyFont="1" applyFill="1" applyBorder="1" applyAlignment="1">
      <alignment horizontal="right" vertical="top" shrinkToFit="1"/>
    </xf>
    <xf numFmtId="0" fontId="25" fillId="31" borderId="30" xfId="1" applyFont="1" applyFill="1" applyBorder="1" applyAlignment="1">
      <alignment horizontal="center" textRotation="90" wrapText="1"/>
    </xf>
    <xf numFmtId="0" fontId="28" fillId="17" borderId="30" xfId="1" applyFont="1" applyFill="1" applyBorder="1" applyAlignment="1">
      <alignment horizontal="right" vertical="top" wrapText="1"/>
    </xf>
    <xf numFmtId="3" fontId="36" fillId="17" borderId="31" xfId="1" applyNumberFormat="1" applyFont="1" applyFill="1" applyBorder="1" applyAlignment="1">
      <alignment horizontal="right" vertical="top" shrinkToFit="1"/>
    </xf>
    <xf numFmtId="1" fontId="36" fillId="17" borderId="31" xfId="1" applyNumberFormat="1" applyFont="1" applyFill="1" applyBorder="1" applyAlignment="1">
      <alignment horizontal="center" vertical="top" shrinkToFit="1"/>
    </xf>
    <xf numFmtId="3" fontId="37" fillId="17" borderId="31" xfId="1" applyNumberFormat="1" applyFont="1" applyFill="1" applyBorder="1" applyAlignment="1">
      <alignment horizontal="right" vertical="top" indent="1" shrinkToFit="1"/>
    </xf>
    <xf numFmtId="3" fontId="36" fillId="0" borderId="31" xfId="1" applyNumberFormat="1" applyFont="1" applyFill="1" applyBorder="1" applyAlignment="1">
      <alignment horizontal="right" vertical="top" shrinkToFit="1"/>
    </xf>
    <xf numFmtId="3" fontId="36" fillId="0" borderId="31" xfId="1" applyNumberFormat="1" applyFont="1" applyFill="1" applyBorder="1" applyAlignment="1">
      <alignment horizontal="center" vertical="top" shrinkToFit="1"/>
    </xf>
    <xf numFmtId="3" fontId="37" fillId="0" borderId="31" xfId="1" applyNumberFormat="1" applyFont="1" applyFill="1" applyBorder="1" applyAlignment="1">
      <alignment horizontal="right" vertical="top" indent="1" shrinkToFit="1"/>
    </xf>
    <xf numFmtId="3" fontId="36" fillId="17" borderId="30" xfId="1" applyNumberFormat="1" applyFont="1" applyFill="1" applyBorder="1" applyAlignment="1">
      <alignment horizontal="right" vertical="top" shrinkToFit="1"/>
    </xf>
    <xf numFmtId="3" fontId="36" fillId="0" borderId="30" xfId="1" applyNumberFormat="1" applyFont="1" applyFill="1" applyBorder="1" applyAlignment="1">
      <alignment horizontal="right" vertical="top" shrinkToFit="1"/>
    </xf>
    <xf numFmtId="1" fontId="36" fillId="0" borderId="31" xfId="1" applyNumberFormat="1" applyFont="1" applyFill="1" applyBorder="1" applyAlignment="1">
      <alignment horizontal="center" vertical="top" shrinkToFit="1"/>
    </xf>
    <xf numFmtId="1" fontId="36" fillId="0" borderId="31" xfId="1" applyNumberFormat="1" applyFont="1" applyFill="1" applyBorder="1" applyAlignment="1">
      <alignment horizontal="right" vertical="top" indent="1" shrinkToFit="1"/>
    </xf>
    <xf numFmtId="3" fontId="36" fillId="17" borderId="31" xfId="1" applyNumberFormat="1" applyFont="1" applyFill="1" applyBorder="1" applyAlignment="1">
      <alignment horizontal="center" vertical="top" shrinkToFit="1"/>
    </xf>
    <xf numFmtId="1" fontId="37" fillId="0" borderId="31" xfId="1" applyNumberFormat="1" applyFont="1" applyFill="1" applyBorder="1" applyAlignment="1">
      <alignment horizontal="right" vertical="top" indent="1" shrinkToFit="1"/>
    </xf>
    <xf numFmtId="1" fontId="36" fillId="17" borderId="30" xfId="1" applyNumberFormat="1" applyFont="1" applyFill="1" applyBorder="1" applyAlignment="1">
      <alignment horizontal="right" vertical="top" shrinkToFit="1"/>
    </xf>
    <xf numFmtId="1" fontId="36" fillId="0" borderId="30" xfId="1" applyNumberFormat="1" applyFont="1" applyFill="1" applyBorder="1" applyAlignment="1">
      <alignment horizontal="right" vertical="top" shrinkToFit="1"/>
    </xf>
    <xf numFmtId="3" fontId="36" fillId="30" borderId="30" xfId="1" applyNumberFormat="1" applyFont="1" applyFill="1" applyBorder="1" applyAlignment="1">
      <alignment horizontal="right" vertical="top" shrinkToFit="1"/>
    </xf>
    <xf numFmtId="3" fontId="36" fillId="30" borderId="31" xfId="1" applyNumberFormat="1" applyFont="1" applyFill="1" applyBorder="1" applyAlignment="1">
      <alignment horizontal="right" vertical="top" shrinkToFit="1"/>
    </xf>
    <xf numFmtId="3" fontId="36" fillId="30" borderId="31" xfId="1" applyNumberFormat="1" applyFont="1" applyFill="1" applyBorder="1" applyAlignment="1">
      <alignment horizontal="center" vertical="top" shrinkToFit="1"/>
    </xf>
    <xf numFmtId="3" fontId="37" fillId="30" borderId="31" xfId="1" applyNumberFormat="1" applyFont="1" applyFill="1" applyBorder="1" applyAlignment="1">
      <alignment horizontal="right" vertical="top" indent="1" shrinkToFit="1"/>
    </xf>
    <xf numFmtId="1" fontId="32" fillId="0" borderId="0" xfId="1" applyNumberFormat="1" applyFont="1" applyFill="1" applyBorder="1" applyAlignment="1">
      <alignment horizontal="left" vertical="top"/>
    </xf>
    <xf numFmtId="0" fontId="36" fillId="0" borderId="31" xfId="1" applyFont="1" applyFill="1" applyBorder="1" applyAlignment="1">
      <alignment horizontal="right" vertical="top" wrapText="1"/>
    </xf>
    <xf numFmtId="9" fontId="32" fillId="0" borderId="0" xfId="3" applyFont="1" applyFill="1" applyBorder="1" applyAlignment="1">
      <alignment horizontal="left" vertical="top"/>
    </xf>
    <xf numFmtId="0" fontId="37" fillId="17" borderId="20" xfId="1" applyFont="1" applyFill="1" applyBorder="1" applyAlignment="1">
      <alignment horizontal="center" vertical="center" wrapText="1"/>
    </xf>
    <xf numFmtId="164" fontId="28" fillId="11" borderId="31" xfId="1" applyNumberFormat="1" applyFont="1" applyFill="1" applyBorder="1" applyAlignment="1">
      <alignment horizontal="center" vertical="top" wrapText="1"/>
    </xf>
    <xf numFmtId="164" fontId="28" fillId="11" borderId="31" xfId="1" applyNumberFormat="1" applyFont="1" applyFill="1" applyBorder="1" applyAlignment="1">
      <alignment horizontal="right" vertical="top" wrapText="1"/>
    </xf>
    <xf numFmtId="164" fontId="36" fillId="17" borderId="31" xfId="1" applyNumberFormat="1" applyFont="1" applyFill="1" applyBorder="1" applyAlignment="1">
      <alignment vertical="top" shrinkToFit="1"/>
    </xf>
    <xf numFmtId="164" fontId="36" fillId="0" borderId="31" xfId="1" applyNumberFormat="1" applyFont="1" applyFill="1" applyBorder="1" applyAlignment="1">
      <alignment vertical="top" shrinkToFit="1"/>
    </xf>
    <xf numFmtId="0" fontId="28" fillId="17" borderId="31" xfId="1" applyFont="1" applyFill="1" applyBorder="1" applyAlignment="1">
      <alignment vertical="top" wrapText="1"/>
    </xf>
    <xf numFmtId="2" fontId="36" fillId="17" borderId="31" xfId="1" applyNumberFormat="1" applyFont="1" applyFill="1" applyBorder="1" applyAlignment="1">
      <alignment vertical="top" shrinkToFit="1"/>
    </xf>
    <xf numFmtId="166" fontId="36" fillId="0" borderId="31" xfId="1" applyNumberFormat="1" applyFont="1" applyFill="1" applyBorder="1" applyAlignment="1">
      <alignment vertical="top" shrinkToFit="1"/>
    </xf>
    <xf numFmtId="164" fontId="36" fillId="30" borderId="31" xfId="1" applyNumberFormat="1" applyFont="1" applyFill="1" applyBorder="1" applyAlignment="1">
      <alignment vertical="top" shrinkToFit="1"/>
    </xf>
    <xf numFmtId="0" fontId="28" fillId="31" borderId="31" xfId="1" applyFont="1" applyFill="1" applyBorder="1" applyAlignment="1">
      <alignment textRotation="90" wrapText="1"/>
    </xf>
    <xf numFmtId="2" fontId="32" fillId="0" borderId="0" xfId="1" applyNumberFormat="1" applyFont="1" applyFill="1" applyBorder="1" applyAlignment="1">
      <alignment horizontal="left" vertical="top"/>
    </xf>
    <xf numFmtId="0" fontId="37" fillId="17" borderId="31" xfId="1" applyFont="1" applyFill="1" applyBorder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0" fontId="42" fillId="11" borderId="0" xfId="0" applyFont="1" applyFill="1"/>
    <xf numFmtId="9" fontId="0" fillId="0" borderId="0" xfId="3" applyFont="1"/>
    <xf numFmtId="3" fontId="43" fillId="0" borderId="0" xfId="1" applyNumberFormat="1" applyFont="1" applyFill="1" applyAlignment="1">
      <alignment horizontal="left" vertical="top"/>
    </xf>
    <xf numFmtId="0" fontId="44" fillId="32" borderId="32" xfId="0" applyFont="1" applyFill="1" applyBorder="1" applyAlignment="1">
      <alignment horizontal="left" vertical="top" wrapText="1"/>
    </xf>
    <xf numFmtId="0" fontId="46" fillId="32" borderId="30" xfId="0" applyFont="1" applyFill="1" applyBorder="1" applyAlignment="1">
      <alignment horizontal="left" vertical="top" wrapText="1" indent="3"/>
    </xf>
    <xf numFmtId="0" fontId="0" fillId="32" borderId="31" xfId="0" applyFill="1" applyBorder="1" applyAlignment="1">
      <alignment horizontal="left" vertical="top" wrapText="1"/>
    </xf>
    <xf numFmtId="0" fontId="46" fillId="32" borderId="31" xfId="0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horizontal="left" vertical="top" wrapText="1"/>
    </xf>
    <xf numFmtId="169" fontId="49" fillId="0" borderId="31" xfId="0" applyNumberFormat="1" applyFont="1" applyFill="1" applyBorder="1" applyAlignment="1">
      <alignment horizontal="center" vertical="top" shrinkToFit="1"/>
    </xf>
    <xf numFmtId="0" fontId="50" fillId="0" borderId="31" xfId="0" applyFont="1" applyFill="1" applyBorder="1" applyAlignment="1">
      <alignment horizontal="left" vertical="top" wrapText="1"/>
    </xf>
    <xf numFmtId="3" fontId="49" fillId="0" borderId="32" xfId="0" applyNumberFormat="1" applyFont="1" applyFill="1" applyBorder="1" applyAlignment="1">
      <alignment horizontal="right" vertical="top" shrinkToFit="1"/>
    </xf>
    <xf numFmtId="169" fontId="49" fillId="0" borderId="30" xfId="0" applyNumberFormat="1" applyFont="1" applyFill="1" applyBorder="1" applyAlignment="1">
      <alignment horizontal="left" vertical="top" shrinkToFit="1"/>
    </xf>
    <xf numFmtId="0" fontId="50" fillId="0" borderId="31" xfId="0" applyFont="1" applyFill="1" applyBorder="1" applyAlignment="1">
      <alignment horizontal="center" vertical="top" wrapText="1"/>
    </xf>
    <xf numFmtId="1" fontId="49" fillId="0" borderId="31" xfId="0" applyNumberFormat="1" applyFont="1" applyFill="1" applyBorder="1" applyAlignment="1">
      <alignment horizontal="right" vertical="top" shrinkToFit="1"/>
    </xf>
    <xf numFmtId="3" fontId="49" fillId="0" borderId="31" xfId="0" applyNumberFormat="1" applyFont="1" applyFill="1" applyBorder="1" applyAlignment="1">
      <alignment horizontal="right" vertical="top" shrinkToFit="1"/>
    </xf>
    <xf numFmtId="1" fontId="49" fillId="0" borderId="32" xfId="0" applyNumberFormat="1" applyFont="1" applyFill="1" applyBorder="1" applyAlignment="1">
      <alignment horizontal="right" vertical="top" shrinkToFit="1"/>
    </xf>
    <xf numFmtId="0" fontId="47" fillId="32" borderId="31" xfId="0" applyFont="1" applyFill="1" applyBorder="1" applyAlignment="1">
      <alignment horizontal="left" vertical="top" wrapText="1"/>
    </xf>
    <xf numFmtId="0" fontId="46" fillId="32" borderId="31" xfId="0" applyFont="1" applyFill="1" applyBorder="1" applyAlignment="1">
      <alignment horizontal="center" vertical="top" wrapText="1"/>
    </xf>
    <xf numFmtId="3" fontId="44" fillId="32" borderId="32" xfId="0" applyNumberFormat="1" applyFont="1" applyFill="1" applyBorder="1" applyAlignment="1">
      <alignment horizontal="right" vertical="top" shrinkToFit="1"/>
    </xf>
    <xf numFmtId="0" fontId="46" fillId="32" borderId="30" xfId="0" applyFont="1" applyFill="1" applyBorder="1" applyAlignment="1">
      <alignment horizontal="left" vertical="top" wrapText="1"/>
    </xf>
    <xf numFmtId="3" fontId="44" fillId="32" borderId="31" xfId="0" applyNumberFormat="1" applyFont="1" applyFill="1" applyBorder="1" applyAlignment="1">
      <alignment horizontal="right" vertical="top" shrinkToFit="1"/>
    </xf>
    <xf numFmtId="0" fontId="0" fillId="33" borderId="33" xfId="0" applyFill="1" applyBorder="1" applyAlignment="1">
      <alignment vertical="top" wrapText="1"/>
    </xf>
    <xf numFmtId="0" fontId="53" fillId="33" borderId="34" xfId="0" applyFont="1" applyFill="1" applyBorder="1" applyAlignment="1">
      <alignment horizontal="left" vertical="top" wrapText="1"/>
    </xf>
    <xf numFmtId="0" fontId="53" fillId="33" borderId="35" xfId="0" applyFont="1" applyFill="1" applyBorder="1" applyAlignment="1">
      <alignment horizontal="left" vertical="top" wrapText="1" indent="2"/>
    </xf>
    <xf numFmtId="0" fontId="53" fillId="33" borderId="33" xfId="0" applyFont="1" applyFill="1" applyBorder="1" applyAlignment="1">
      <alignment vertical="top" wrapText="1"/>
    </xf>
    <xf numFmtId="0" fontId="53" fillId="0" borderId="33" xfId="0" applyFont="1" applyFill="1" applyBorder="1" applyAlignment="1">
      <alignment vertical="top" wrapText="1"/>
    </xf>
    <xf numFmtId="169" fontId="55" fillId="0" borderId="33" xfId="0" applyNumberFormat="1" applyFont="1" applyFill="1" applyBorder="1" applyAlignment="1">
      <alignment vertical="top" shrinkToFit="1"/>
    </xf>
    <xf numFmtId="0" fontId="56" fillId="0" borderId="33" xfId="0" applyFont="1" applyFill="1" applyBorder="1" applyAlignment="1">
      <alignment vertical="top" wrapText="1"/>
    </xf>
    <xf numFmtId="3" fontId="55" fillId="0" borderId="34" xfId="0" applyNumberFormat="1" applyFont="1" applyFill="1" applyBorder="1" applyAlignment="1">
      <alignment horizontal="right" vertical="top" shrinkToFit="1"/>
    </xf>
    <xf numFmtId="169" fontId="55" fillId="0" borderId="35" xfId="0" applyNumberFormat="1" applyFont="1" applyFill="1" applyBorder="1" applyAlignment="1">
      <alignment horizontal="left" vertical="top" shrinkToFit="1"/>
    </xf>
    <xf numFmtId="1" fontId="55" fillId="0" borderId="33" xfId="0" applyNumberFormat="1" applyFont="1" applyFill="1" applyBorder="1" applyAlignment="1">
      <alignment vertical="top" shrinkToFit="1"/>
    </xf>
    <xf numFmtId="3" fontId="55" fillId="0" borderId="33" xfId="0" applyNumberFormat="1" applyFont="1" applyFill="1" applyBorder="1" applyAlignment="1">
      <alignment vertical="top" shrinkToFit="1"/>
    </xf>
    <xf numFmtId="1" fontId="55" fillId="0" borderId="34" xfId="0" applyNumberFormat="1" applyFont="1" applyFill="1" applyBorder="1" applyAlignment="1">
      <alignment horizontal="right" vertical="top" shrinkToFit="1"/>
    </xf>
    <xf numFmtId="169" fontId="51" fillId="33" borderId="33" xfId="0" applyNumberFormat="1" applyFont="1" applyFill="1" applyBorder="1" applyAlignment="1">
      <alignment vertical="top" shrinkToFit="1"/>
    </xf>
    <xf numFmtId="3" fontId="51" fillId="33" borderId="34" xfId="0" applyNumberFormat="1" applyFont="1" applyFill="1" applyBorder="1" applyAlignment="1">
      <alignment horizontal="right" vertical="top" shrinkToFit="1"/>
    </xf>
    <xf numFmtId="169" fontId="51" fillId="33" borderId="35" xfId="0" applyNumberFormat="1" applyFont="1" applyFill="1" applyBorder="1" applyAlignment="1">
      <alignment horizontal="left" vertical="top" shrinkToFit="1"/>
    </xf>
    <xf numFmtId="0" fontId="57" fillId="34" borderId="31" xfId="1" applyFont="1" applyFill="1" applyBorder="1" applyAlignment="1">
      <alignment horizontal="left" vertical="top" wrapText="1"/>
    </xf>
    <xf numFmtId="9" fontId="43" fillId="0" borderId="0" xfId="3" applyFont="1" applyFill="1" applyBorder="1" applyAlignment="1">
      <alignment horizontal="left" vertical="top"/>
    </xf>
    <xf numFmtId="0" fontId="53" fillId="30" borderId="31" xfId="0" applyFont="1" applyFill="1" applyBorder="1" applyAlignment="1">
      <alignment vertical="top" wrapText="1"/>
    </xf>
    <xf numFmtId="0" fontId="53" fillId="30" borderId="30" xfId="0" applyFont="1" applyFill="1" applyBorder="1" applyAlignment="1">
      <alignment vertical="center" wrapText="1"/>
    </xf>
    <xf numFmtId="0" fontId="0" fillId="30" borderId="31" xfId="0" applyFill="1" applyBorder="1" applyAlignment="1">
      <alignment vertical="top" wrapText="1"/>
    </xf>
    <xf numFmtId="0" fontId="53" fillId="0" borderId="31" xfId="0" applyFont="1" applyFill="1" applyBorder="1" applyAlignment="1">
      <alignment horizontal="left" vertical="top" wrapText="1"/>
    </xf>
    <xf numFmtId="2" fontId="59" fillId="0" borderId="31" xfId="0" applyNumberFormat="1" applyFont="1" applyFill="1" applyBorder="1" applyAlignment="1">
      <alignment vertical="top" shrinkToFit="1"/>
    </xf>
    <xf numFmtId="0" fontId="56" fillId="0" borderId="31" xfId="0" applyFont="1" applyFill="1" applyBorder="1" applyAlignment="1">
      <alignment vertical="top" wrapText="1"/>
    </xf>
    <xf numFmtId="3" fontId="59" fillId="0" borderId="31" xfId="0" applyNumberFormat="1" applyFont="1" applyFill="1" applyBorder="1" applyAlignment="1">
      <alignment vertical="top" shrinkToFit="1"/>
    </xf>
    <xf numFmtId="2" fontId="59" fillId="0" borderId="30" xfId="0" applyNumberFormat="1" applyFont="1" applyFill="1" applyBorder="1" applyAlignment="1">
      <alignment vertical="top" shrinkToFit="1"/>
    </xf>
    <xf numFmtId="1" fontId="59" fillId="0" borderId="31" xfId="0" applyNumberFormat="1" applyFont="1" applyFill="1" applyBorder="1" applyAlignment="1">
      <alignment vertical="top" shrinkToFit="1"/>
    </xf>
    <xf numFmtId="170" fontId="59" fillId="0" borderId="30" xfId="0" applyNumberFormat="1" applyFont="1" applyFill="1" applyBorder="1" applyAlignment="1">
      <alignment vertical="top" shrinkToFit="1"/>
    </xf>
    <xf numFmtId="170" fontId="59" fillId="0" borderId="31" xfId="0" applyNumberFormat="1" applyFont="1" applyFill="1" applyBorder="1" applyAlignment="1">
      <alignment vertical="top" shrinkToFit="1"/>
    </xf>
    <xf numFmtId="2" fontId="48" fillId="30" borderId="31" xfId="0" applyNumberFormat="1" applyFont="1" applyFill="1" applyBorder="1" applyAlignment="1">
      <alignment vertical="top" shrinkToFit="1"/>
    </xf>
    <xf numFmtId="3" fontId="48" fillId="30" borderId="31" xfId="0" applyNumberFormat="1" applyFont="1" applyFill="1" applyBorder="1" applyAlignment="1">
      <alignment vertical="top" shrinkToFit="1"/>
    </xf>
    <xf numFmtId="2" fontId="48" fillId="30" borderId="30" xfId="0" applyNumberFormat="1" applyFont="1" applyFill="1" applyBorder="1" applyAlignment="1">
      <alignment vertical="top" shrinkToFit="1"/>
    </xf>
    <xf numFmtId="0" fontId="48" fillId="0" borderId="31" xfId="0" applyFont="1" applyFill="1" applyBorder="1" applyAlignment="1">
      <alignment horizontal="left" vertical="top" wrapText="1"/>
    </xf>
    <xf numFmtId="0" fontId="47" fillId="30" borderId="31" xfId="0" applyFont="1" applyFill="1" applyBorder="1" applyAlignment="1">
      <alignment vertical="top" wrapText="1"/>
    </xf>
    <xf numFmtId="0" fontId="47" fillId="30" borderId="30" xfId="0" applyFont="1" applyFill="1" applyBorder="1" applyAlignment="1">
      <alignment vertical="top" wrapText="1"/>
    </xf>
    <xf numFmtId="0" fontId="47" fillId="0" borderId="31" xfId="0" applyFont="1" applyFill="1" applyBorder="1" applyAlignment="1">
      <alignment vertical="top" wrapText="1"/>
    </xf>
    <xf numFmtId="0" fontId="61" fillId="0" borderId="31" xfId="0" applyFont="1" applyFill="1" applyBorder="1" applyAlignment="1">
      <alignment vertical="top" wrapText="1"/>
    </xf>
    <xf numFmtId="170" fontId="48" fillId="30" borderId="31" xfId="0" applyNumberFormat="1" applyFont="1" applyFill="1" applyBorder="1" applyAlignment="1">
      <alignment vertical="top" shrinkToFit="1"/>
    </xf>
    <xf numFmtId="0" fontId="48" fillId="0" borderId="31" xfId="0" applyFont="1" applyFill="1" applyBorder="1" applyAlignment="1">
      <alignment vertical="top" wrapText="1"/>
    </xf>
    <xf numFmtId="0" fontId="47" fillId="0" borderId="0" xfId="0" applyFont="1" applyFill="1" applyBorder="1" applyAlignment="1">
      <alignment vertical="top" wrapText="1"/>
    </xf>
    <xf numFmtId="0" fontId="47" fillId="0" borderId="29" xfId="0" applyFont="1" applyFill="1" applyBorder="1" applyAlignment="1">
      <alignment vertical="top" wrapText="1"/>
    </xf>
    <xf numFmtId="0" fontId="47" fillId="0" borderId="36" xfId="0" applyFont="1" applyFill="1" applyBorder="1" applyAlignment="1">
      <alignment vertical="top" wrapText="1"/>
    </xf>
    <xf numFmtId="2" fontId="48" fillId="17" borderId="31" xfId="0" applyNumberFormat="1" applyFont="1" applyFill="1" applyBorder="1" applyAlignment="1">
      <alignment vertical="top" shrinkToFit="1"/>
    </xf>
    <xf numFmtId="0" fontId="47" fillId="17" borderId="31" xfId="0" applyFont="1" applyFill="1" applyBorder="1" applyAlignment="1">
      <alignment vertical="top" wrapText="1"/>
    </xf>
    <xf numFmtId="3" fontId="48" fillId="17" borderId="31" xfId="0" applyNumberFormat="1" applyFont="1" applyFill="1" applyBorder="1" applyAlignment="1">
      <alignment vertical="top" shrinkToFit="1"/>
    </xf>
    <xf numFmtId="2" fontId="48" fillId="17" borderId="30" xfId="0" applyNumberFormat="1" applyFont="1" applyFill="1" applyBorder="1" applyAlignment="1">
      <alignment vertical="top" shrinkToFit="1"/>
    </xf>
    <xf numFmtId="0" fontId="51" fillId="0" borderId="33" xfId="0" applyFont="1" applyFill="1" applyBorder="1" applyAlignment="1">
      <alignment vertical="top" wrapText="1"/>
    </xf>
    <xf numFmtId="0" fontId="32" fillId="0" borderId="0" xfId="1" applyFont="1" applyFill="1" applyAlignment="1">
      <alignment horizontal="left" vertical="top"/>
    </xf>
    <xf numFmtId="3" fontId="32" fillId="0" borderId="0" xfId="1" applyNumberFormat="1" applyFont="1" applyFill="1" applyAlignment="1">
      <alignment horizontal="left" vertical="top"/>
    </xf>
    <xf numFmtId="171" fontId="0" fillId="0" borderId="0" xfId="4" applyNumberFormat="1" applyFont="1"/>
    <xf numFmtId="3" fontId="0" fillId="0" borderId="0" xfId="4" applyNumberFormat="1" applyFont="1"/>
    <xf numFmtId="172" fontId="0" fillId="0" borderId="0" xfId="0" applyNumberFormat="1"/>
    <xf numFmtId="168" fontId="32" fillId="0" borderId="0" xfId="1" applyNumberFormat="1" applyFont="1" applyFill="1" applyBorder="1" applyAlignment="1">
      <alignment horizontal="left" vertical="top"/>
    </xf>
    <xf numFmtId="2" fontId="62" fillId="0" borderId="0" xfId="1" applyNumberFormat="1" applyFont="1" applyFill="1" applyAlignment="1">
      <alignment horizontal="left" vertical="top"/>
    </xf>
    <xf numFmtId="0" fontId="62" fillId="0" borderId="0" xfId="1" applyFont="1" applyFill="1" applyAlignment="1">
      <alignment horizontal="left" vertical="top"/>
    </xf>
    <xf numFmtId="3" fontId="62" fillId="0" borderId="0" xfId="1" applyNumberFormat="1" applyFont="1" applyFill="1" applyAlignment="1">
      <alignment horizontal="left" vertical="top"/>
    </xf>
    <xf numFmtId="168" fontId="62" fillId="0" borderId="0" xfId="1" applyNumberFormat="1" applyFont="1" applyFill="1" applyAlignment="1">
      <alignment horizontal="left" vertical="top"/>
    </xf>
    <xf numFmtId="0" fontId="37" fillId="30" borderId="31" xfId="1" applyFont="1" applyFill="1" applyBorder="1" applyAlignment="1">
      <alignment horizontal="center" textRotation="90" wrapText="1"/>
    </xf>
    <xf numFmtId="9" fontId="62" fillId="0" borderId="0" xfId="3" applyFont="1" applyFill="1" applyBorder="1" applyAlignment="1">
      <alignment horizontal="left" vertical="top"/>
    </xf>
    <xf numFmtId="0" fontId="63" fillId="34" borderId="37" xfId="1" applyFont="1" applyFill="1" applyBorder="1" applyAlignment="1">
      <alignment horizontal="left" vertical="top" wrapText="1"/>
    </xf>
    <xf numFmtId="3" fontId="62" fillId="0" borderId="0" xfId="1" applyNumberFormat="1" applyFont="1" applyFill="1" applyBorder="1" applyAlignment="1">
      <alignment horizontal="left" vertical="top"/>
    </xf>
    <xf numFmtId="0" fontId="48" fillId="17" borderId="31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left" vertical="top"/>
    </xf>
    <xf numFmtId="0" fontId="25" fillId="30" borderId="31" xfId="0" applyFont="1" applyFill="1" applyBorder="1" applyAlignment="1">
      <alignment vertical="top" wrapText="1"/>
    </xf>
    <xf numFmtId="0" fontId="25" fillId="17" borderId="0" xfId="0" applyFont="1" applyFill="1" applyBorder="1" applyAlignment="1">
      <alignment vertical="top" wrapText="1"/>
    </xf>
    <xf numFmtId="0" fontId="59" fillId="30" borderId="31" xfId="0" applyFont="1" applyFill="1" applyBorder="1" applyAlignment="1">
      <alignment horizontal="left" vertical="top" wrapText="1"/>
    </xf>
    <xf numFmtId="0" fontId="37" fillId="30" borderId="31" xfId="1" applyFont="1" applyFill="1" applyBorder="1" applyAlignment="1">
      <alignment horizontal="left" vertical="top" wrapText="1"/>
    </xf>
    <xf numFmtId="168" fontId="8" fillId="36" borderId="1" xfId="0" applyNumberFormat="1" applyFont="1" applyFill="1" applyBorder="1" applyAlignment="1">
      <alignment horizontal="right" vertical="top" shrinkToFit="1"/>
    </xf>
    <xf numFmtId="164" fontId="8" fillId="36" borderId="1" xfId="0" applyNumberFormat="1" applyFont="1" applyFill="1" applyBorder="1" applyAlignment="1">
      <alignment horizontal="center" vertical="top" shrinkToFit="1"/>
    </xf>
    <xf numFmtId="164" fontId="8" fillId="36" borderId="1" xfId="0" applyNumberFormat="1" applyFont="1" applyFill="1" applyBorder="1" applyAlignment="1">
      <alignment horizontal="right" vertical="top" shrinkToFit="1"/>
    </xf>
    <xf numFmtId="168" fontId="8" fillId="37" borderId="1" xfId="0" applyNumberFormat="1" applyFont="1" applyFill="1" applyBorder="1" applyAlignment="1">
      <alignment horizontal="right" vertical="top" shrinkToFit="1"/>
    </xf>
    <xf numFmtId="164" fontId="8" fillId="37" borderId="1" xfId="0" applyNumberFormat="1" applyFont="1" applyFill="1" applyBorder="1" applyAlignment="1">
      <alignment horizontal="center" vertical="top" shrinkToFit="1"/>
    </xf>
    <xf numFmtId="164" fontId="8" fillId="37" borderId="1" xfId="0" applyNumberFormat="1" applyFont="1" applyFill="1" applyBorder="1" applyAlignment="1">
      <alignment horizontal="right" vertical="top" shrinkToFit="1"/>
    </xf>
    <xf numFmtId="168" fontId="8" fillId="38" borderId="1" xfId="0" applyNumberFormat="1" applyFont="1" applyFill="1" applyBorder="1" applyAlignment="1">
      <alignment horizontal="right" vertical="top" shrinkToFit="1"/>
    </xf>
    <xf numFmtId="164" fontId="8" fillId="38" borderId="1" xfId="0" applyNumberFormat="1" applyFont="1" applyFill="1" applyBorder="1" applyAlignment="1">
      <alignment horizontal="right" vertical="top" shrinkToFit="1"/>
    </xf>
    <xf numFmtId="0" fontId="64" fillId="38" borderId="1" xfId="0" applyFont="1" applyFill="1" applyBorder="1" applyAlignment="1">
      <alignment horizontal="right" vertical="top" wrapText="1"/>
    </xf>
    <xf numFmtId="164" fontId="8" fillId="36" borderId="38" xfId="0" applyNumberFormat="1" applyFont="1" applyFill="1" applyBorder="1" applyAlignment="1">
      <alignment horizontal="right" vertical="top" shrinkToFit="1"/>
    </xf>
    <xf numFmtId="2" fontId="62" fillId="0" borderId="0" xfId="1" applyNumberFormat="1" applyFont="1" applyFill="1" applyBorder="1" applyAlignment="1">
      <alignment horizontal="left" vertical="top"/>
    </xf>
    <xf numFmtId="0" fontId="66" fillId="0" borderId="0" xfId="2" applyFont="1" applyFill="1" applyBorder="1" applyAlignment="1">
      <alignment horizontal="left" vertical="top"/>
    </xf>
    <xf numFmtId="0" fontId="33" fillId="35" borderId="0" xfId="2" applyFont="1" applyFill="1" applyBorder="1" applyAlignment="1">
      <alignment horizontal="left" vertical="top"/>
    </xf>
    <xf numFmtId="0" fontId="25" fillId="34" borderId="31" xfId="1" applyFont="1" applyFill="1" applyBorder="1" applyAlignment="1">
      <alignment horizontal="left" vertical="top" wrapText="1"/>
    </xf>
    <xf numFmtId="2" fontId="32" fillId="0" borderId="0" xfId="1" applyNumberFormat="1" applyFont="1" applyFill="1" applyAlignment="1">
      <alignment horizontal="left" vertical="top"/>
    </xf>
    <xf numFmtId="0" fontId="37" fillId="17" borderId="20" xfId="1" applyNumberFormat="1" applyFont="1" applyFill="1" applyBorder="1" applyAlignment="1">
      <alignment horizontal="center" vertical="center" wrapText="1"/>
    </xf>
    <xf numFmtId="0" fontId="25" fillId="17" borderId="31" xfId="1" applyNumberFormat="1" applyFont="1" applyFill="1" applyBorder="1" applyAlignment="1">
      <alignment horizontal="left" vertical="top" wrapText="1"/>
    </xf>
    <xf numFmtId="0" fontId="65" fillId="39" borderId="41" xfId="1" applyNumberFormat="1" applyFont="1" applyFill="1" applyBorder="1" applyAlignment="1">
      <alignment horizontal="left" vertical="top"/>
    </xf>
    <xf numFmtId="0" fontId="65" fillId="39" borderId="40" xfId="1" applyNumberFormat="1" applyFont="1" applyFill="1" applyBorder="1" applyAlignment="1">
      <alignment horizontal="left" vertical="top"/>
    </xf>
    <xf numFmtId="0" fontId="35" fillId="39" borderId="40" xfId="1" applyNumberFormat="1" applyFont="1" applyFill="1" applyBorder="1" applyAlignment="1">
      <alignment horizontal="left" vertical="top"/>
    </xf>
    <xf numFmtId="171" fontId="32" fillId="40" borderId="39" xfId="4" applyNumberFormat="1" applyFont="1" applyFill="1" applyBorder="1" applyAlignment="1">
      <alignment horizontal="left" vertical="top"/>
    </xf>
    <xf numFmtId="171" fontId="32" fillId="0" borderId="39" xfId="4" applyNumberFormat="1" applyFont="1" applyBorder="1" applyAlignment="1">
      <alignment horizontal="left" vertical="top"/>
    </xf>
    <xf numFmtId="171" fontId="32" fillId="0" borderId="0" xfId="4" applyNumberFormat="1" applyFont="1" applyFill="1" applyBorder="1" applyAlignment="1">
      <alignment horizontal="left" vertical="top"/>
    </xf>
    <xf numFmtId="171" fontId="62" fillId="0" borderId="0" xfId="4" applyNumberFormat="1" applyFont="1" applyFill="1" applyBorder="1" applyAlignment="1">
      <alignment horizontal="left" vertical="top"/>
    </xf>
    <xf numFmtId="171" fontId="32" fillId="0" borderId="0" xfId="4" applyNumberFormat="1" applyFont="1" applyFill="1" applyAlignment="1">
      <alignment horizontal="left" vertical="top"/>
    </xf>
    <xf numFmtId="171" fontId="32" fillId="35" borderId="0" xfId="4" applyNumberFormat="1" applyFont="1" applyFill="1" applyBorder="1" applyAlignment="1">
      <alignment horizontal="left" vertical="top"/>
    </xf>
    <xf numFmtId="171" fontId="32" fillId="41" borderId="39" xfId="4" applyNumberFormat="1" applyFont="1" applyFill="1" applyBorder="1" applyAlignment="1">
      <alignment horizontal="left" vertical="top"/>
    </xf>
    <xf numFmtId="171" fontId="32" fillId="35" borderId="39" xfId="4" applyNumberFormat="1" applyFont="1" applyFill="1" applyBorder="1" applyAlignment="1">
      <alignment horizontal="left" vertical="top"/>
    </xf>
    <xf numFmtId="171" fontId="33" fillId="0" borderId="0" xfId="2" applyNumberFormat="1" applyFont="1" applyFill="1" applyBorder="1" applyAlignment="1">
      <alignment horizontal="left" vertical="top"/>
    </xf>
    <xf numFmtId="171" fontId="32" fillId="0" borderId="39" xfId="4" applyNumberFormat="1" applyFont="1" applyFill="1" applyBorder="1" applyAlignment="1">
      <alignment horizontal="left" vertical="top"/>
    </xf>
    <xf numFmtId="171" fontId="28" fillId="35" borderId="39" xfId="4" applyNumberFormat="1" applyFont="1" applyFill="1" applyBorder="1" applyAlignment="1">
      <alignment horizontal="left" vertical="top"/>
    </xf>
    <xf numFmtId="1" fontId="32" fillId="0" borderId="0" xfId="1" applyNumberFormat="1" applyFont="1" applyFill="1" applyAlignment="1">
      <alignment horizontal="left" vertical="top"/>
    </xf>
    <xf numFmtId="0" fontId="37" fillId="34" borderId="42" xfId="1" applyNumberFormat="1" applyFont="1" applyFill="1" applyBorder="1" applyAlignment="1">
      <alignment horizontal="center" vertical="center" wrapText="1"/>
    </xf>
    <xf numFmtId="0" fontId="25" fillId="34" borderId="37" xfId="1" applyFont="1" applyFill="1" applyBorder="1" applyAlignment="1">
      <alignment horizontal="left" vertical="top" wrapText="1"/>
    </xf>
    <xf numFmtId="9" fontId="32" fillId="0" borderId="0" xfId="3" applyFont="1" applyFill="1" applyAlignment="1">
      <alignment horizontal="left" vertical="top"/>
    </xf>
    <xf numFmtId="164" fontId="33" fillId="0" borderId="0" xfId="0" applyNumberFormat="1" applyFont="1"/>
    <xf numFmtId="164" fontId="33" fillId="0" borderId="0" xfId="2" applyNumberFormat="1" applyFont="1" applyFill="1" applyBorder="1" applyAlignment="1">
      <alignment horizontal="left" vertical="top"/>
    </xf>
    <xf numFmtId="0" fontId="67" fillId="0" borderId="0" xfId="1" applyFont="1" applyFill="1" applyAlignment="1">
      <alignment horizontal="left" vertical="top"/>
    </xf>
    <xf numFmtId="0" fontId="37" fillId="30" borderId="30" xfId="1" applyFont="1" applyFill="1" applyBorder="1" applyAlignment="1">
      <alignment horizontal="center" textRotation="90" wrapText="1"/>
    </xf>
    <xf numFmtId="0" fontId="25" fillId="0" borderId="29" xfId="1" applyFont="1" applyFill="1" applyBorder="1" applyAlignment="1">
      <alignment horizontal="left" vertical="top" wrapText="1" indent="1"/>
    </xf>
    <xf numFmtId="0" fontId="0" fillId="32" borderId="31" xfId="0" applyFill="1" applyBorder="1" applyAlignment="1">
      <alignment horizontal="left" vertical="top" wrapText="1" indent="3"/>
    </xf>
    <xf numFmtId="0" fontId="32" fillId="0" borderId="29" xfId="1" applyFont="1" applyFill="1" applyBorder="1" applyAlignment="1">
      <alignment horizontal="left" vertical="top" wrapText="1" indent="1"/>
    </xf>
    <xf numFmtId="0" fontId="32" fillId="0" borderId="29" xfId="1" applyFont="1" applyFill="1" applyBorder="1" applyAlignment="1">
      <alignment horizontal="right" vertical="top" wrapText="1"/>
    </xf>
    <xf numFmtId="0" fontId="28" fillId="0" borderId="0" xfId="1" applyFont="1" applyFill="1" applyBorder="1" applyAlignment="1">
      <alignment horizontal="left" vertical="top" wrapText="1"/>
    </xf>
    <xf numFmtId="0" fontId="32" fillId="0" borderId="0" xfId="1" applyFont="1" applyFill="1" applyBorder="1" applyAlignment="1">
      <alignment horizontal="left" vertical="center" wrapText="1" indent="2"/>
    </xf>
    <xf numFmtId="0" fontId="0" fillId="0" borderId="0" xfId="0" applyAlignment="1">
      <alignment horizontal="center"/>
    </xf>
  </cellXfs>
  <cellStyles count="5">
    <cellStyle name="Komma" xfId="4" builtinId="3"/>
    <cellStyle name="Prozent" xfId="3" builtinId="5"/>
    <cellStyle name="Standard" xfId="0" builtinId="0"/>
    <cellStyle name="Standard 2" xfId="1" xr:uid="{00000000-0005-0000-0000-000003000000}"/>
    <cellStyle name="Standard 3" xfId="2" xr:uid="{00000000-0005-0000-0000-000004000000}"/>
  </cellStyles>
  <dxfs count="349"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231F20"/>
        </top>
        <bottom style="thin">
          <color rgb="FF231F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231F20"/>
        </top>
        <bottom style="thin">
          <color rgb="FF231F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8" formatCode="#,##0.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231F20"/>
        </top>
        <bottom style="thin">
          <color rgb="FF231F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231F20"/>
        </top>
        <bottom style="thin">
          <color rgb="FF231F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71" formatCode="_-* #,##0\ _€_-;\-* #,##0\ _€_-;_-* &quot;-&quot;??\ _€_-;_-@_-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231F20"/>
        </top>
        <bottom style="thin">
          <color rgb="FF231F2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CECED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C5C6C6"/>
        </top>
        <bottom style="thin">
          <color rgb="FFC5C6C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CECED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C5C6C6"/>
        </top>
        <bottom style="thin">
          <color rgb="FFC5C6C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fill>
        <patternFill patternType="solid">
          <fgColor indexed="64"/>
          <bgColor rgb="FFE6E7E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BCBEC0"/>
        </top>
        <bottom style="thin">
          <color rgb="FFBCBE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E6E7E8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231F20"/>
        </top>
        <bottom style="thin">
          <color rgb="FF231F2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797C7A"/>
      <color rgb="FF7F7F7F"/>
      <color rgb="FF000000"/>
      <color rgb="FFB1B3B2"/>
      <color rgb="FFFFCE90"/>
      <color rgb="FFE98300"/>
      <color rgb="FF744200"/>
      <color rgb="FF5B5D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690207098765432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Capacity_Entsoe_SFS_2018!$AZ$1:$AZ$2</c:f>
              <c:strCache>
                <c:ptCount val="2"/>
                <c:pt idx="0">
                  <c:v>Lignite&amp;Coal generation capacity</c:v>
                </c:pt>
                <c:pt idx="1">
                  <c:v>MW</c:v>
                </c:pt>
              </c:strCache>
            </c:strRef>
          </c:tx>
          <c:invertIfNegative val="0"/>
          <c:cat>
            <c:strRef>
              <c:f>Capacity_Entsoe_SFS_2018!$AY$3:$AY$39</c:f>
              <c:strCache>
                <c:ptCount val="37"/>
                <c:pt idx="0">
                  <c:v>AL</c:v>
                </c:pt>
                <c:pt idx="1">
                  <c:v>BE</c:v>
                </c:pt>
                <c:pt idx="2">
                  <c:v>CH</c:v>
                </c:pt>
                <c:pt idx="3">
                  <c:v>CY</c:v>
                </c:pt>
                <c:pt idx="4">
                  <c:v>EE</c:v>
                </c:pt>
                <c:pt idx="5">
                  <c:v>IS</c:v>
                </c:pt>
                <c:pt idx="6">
                  <c:v>LT</c:v>
                </c:pt>
                <c:pt idx="7">
                  <c:v>LU</c:v>
                </c:pt>
                <c:pt idx="8">
                  <c:v>LV</c:v>
                </c:pt>
                <c:pt idx="9">
                  <c:v>NO</c:v>
                </c:pt>
                <c:pt idx="10">
                  <c:v>SE</c:v>
                </c:pt>
                <c:pt idx="11">
                  <c:v>ME</c:v>
                </c:pt>
                <c:pt idx="12">
                  <c:v>HR</c:v>
                </c:pt>
                <c:pt idx="13">
                  <c:v>SK</c:v>
                </c:pt>
                <c:pt idx="14">
                  <c:v>AT</c:v>
                </c:pt>
                <c:pt idx="15">
                  <c:v>MK</c:v>
                </c:pt>
                <c:pt idx="16">
                  <c:v>IE</c:v>
                </c:pt>
                <c:pt idx="17">
                  <c:v>SI</c:v>
                </c:pt>
                <c:pt idx="18">
                  <c:v>HU</c:v>
                </c:pt>
                <c:pt idx="19">
                  <c:v>PT</c:v>
                </c:pt>
                <c:pt idx="20">
                  <c:v>BA</c:v>
                </c:pt>
                <c:pt idx="21">
                  <c:v>FI</c:v>
                </c:pt>
                <c:pt idx="22">
                  <c:v>FR</c:v>
                </c:pt>
                <c:pt idx="23">
                  <c:v>DK</c:v>
                </c:pt>
                <c:pt idx="24">
                  <c:v>BG</c:v>
                </c:pt>
                <c:pt idx="25">
                  <c:v>GR</c:v>
                </c:pt>
                <c:pt idx="26">
                  <c:v>RO</c:v>
                </c:pt>
                <c:pt idx="27">
                  <c:v>NL</c:v>
                </c:pt>
                <c:pt idx="28">
                  <c:v>RS</c:v>
                </c:pt>
                <c:pt idx="29">
                  <c:v>IT</c:v>
                </c:pt>
                <c:pt idx="30">
                  <c:v>CZ</c:v>
                </c:pt>
                <c:pt idx="31">
                  <c:v>ES</c:v>
                </c:pt>
                <c:pt idx="32">
                  <c:v>GB</c:v>
                </c:pt>
                <c:pt idx="33">
                  <c:v>TR</c:v>
                </c:pt>
                <c:pt idx="34">
                  <c:v>PL</c:v>
                </c:pt>
                <c:pt idx="35">
                  <c:v>DE</c:v>
                </c:pt>
                <c:pt idx="36">
                  <c:v>ENTSO-E   *</c:v>
                </c:pt>
              </c:strCache>
            </c:strRef>
          </c:cat>
          <c:val>
            <c:numRef>
              <c:f>Capacity_Entsoe_SFS_2018!$AZ$3:$AZ$39</c:f>
              <c:numCache>
                <c:formatCode>0.0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205</c:v>
                </c:pt>
                <c:pt idx="11">
                  <c:v>220</c:v>
                </c:pt>
                <c:pt idx="12">
                  <c:v>325</c:v>
                </c:pt>
                <c:pt idx="13">
                  <c:v>566</c:v>
                </c:pt>
                <c:pt idx="14">
                  <c:v>598</c:v>
                </c:pt>
                <c:pt idx="15">
                  <c:v>718</c:v>
                </c:pt>
                <c:pt idx="16">
                  <c:v>855</c:v>
                </c:pt>
                <c:pt idx="17">
                  <c:v>981</c:v>
                </c:pt>
                <c:pt idx="18">
                  <c:v>1049</c:v>
                </c:pt>
                <c:pt idx="19">
                  <c:v>1756</c:v>
                </c:pt>
                <c:pt idx="20">
                  <c:v>1888</c:v>
                </c:pt>
                <c:pt idx="21">
                  <c:v>2278</c:v>
                </c:pt>
                <c:pt idx="22">
                  <c:v>2997</c:v>
                </c:pt>
                <c:pt idx="23">
                  <c:v>3656</c:v>
                </c:pt>
                <c:pt idx="24">
                  <c:v>3733</c:v>
                </c:pt>
                <c:pt idx="25">
                  <c:v>3904</c:v>
                </c:pt>
                <c:pt idx="26">
                  <c:v>4373</c:v>
                </c:pt>
                <c:pt idx="27">
                  <c:v>4631</c:v>
                </c:pt>
                <c:pt idx="28">
                  <c:v>5314</c:v>
                </c:pt>
                <c:pt idx="29">
                  <c:v>7752</c:v>
                </c:pt>
                <c:pt idx="30">
                  <c:v>10030</c:v>
                </c:pt>
                <c:pt idx="31">
                  <c:v>10031</c:v>
                </c:pt>
                <c:pt idx="32">
                  <c:v>10860</c:v>
                </c:pt>
                <c:pt idx="33">
                  <c:v>19694</c:v>
                </c:pt>
                <c:pt idx="34">
                  <c:v>27631</c:v>
                </c:pt>
                <c:pt idx="35">
                  <c:v>45755</c:v>
                </c:pt>
                <c:pt idx="36">
                  <c:v>171799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1-4DEB-9D84-772DDD89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410048"/>
        <c:axId val="181420032"/>
      </c:barChart>
      <c:barChart>
        <c:barDir val="bar"/>
        <c:grouping val="clustered"/>
        <c:varyColors val="0"/>
        <c:ser>
          <c:idx val="1"/>
          <c:order val="1"/>
          <c:tx>
            <c:strRef>
              <c:f>Capacity_Entsoe_SFS_2018!$BA$1:$BA$2</c:f>
              <c:strCache>
                <c:ptCount val="2"/>
                <c:pt idx="0">
                  <c:v>Lignite&amp;Coal share in installed generation capacity</c:v>
                </c:pt>
                <c:pt idx="1">
                  <c:v>%</c:v>
                </c:pt>
              </c:strCache>
            </c:strRef>
          </c:tx>
          <c:invertIfNegative val="0"/>
          <c:cat>
            <c:strRef>
              <c:f>Capacity_Entsoe_SFS_2018!$AY$3:$AY$39</c:f>
              <c:strCache>
                <c:ptCount val="37"/>
                <c:pt idx="0">
                  <c:v>AL</c:v>
                </c:pt>
                <c:pt idx="1">
                  <c:v>BE</c:v>
                </c:pt>
                <c:pt idx="2">
                  <c:v>CH</c:v>
                </c:pt>
                <c:pt idx="3">
                  <c:v>CY</c:v>
                </c:pt>
                <c:pt idx="4">
                  <c:v>EE</c:v>
                </c:pt>
                <c:pt idx="5">
                  <c:v>IS</c:v>
                </c:pt>
                <c:pt idx="6">
                  <c:v>LT</c:v>
                </c:pt>
                <c:pt idx="7">
                  <c:v>LU</c:v>
                </c:pt>
                <c:pt idx="8">
                  <c:v>LV</c:v>
                </c:pt>
                <c:pt idx="9">
                  <c:v>NO</c:v>
                </c:pt>
                <c:pt idx="10">
                  <c:v>SE</c:v>
                </c:pt>
                <c:pt idx="11">
                  <c:v>ME</c:v>
                </c:pt>
                <c:pt idx="12">
                  <c:v>HR</c:v>
                </c:pt>
                <c:pt idx="13">
                  <c:v>SK</c:v>
                </c:pt>
                <c:pt idx="14">
                  <c:v>AT</c:v>
                </c:pt>
                <c:pt idx="15">
                  <c:v>MK</c:v>
                </c:pt>
                <c:pt idx="16">
                  <c:v>IE</c:v>
                </c:pt>
                <c:pt idx="17">
                  <c:v>SI</c:v>
                </c:pt>
                <c:pt idx="18">
                  <c:v>HU</c:v>
                </c:pt>
                <c:pt idx="19">
                  <c:v>PT</c:v>
                </c:pt>
                <c:pt idx="20">
                  <c:v>BA</c:v>
                </c:pt>
                <c:pt idx="21">
                  <c:v>FI</c:v>
                </c:pt>
                <c:pt idx="22">
                  <c:v>FR</c:v>
                </c:pt>
                <c:pt idx="23">
                  <c:v>DK</c:v>
                </c:pt>
                <c:pt idx="24">
                  <c:v>BG</c:v>
                </c:pt>
                <c:pt idx="25">
                  <c:v>GR</c:v>
                </c:pt>
                <c:pt idx="26">
                  <c:v>RO</c:v>
                </c:pt>
                <c:pt idx="27">
                  <c:v>NL</c:v>
                </c:pt>
                <c:pt idx="28">
                  <c:v>RS</c:v>
                </c:pt>
                <c:pt idx="29">
                  <c:v>IT</c:v>
                </c:pt>
                <c:pt idx="30">
                  <c:v>CZ</c:v>
                </c:pt>
                <c:pt idx="31">
                  <c:v>ES</c:v>
                </c:pt>
                <c:pt idx="32">
                  <c:v>GB</c:v>
                </c:pt>
                <c:pt idx="33">
                  <c:v>TR</c:v>
                </c:pt>
                <c:pt idx="34">
                  <c:v>PL</c:v>
                </c:pt>
                <c:pt idx="35">
                  <c:v>DE</c:v>
                </c:pt>
                <c:pt idx="36">
                  <c:v>ENTSO-E   *</c:v>
                </c:pt>
              </c:strCache>
            </c:strRef>
          </c:cat>
          <c:val>
            <c:numRef>
              <c:f>Capacity_Entsoe_SFS_2018!$BA$3:$BA$39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5.1368146737496238E-3</c:v>
                </c:pt>
                <c:pt idx="11">
                  <c:v>0.23109243697478993</c:v>
                </c:pt>
                <c:pt idx="12">
                  <c:v>6.7259933774834441E-2</c:v>
                </c:pt>
                <c:pt idx="13">
                  <c:v>7.3240165631469983E-2</c:v>
                </c:pt>
                <c:pt idx="14">
                  <c:v>2.3531263526541533E-2</c:v>
                </c:pt>
                <c:pt idx="15">
                  <c:v>0.3790918690601901</c:v>
                </c:pt>
                <c:pt idx="16">
                  <c:v>8.1351094196003809E-2</c:v>
                </c:pt>
                <c:pt idx="17">
                  <c:v>0.24785245073269327</c:v>
                </c:pt>
                <c:pt idx="18">
                  <c:v>0.12379041774840689</c:v>
                </c:pt>
                <c:pt idx="19">
                  <c:v>8.7896686354990483E-2</c:v>
                </c:pt>
                <c:pt idx="20">
                  <c:v>0.46686449060336299</c:v>
                </c:pt>
                <c:pt idx="21">
                  <c:v>0.1311381037361119</c:v>
                </c:pt>
                <c:pt idx="22">
                  <c:v>2.2556051449171742E-2</c:v>
                </c:pt>
                <c:pt idx="23">
                  <c:v>0.22771722204920586</c:v>
                </c:pt>
                <c:pt idx="24">
                  <c:v>0.32591234503230315</c:v>
                </c:pt>
                <c:pt idx="25">
                  <c:v>0.23816495851634945</c:v>
                </c:pt>
                <c:pt idx="26">
                  <c:v>0.22123849033694223</c:v>
                </c:pt>
                <c:pt idx="27">
                  <c:v>0.15168189708820543</c:v>
                </c:pt>
                <c:pt idx="28">
                  <c:v>0.60620579511749939</c:v>
                </c:pt>
                <c:pt idx="29">
                  <c:v>5.920494902050636E-2</c:v>
                </c:pt>
                <c:pt idx="30">
                  <c:v>0.48174831892411141</c:v>
                </c:pt>
                <c:pt idx="31">
                  <c:v>9.6364824101293059E-2</c:v>
                </c:pt>
                <c:pt idx="32">
                  <c:v>0.12038977019521767</c:v>
                </c:pt>
                <c:pt idx="33">
                  <c:v>0.22240290905805693</c:v>
                </c:pt>
                <c:pt idx="34">
                  <c:v>0.69288830934349765</c:v>
                </c:pt>
                <c:pt idx="35">
                  <c:v>0.21276843094035694</c:v>
                </c:pt>
                <c:pt idx="36">
                  <c:v>0.1476691264005226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4DEB-9D84-772DDD89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1423104"/>
        <c:axId val="181421568"/>
      </c:barChart>
      <c:catAx>
        <c:axId val="18141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420032"/>
        <c:crosses val="autoZero"/>
        <c:auto val="1"/>
        <c:lblAlgn val="ctr"/>
        <c:lblOffset val="100"/>
        <c:tickLblSkip val="1"/>
        <c:noMultiLvlLbl val="0"/>
      </c:catAx>
      <c:valAx>
        <c:axId val="18142003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crossAx val="181410048"/>
        <c:crosses val="autoZero"/>
        <c:crossBetween val="between"/>
      </c:valAx>
      <c:valAx>
        <c:axId val="18142156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181423104"/>
        <c:crosses val="max"/>
        <c:crossBetween val="between"/>
      </c:valAx>
      <c:catAx>
        <c:axId val="18142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42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1787895963221872E-2"/>
          <c:y val="0.89655667568605157"/>
          <c:w val="0.9082121040367781"/>
          <c:h val="7.807425529525527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Coal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Tabelle1!$R$4:$R$5</c:f>
              <c:strCache>
                <c:ptCount val="2"/>
                <c:pt idx="0">
                  <c:v>Lignite&amp;Coal share in net generation</c:v>
                </c:pt>
                <c:pt idx="1">
                  <c:v>%</c:v>
                </c:pt>
              </c:strCache>
            </c:strRef>
          </c:tx>
          <c:spPr>
            <a:solidFill>
              <a:srgbClr val="797C7A">
                <a:lumMod val="75000"/>
              </a:srgbClr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4F2-4199-A88D-1904EEE702B5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Tabelle1!$R$6:$R$42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3.1585596967782688E-3</c:v>
                </c:pt>
                <c:pt idx="10">
                  <c:v>1.0572366022602989E-2</c:v>
                </c:pt>
                <c:pt idx="11">
                  <c:v>2.6666666666666668E-2</c:v>
                </c:pt>
                <c:pt idx="12">
                  <c:v>3.0390738060781481E-2</c:v>
                </c:pt>
                <c:pt idx="13">
                  <c:v>5.8782365290412877E-2</c:v>
                </c:pt>
                <c:pt idx="14">
                  <c:v>7.1672354948805458E-2</c:v>
                </c:pt>
                <c:pt idx="15">
                  <c:v>8.5925925925925919E-2</c:v>
                </c:pt>
                <c:pt idx="16">
                  <c:v>0.10743801652892562</c:v>
                </c:pt>
                <c:pt idx="17">
                  <c:v>0.11051693404634581</c:v>
                </c:pt>
                <c:pt idx="18">
                  <c:v>0.1195219123505976</c:v>
                </c:pt>
                <c:pt idx="19">
                  <c:v>0.14291187739463601</c:v>
                </c:pt>
                <c:pt idx="20">
                  <c:v>0.15377532228360957</c:v>
                </c:pt>
                <c:pt idx="21">
                  <c:v>0.15957446808510639</c:v>
                </c:pt>
                <c:pt idx="22" formatCode="General">
                  <c:v>0.19709764696236781</c:v>
                </c:pt>
                <c:pt idx="23">
                  <c:v>0.2014519056261343</c:v>
                </c:pt>
                <c:pt idx="24">
                  <c:v>0.23064250411861614</c:v>
                </c:pt>
                <c:pt idx="25">
                  <c:v>0.23875432525951559</c:v>
                </c:pt>
                <c:pt idx="26">
                  <c:v>0.26666666666666666</c:v>
                </c:pt>
                <c:pt idx="27">
                  <c:v>0.32891832229580575</c:v>
                </c:pt>
                <c:pt idx="28">
                  <c:v>0.34755689424364122</c:v>
                </c:pt>
                <c:pt idx="29">
                  <c:v>0.37483355525965378</c:v>
                </c:pt>
                <c:pt idx="30">
                  <c:v>0.38888888888888884</c:v>
                </c:pt>
                <c:pt idx="31">
                  <c:v>0.40425531914893625</c:v>
                </c:pt>
                <c:pt idx="32">
                  <c:v>0.4767726161369194</c:v>
                </c:pt>
                <c:pt idx="33">
                  <c:v>0.51923076923076927</c:v>
                </c:pt>
                <c:pt idx="34">
                  <c:v>0.62427745664739887</c:v>
                </c:pt>
                <c:pt idx="35">
                  <c:v>0.70959595959595956</c:v>
                </c:pt>
                <c:pt idx="36">
                  <c:v>0.77593889242520697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2-4199-A88D-1904EEE7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539392"/>
        <c:axId val="182540928"/>
      </c:barChart>
      <c:barChart>
        <c:barDir val="bar"/>
        <c:grouping val="clustered"/>
        <c:varyColors val="0"/>
        <c:ser>
          <c:idx val="0"/>
          <c:order val="1"/>
          <c:spPr>
            <a:solidFill>
              <a:srgbClr val="58A618"/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4F2-4199-A88D-1904EEE702B5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Tabelle1!$S$6:$S$42</c:f>
              <c:numCache>
                <c:formatCode>0%</c:formatCode>
                <c:ptCount val="37"/>
                <c:pt idx="0">
                  <c:v>0</c:v>
                </c:pt>
                <c:pt idx="1">
                  <c:v>1.4792899408284025E-2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9.3749999999999986E-2</c:v>
                </c:pt>
                <c:pt idx="6">
                  <c:v>0.1</c:v>
                </c:pt>
                <c:pt idx="7">
                  <c:v>0.4</c:v>
                </c:pt>
                <c:pt idx="8">
                  <c:v>2.1962937542896365E-2</c:v>
                </c:pt>
                <c:pt idx="9">
                  <c:v>3.7902716361339225E-3</c:v>
                </c:pt>
                <c:pt idx="10">
                  <c:v>5.723660226029894E-2</c:v>
                </c:pt>
                <c:pt idx="11">
                  <c:v>0.14518518518518519</c:v>
                </c:pt>
                <c:pt idx="12">
                  <c:v>0.31982633863965271</c:v>
                </c:pt>
                <c:pt idx="13">
                  <c:v>0.45451364590622811</c:v>
                </c:pt>
                <c:pt idx="14">
                  <c:v>0.50853242320819114</c:v>
                </c:pt>
                <c:pt idx="15">
                  <c:v>5.7777777777777775E-2</c:v>
                </c:pt>
                <c:pt idx="16">
                  <c:v>0.15702479338842976</c:v>
                </c:pt>
                <c:pt idx="17">
                  <c:v>0.44206773618538325</c:v>
                </c:pt>
                <c:pt idx="18">
                  <c:v>7.1713147410358558E-2</c:v>
                </c:pt>
                <c:pt idx="19">
                  <c:v>0.20574712643678161</c:v>
                </c:pt>
                <c:pt idx="20">
                  <c:v>0.6574585635359117</c:v>
                </c:pt>
                <c:pt idx="21">
                  <c:v>0.19148936170212769</c:v>
                </c:pt>
                <c:pt idx="22">
                  <c:v>0.1940367850017764</c:v>
                </c:pt>
                <c:pt idx="23">
                  <c:v>0.2613430127041742</c:v>
                </c:pt>
                <c:pt idx="24">
                  <c:v>8.2372322899505759E-2</c:v>
                </c:pt>
                <c:pt idx="25">
                  <c:v>7.6124567474048457E-2</c:v>
                </c:pt>
                <c:pt idx="26">
                  <c:v>0</c:v>
                </c:pt>
                <c:pt idx="27">
                  <c:v>0.3112582781456954</c:v>
                </c:pt>
                <c:pt idx="28">
                  <c:v>0.14608433734939757</c:v>
                </c:pt>
                <c:pt idx="29">
                  <c:v>0.29760319573901467</c:v>
                </c:pt>
                <c:pt idx="30">
                  <c:v>0</c:v>
                </c:pt>
                <c:pt idx="31">
                  <c:v>4.0189125295508277E-2</c:v>
                </c:pt>
                <c:pt idx="32">
                  <c:v>5.3789731051344748E-2</c:v>
                </c:pt>
                <c:pt idx="33">
                  <c:v>0.13461538461538461</c:v>
                </c:pt>
                <c:pt idx="34">
                  <c:v>0</c:v>
                </c:pt>
                <c:pt idx="35">
                  <c:v>5.0505050505050509E-3</c:v>
                </c:pt>
                <c:pt idx="36">
                  <c:v>7.8930617441120315E-2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2-4199-A88D-1904EEE7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544256"/>
        <c:axId val="182542720"/>
      </c:barChart>
      <c:catAx>
        <c:axId val="1825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182540928"/>
        <c:crosses val="autoZero"/>
        <c:auto val="1"/>
        <c:lblAlgn val="ctr"/>
        <c:lblOffset val="100"/>
        <c:tickLblSkip val="1"/>
        <c:noMultiLvlLbl val="0"/>
      </c:catAx>
      <c:valAx>
        <c:axId val="18254092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</a:schemeClr>
                </a:solidFill>
              </a:defRPr>
            </a:pPr>
            <a:endParaRPr lang="de-DE"/>
          </a:p>
        </c:txPr>
        <c:crossAx val="182539392"/>
        <c:crosses val="autoZero"/>
        <c:crossBetween val="between"/>
      </c:valAx>
      <c:valAx>
        <c:axId val="182542720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de-DE"/>
          </a:p>
        </c:txPr>
        <c:crossAx val="182544256"/>
        <c:crosses val="max"/>
        <c:crossBetween val="between"/>
      </c:valAx>
      <c:catAx>
        <c:axId val="182544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254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Coal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Tabelle1!$R$4:$R$5</c:f>
              <c:strCache>
                <c:ptCount val="2"/>
                <c:pt idx="0">
                  <c:v>Lignite&amp;Coal share in net generation</c:v>
                </c:pt>
                <c:pt idx="1">
                  <c:v>%</c:v>
                </c:pt>
              </c:strCache>
            </c:strRef>
          </c:tx>
          <c:spPr>
            <a:solidFill>
              <a:srgbClr val="B1B3B2">
                <a:lumMod val="50000"/>
              </a:srgbClr>
            </a:solidFill>
          </c:spPr>
          <c:invertIfNegative val="0"/>
          <c:dPt>
            <c:idx val="21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73A6-41E3-8583-7E6DF45F84F7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Tabelle1!$R$6:$R$42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3.1585596967782688E-3</c:v>
                </c:pt>
                <c:pt idx="10">
                  <c:v>1.0572366022602989E-2</c:v>
                </c:pt>
                <c:pt idx="11">
                  <c:v>2.6666666666666668E-2</c:v>
                </c:pt>
                <c:pt idx="12">
                  <c:v>3.0390738060781481E-2</c:v>
                </c:pt>
                <c:pt idx="13">
                  <c:v>5.8782365290412877E-2</c:v>
                </c:pt>
                <c:pt idx="14">
                  <c:v>7.1672354948805458E-2</c:v>
                </c:pt>
                <c:pt idx="15">
                  <c:v>8.5925925925925919E-2</c:v>
                </c:pt>
                <c:pt idx="16">
                  <c:v>0.10743801652892562</c:v>
                </c:pt>
                <c:pt idx="17">
                  <c:v>0.11051693404634581</c:v>
                </c:pt>
                <c:pt idx="18">
                  <c:v>0.1195219123505976</c:v>
                </c:pt>
                <c:pt idx="19">
                  <c:v>0.14291187739463601</c:v>
                </c:pt>
                <c:pt idx="20">
                  <c:v>0.15377532228360957</c:v>
                </c:pt>
                <c:pt idx="21">
                  <c:v>0.15957446808510639</c:v>
                </c:pt>
                <c:pt idx="22" formatCode="General">
                  <c:v>0.19709764696236781</c:v>
                </c:pt>
                <c:pt idx="23">
                  <c:v>0.2014519056261343</c:v>
                </c:pt>
                <c:pt idx="24">
                  <c:v>0.23064250411861614</c:v>
                </c:pt>
                <c:pt idx="25">
                  <c:v>0.23875432525951559</c:v>
                </c:pt>
                <c:pt idx="26">
                  <c:v>0.26666666666666666</c:v>
                </c:pt>
                <c:pt idx="27">
                  <c:v>0.32891832229580575</c:v>
                </c:pt>
                <c:pt idx="28">
                  <c:v>0.34755689424364122</c:v>
                </c:pt>
                <c:pt idx="29">
                  <c:v>0.37483355525965378</c:v>
                </c:pt>
                <c:pt idx="30">
                  <c:v>0.38888888888888884</c:v>
                </c:pt>
                <c:pt idx="31">
                  <c:v>0.40425531914893625</c:v>
                </c:pt>
                <c:pt idx="32">
                  <c:v>0.4767726161369194</c:v>
                </c:pt>
                <c:pt idx="33">
                  <c:v>0.51923076923076927</c:v>
                </c:pt>
                <c:pt idx="34">
                  <c:v>0.62427745664739887</c:v>
                </c:pt>
                <c:pt idx="35">
                  <c:v>0.70959595959595956</c:v>
                </c:pt>
                <c:pt idx="36">
                  <c:v>0.77593889242520697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6-41E3-8583-7E6DF45F84F7}"/>
            </c:ext>
          </c:extLst>
        </c:ser>
        <c:ser>
          <c:idx val="0"/>
          <c:order val="1"/>
          <c:spPr>
            <a:solidFill>
              <a:srgbClr val="58A618"/>
            </a:solidFill>
          </c:spPr>
          <c:invertIfNegative val="0"/>
          <c:dPt>
            <c:idx val="21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4-73A6-41E3-8583-7E6DF45F84F7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Tabelle1!$S$6:$S$42</c:f>
              <c:numCache>
                <c:formatCode>0%</c:formatCode>
                <c:ptCount val="37"/>
                <c:pt idx="0">
                  <c:v>0</c:v>
                </c:pt>
                <c:pt idx="1">
                  <c:v>1.4792899408284025E-2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9.3749999999999986E-2</c:v>
                </c:pt>
                <c:pt idx="6">
                  <c:v>0.1</c:v>
                </c:pt>
                <c:pt idx="7">
                  <c:v>0.4</c:v>
                </c:pt>
                <c:pt idx="8">
                  <c:v>2.1962937542896365E-2</c:v>
                </c:pt>
                <c:pt idx="9">
                  <c:v>3.7902716361339225E-3</c:v>
                </c:pt>
                <c:pt idx="10">
                  <c:v>5.723660226029894E-2</c:v>
                </c:pt>
                <c:pt idx="11">
                  <c:v>0.14518518518518519</c:v>
                </c:pt>
                <c:pt idx="12">
                  <c:v>0.31982633863965271</c:v>
                </c:pt>
                <c:pt idx="13">
                  <c:v>0.45451364590622811</c:v>
                </c:pt>
                <c:pt idx="14">
                  <c:v>0.50853242320819114</c:v>
                </c:pt>
                <c:pt idx="15">
                  <c:v>5.7777777777777775E-2</c:v>
                </c:pt>
                <c:pt idx="16">
                  <c:v>0.15702479338842976</c:v>
                </c:pt>
                <c:pt idx="17">
                  <c:v>0.44206773618538325</c:v>
                </c:pt>
                <c:pt idx="18">
                  <c:v>7.1713147410358558E-2</c:v>
                </c:pt>
                <c:pt idx="19">
                  <c:v>0.20574712643678161</c:v>
                </c:pt>
                <c:pt idx="20">
                  <c:v>0.6574585635359117</c:v>
                </c:pt>
                <c:pt idx="21">
                  <c:v>0.19148936170212769</c:v>
                </c:pt>
                <c:pt idx="22">
                  <c:v>0.1940367850017764</c:v>
                </c:pt>
                <c:pt idx="23">
                  <c:v>0.2613430127041742</c:v>
                </c:pt>
                <c:pt idx="24">
                  <c:v>8.2372322899505759E-2</c:v>
                </c:pt>
                <c:pt idx="25">
                  <c:v>7.6124567474048457E-2</c:v>
                </c:pt>
                <c:pt idx="26">
                  <c:v>0</c:v>
                </c:pt>
                <c:pt idx="27">
                  <c:v>0.3112582781456954</c:v>
                </c:pt>
                <c:pt idx="28">
                  <c:v>0.14608433734939757</c:v>
                </c:pt>
                <c:pt idx="29">
                  <c:v>0.29760319573901467</c:v>
                </c:pt>
                <c:pt idx="30">
                  <c:v>0</c:v>
                </c:pt>
                <c:pt idx="31">
                  <c:v>4.0189125295508277E-2</c:v>
                </c:pt>
                <c:pt idx="32">
                  <c:v>5.3789731051344748E-2</c:v>
                </c:pt>
                <c:pt idx="33">
                  <c:v>0.13461538461538461</c:v>
                </c:pt>
                <c:pt idx="34">
                  <c:v>0</c:v>
                </c:pt>
                <c:pt idx="35">
                  <c:v>5.0505050505050509E-3</c:v>
                </c:pt>
                <c:pt idx="36">
                  <c:v>7.8930617441120315E-2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6-41E3-8583-7E6DF45F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395648"/>
        <c:axId val="182397184"/>
      </c:barChart>
      <c:catAx>
        <c:axId val="1823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82397184"/>
        <c:crosses val="autoZero"/>
        <c:auto val="1"/>
        <c:lblAlgn val="ctr"/>
        <c:lblOffset val="100"/>
        <c:tickLblSkip val="1"/>
        <c:noMultiLvlLbl val="0"/>
      </c:catAx>
      <c:valAx>
        <c:axId val="1823971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23956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Renewables in Net Generation,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095255709568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Tabelle1!$AL$4:$AL$5</c:f>
              <c:strCache>
                <c:ptCount val="2"/>
                <c:pt idx="0">
                  <c:v>Share of Renewables</c:v>
                </c:pt>
                <c:pt idx="1">
                  <c:v>%</c:v>
                </c:pt>
              </c:strCache>
            </c:strRef>
          </c:tx>
          <c:spPr>
            <a:solidFill>
              <a:srgbClr val="58A618"/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7E92-45A4-8DF9-70B431A4A7CC}"/>
              </c:ext>
            </c:extLst>
          </c:dPt>
          <c:cat>
            <c:strRef>
              <c:f>Tabelle1!$AI$6:$AI$42</c:f>
              <c:strCache>
                <c:ptCount val="37"/>
                <c:pt idx="0">
                  <c:v>CY</c:v>
                </c:pt>
                <c:pt idx="1">
                  <c:v>ME</c:v>
                </c:pt>
                <c:pt idx="2">
                  <c:v>CZ</c:v>
                </c:pt>
                <c:pt idx="3">
                  <c:v>HU</c:v>
                </c:pt>
                <c:pt idx="4">
                  <c:v>PL</c:v>
                </c:pt>
                <c:pt idx="5">
                  <c:v>EE</c:v>
                </c:pt>
                <c:pt idx="6">
                  <c:v>NL</c:v>
                </c:pt>
                <c:pt idx="7">
                  <c:v>BG</c:v>
                </c:pt>
                <c:pt idx="8">
                  <c:v>FR</c:v>
                </c:pt>
                <c:pt idx="9">
                  <c:v>LU</c:v>
                </c:pt>
                <c:pt idx="10">
                  <c:v>BE</c:v>
                </c:pt>
                <c:pt idx="11">
                  <c:v>SK</c:v>
                </c:pt>
                <c:pt idx="12">
                  <c:v>RS</c:v>
                </c:pt>
                <c:pt idx="13">
                  <c:v>GB</c:v>
                </c:pt>
                <c:pt idx="14">
                  <c:v>TR</c:v>
                </c:pt>
                <c:pt idx="15">
                  <c:v>IE</c:v>
                </c:pt>
                <c:pt idx="16">
                  <c:v>SI</c:v>
                </c:pt>
                <c:pt idx="17">
                  <c:v>MK</c:v>
                </c:pt>
                <c:pt idx="18">
                  <c:v>ENTSO-E   *</c:v>
                </c:pt>
                <c:pt idx="19">
                  <c:v>DE</c:v>
                </c:pt>
                <c:pt idx="20">
                  <c:v>GR</c:v>
                </c:pt>
                <c:pt idx="21">
                  <c:v>BA</c:v>
                </c:pt>
                <c:pt idx="22">
                  <c:v>ES</c:v>
                </c:pt>
                <c:pt idx="23">
                  <c:v>IT</c:v>
                </c:pt>
                <c:pt idx="24">
                  <c:v>RO</c:v>
                </c:pt>
                <c:pt idx="25">
                  <c:v>FI</c:v>
                </c:pt>
                <c:pt idx="26">
                  <c:v>PT</c:v>
                </c:pt>
                <c:pt idx="27">
                  <c:v>LV</c:v>
                </c:pt>
                <c:pt idx="28">
                  <c:v>SE</c:v>
                </c:pt>
                <c:pt idx="29">
                  <c:v>CH</c:v>
                </c:pt>
                <c:pt idx="30">
                  <c:v>AT</c:v>
                </c:pt>
                <c:pt idx="31">
                  <c:v>LT</c:v>
                </c:pt>
                <c:pt idx="32">
                  <c:v>DK</c:v>
                </c:pt>
                <c:pt idx="33">
                  <c:v>HR</c:v>
                </c:pt>
                <c:pt idx="34">
                  <c:v>NO</c:v>
                </c:pt>
                <c:pt idx="35">
                  <c:v>AL</c:v>
                </c:pt>
                <c:pt idx="36">
                  <c:v>IS</c:v>
                </c:pt>
              </c:strCache>
            </c:strRef>
          </c:cat>
          <c:val>
            <c:numRef>
              <c:f>Tabelle1!$AL$6:$AL$42</c:f>
              <c:numCache>
                <c:formatCode>0%</c:formatCode>
                <c:ptCount val="37"/>
                <c:pt idx="0">
                  <c:v>0.04</c:v>
                </c:pt>
                <c:pt idx="1">
                  <c:v>5.5555555555555559E-2</c:v>
                </c:pt>
                <c:pt idx="2">
                  <c:v>0.10880195599022005</c:v>
                </c:pt>
                <c:pt idx="3">
                  <c:v>0.12056737588652482</c:v>
                </c:pt>
                <c:pt idx="4">
                  <c:v>0.12985359643539146</c:v>
                </c:pt>
                <c:pt idx="5">
                  <c:v>0.14563106796116504</c:v>
                </c:pt>
                <c:pt idx="6">
                  <c:v>0.16206261510128916</c:v>
                </c:pt>
                <c:pt idx="7">
                  <c:v>0.18912529550827425</c:v>
                </c:pt>
                <c:pt idx="8">
                  <c:v>0.19832300401020778</c:v>
                </c:pt>
                <c:pt idx="9">
                  <c:v>0.2</c:v>
                </c:pt>
                <c:pt idx="10">
                  <c:v>0.22575976845151954</c:v>
                </c:pt>
                <c:pt idx="11">
                  <c:v>0.23107569721115537</c:v>
                </c:pt>
                <c:pt idx="12">
                  <c:v>0.26515151515151514</c:v>
                </c:pt>
                <c:pt idx="13">
                  <c:v>0.27431770468859346</c:v>
                </c:pt>
                <c:pt idx="14">
                  <c:v>0.32256990679094544</c:v>
                </c:pt>
                <c:pt idx="15">
                  <c:v>0.32423208191126279</c:v>
                </c:pt>
                <c:pt idx="16">
                  <c:v>0.33333333333333331</c:v>
                </c:pt>
                <c:pt idx="17">
                  <c:v>0.34615384615384615</c:v>
                </c:pt>
                <c:pt idx="18">
                  <c:v>0.35538793692438037</c:v>
                </c:pt>
                <c:pt idx="19">
                  <c:v>0.35625836680053546</c:v>
                </c:pt>
                <c:pt idx="20">
                  <c:v>0.35982339955849896</c:v>
                </c:pt>
                <c:pt idx="21">
                  <c:v>0.36416184971098264</c:v>
                </c:pt>
                <c:pt idx="22">
                  <c:v>0.38429118773946358</c:v>
                </c:pt>
                <c:pt idx="23">
                  <c:v>0.39286987522281641</c:v>
                </c:pt>
                <c:pt idx="24">
                  <c:v>0.42833607907742999</c:v>
                </c:pt>
                <c:pt idx="25">
                  <c:v>0.46962962962962962</c:v>
                </c:pt>
                <c:pt idx="26">
                  <c:v>0.50816696914700543</c:v>
                </c:pt>
                <c:pt idx="27">
                  <c:v>0.52307692307692311</c:v>
                </c:pt>
                <c:pt idx="28">
                  <c:v>0.5609602021478205</c:v>
                </c:pt>
                <c:pt idx="29">
                  <c:v>0.6020710059171599</c:v>
                </c:pt>
                <c:pt idx="30">
                  <c:v>0.64</c:v>
                </c:pt>
                <c:pt idx="31">
                  <c:v>0.65625</c:v>
                </c:pt>
                <c:pt idx="32">
                  <c:v>0.68512110726643605</c:v>
                </c:pt>
                <c:pt idx="33">
                  <c:v>0.73553719008264473</c:v>
                </c:pt>
                <c:pt idx="34">
                  <c:v>0.97048730267673311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2-45A4-8DF9-70B431A4A7CC}"/>
            </c:ext>
          </c:extLst>
        </c:ser>
        <c:ser>
          <c:idx val="0"/>
          <c:order val="1"/>
          <c:spPr>
            <a:solidFill>
              <a:srgbClr val="B1B3B2">
                <a:lumMod val="50000"/>
              </a:srgbClr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4-7E92-45A4-8DF9-70B431A4A7CC}"/>
              </c:ext>
            </c:extLst>
          </c:dPt>
          <c:cat>
            <c:strRef>
              <c:f>Tabelle1!$AI$6:$AI$42</c:f>
              <c:strCache>
                <c:ptCount val="37"/>
                <c:pt idx="0">
                  <c:v>CY</c:v>
                </c:pt>
                <c:pt idx="1">
                  <c:v>ME</c:v>
                </c:pt>
                <c:pt idx="2">
                  <c:v>CZ</c:v>
                </c:pt>
                <c:pt idx="3">
                  <c:v>HU</c:v>
                </c:pt>
                <c:pt idx="4">
                  <c:v>PL</c:v>
                </c:pt>
                <c:pt idx="5">
                  <c:v>EE</c:v>
                </c:pt>
                <c:pt idx="6">
                  <c:v>NL</c:v>
                </c:pt>
                <c:pt idx="7">
                  <c:v>BG</c:v>
                </c:pt>
                <c:pt idx="8">
                  <c:v>FR</c:v>
                </c:pt>
                <c:pt idx="9">
                  <c:v>LU</c:v>
                </c:pt>
                <c:pt idx="10">
                  <c:v>BE</c:v>
                </c:pt>
                <c:pt idx="11">
                  <c:v>SK</c:v>
                </c:pt>
                <c:pt idx="12">
                  <c:v>RS</c:v>
                </c:pt>
                <c:pt idx="13">
                  <c:v>GB</c:v>
                </c:pt>
                <c:pt idx="14">
                  <c:v>TR</c:v>
                </c:pt>
                <c:pt idx="15">
                  <c:v>IE</c:v>
                </c:pt>
                <c:pt idx="16">
                  <c:v>SI</c:v>
                </c:pt>
                <c:pt idx="17">
                  <c:v>MK</c:v>
                </c:pt>
                <c:pt idx="18">
                  <c:v>ENTSO-E   *</c:v>
                </c:pt>
                <c:pt idx="19">
                  <c:v>DE</c:v>
                </c:pt>
                <c:pt idx="20">
                  <c:v>GR</c:v>
                </c:pt>
                <c:pt idx="21">
                  <c:v>BA</c:v>
                </c:pt>
                <c:pt idx="22">
                  <c:v>ES</c:v>
                </c:pt>
                <c:pt idx="23">
                  <c:v>IT</c:v>
                </c:pt>
                <c:pt idx="24">
                  <c:v>RO</c:v>
                </c:pt>
                <c:pt idx="25">
                  <c:v>FI</c:v>
                </c:pt>
                <c:pt idx="26">
                  <c:v>PT</c:v>
                </c:pt>
                <c:pt idx="27">
                  <c:v>LV</c:v>
                </c:pt>
                <c:pt idx="28">
                  <c:v>SE</c:v>
                </c:pt>
                <c:pt idx="29">
                  <c:v>CH</c:v>
                </c:pt>
                <c:pt idx="30">
                  <c:v>AT</c:v>
                </c:pt>
                <c:pt idx="31">
                  <c:v>LT</c:v>
                </c:pt>
                <c:pt idx="32">
                  <c:v>DK</c:v>
                </c:pt>
                <c:pt idx="33">
                  <c:v>HR</c:v>
                </c:pt>
                <c:pt idx="34">
                  <c:v>NO</c:v>
                </c:pt>
                <c:pt idx="35">
                  <c:v>AL</c:v>
                </c:pt>
                <c:pt idx="36">
                  <c:v>IS</c:v>
                </c:pt>
              </c:strCache>
            </c:strRef>
          </c:cat>
          <c:val>
            <c:numRef>
              <c:f>Tabelle1!$AM$6:$AM$42</c:f>
              <c:numCache>
                <c:formatCode>0%</c:formatCode>
                <c:ptCount val="37"/>
                <c:pt idx="0">
                  <c:v>0</c:v>
                </c:pt>
                <c:pt idx="1">
                  <c:v>-0.38888888888888884</c:v>
                </c:pt>
                <c:pt idx="2">
                  <c:v>-0.4767726161369194</c:v>
                </c:pt>
                <c:pt idx="3">
                  <c:v>-0.15957446808510639</c:v>
                </c:pt>
                <c:pt idx="4">
                  <c:v>-0.77593889242520697</c:v>
                </c:pt>
                <c:pt idx="5">
                  <c:v>0</c:v>
                </c:pt>
                <c:pt idx="6">
                  <c:v>-0.15377532228360957</c:v>
                </c:pt>
                <c:pt idx="7">
                  <c:v>-0.40425531914893625</c:v>
                </c:pt>
                <c:pt idx="8">
                  <c:v>-1.0572366022602989E-2</c:v>
                </c:pt>
                <c:pt idx="9">
                  <c:v>0</c:v>
                </c:pt>
                <c:pt idx="10">
                  <c:v>-3.0390738060781481E-2</c:v>
                </c:pt>
                <c:pt idx="11">
                  <c:v>-0.1195219123505976</c:v>
                </c:pt>
                <c:pt idx="12">
                  <c:v>-0.70959595959595956</c:v>
                </c:pt>
                <c:pt idx="13">
                  <c:v>-5.8782365290412877E-2</c:v>
                </c:pt>
                <c:pt idx="14">
                  <c:v>-0.37483355525965378</c:v>
                </c:pt>
                <c:pt idx="15">
                  <c:v>-7.1672354948805458E-2</c:v>
                </c:pt>
                <c:pt idx="16">
                  <c:v>-0.26666666666666666</c:v>
                </c:pt>
                <c:pt idx="17">
                  <c:v>-0.51923076923076927</c:v>
                </c:pt>
                <c:pt idx="18">
                  <c:v>-0.19709764696236781</c:v>
                </c:pt>
                <c:pt idx="19">
                  <c:v>-0.34755689424364122</c:v>
                </c:pt>
                <c:pt idx="20">
                  <c:v>-0.32891832229580575</c:v>
                </c:pt>
                <c:pt idx="21">
                  <c:v>-0.62427745664739887</c:v>
                </c:pt>
                <c:pt idx="22">
                  <c:v>-0.14291187739463601</c:v>
                </c:pt>
                <c:pt idx="23">
                  <c:v>-0.11051693404634581</c:v>
                </c:pt>
                <c:pt idx="24">
                  <c:v>-0.23064250411861614</c:v>
                </c:pt>
                <c:pt idx="25">
                  <c:v>-8.5925925925925919E-2</c:v>
                </c:pt>
                <c:pt idx="26">
                  <c:v>-0.2014519056261343</c:v>
                </c:pt>
                <c:pt idx="27">
                  <c:v>0</c:v>
                </c:pt>
                <c:pt idx="28">
                  <c:v>-3.1585596967782688E-3</c:v>
                </c:pt>
                <c:pt idx="29">
                  <c:v>0</c:v>
                </c:pt>
                <c:pt idx="30">
                  <c:v>-2.6666666666666668E-2</c:v>
                </c:pt>
                <c:pt idx="31">
                  <c:v>0</c:v>
                </c:pt>
                <c:pt idx="32">
                  <c:v>-0.23875432525951559</c:v>
                </c:pt>
                <c:pt idx="33">
                  <c:v>-0.10743801652892562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2-45A4-8DF9-70B431A4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436992"/>
        <c:axId val="182438528"/>
      </c:barChart>
      <c:catAx>
        <c:axId val="1824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82438528"/>
        <c:crosses val="autoZero"/>
        <c:auto val="1"/>
        <c:lblAlgn val="ctr"/>
        <c:lblOffset val="100"/>
        <c:tickLblSkip val="1"/>
        <c:noMultiLvlLbl val="0"/>
      </c:catAx>
      <c:valAx>
        <c:axId val="18243852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24369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Fossil Share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E98300"/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ACB-4F45-8F75-49C40E95B695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ACB-4F45-8F75-49C40E95B695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B-4F45-8F75-49C40E95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001088"/>
        <c:axId val="183002624"/>
      </c:barChart>
      <c:barChart>
        <c:barDir val="bar"/>
        <c:grouping val="clustered"/>
        <c:varyColors val="0"/>
        <c:ser>
          <c:idx val="0"/>
          <c:order val="1"/>
          <c:spPr>
            <a:solidFill>
              <a:srgbClr val="58A618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Tabelle1!$AE$6:$AE$42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3.7902716361339225E-3</c:v>
                </c:pt>
                <c:pt idx="4">
                  <c:v>2.1962937542896365E-2</c:v>
                </c:pt>
                <c:pt idx="5">
                  <c:v>5.723660226029894E-2</c:v>
                </c:pt>
                <c:pt idx="6">
                  <c:v>0.1</c:v>
                </c:pt>
                <c:pt idx="7">
                  <c:v>9.3749999999999986E-2</c:v>
                </c:pt>
                <c:pt idx="8">
                  <c:v>5.7777777777777775E-2</c:v>
                </c:pt>
                <c:pt idx="9">
                  <c:v>7.1713147410358558E-2</c:v>
                </c:pt>
                <c:pt idx="10">
                  <c:v>0.14518518518518519</c:v>
                </c:pt>
                <c:pt idx="11">
                  <c:v>0.15702479338842976</c:v>
                </c:pt>
                <c:pt idx="12">
                  <c:v>0</c:v>
                </c:pt>
                <c:pt idx="13">
                  <c:v>7.6124567474048457E-2</c:v>
                </c:pt>
                <c:pt idx="14">
                  <c:v>0.31982633863965271</c:v>
                </c:pt>
                <c:pt idx="15">
                  <c:v>0.19148936170212769</c:v>
                </c:pt>
                <c:pt idx="16">
                  <c:v>0</c:v>
                </c:pt>
                <c:pt idx="17">
                  <c:v>0.20574712643678161</c:v>
                </c:pt>
                <c:pt idx="18">
                  <c:v>8.2372322899505759E-2</c:v>
                </c:pt>
                <c:pt idx="19">
                  <c:v>0.1940367850017764</c:v>
                </c:pt>
                <c:pt idx="20">
                  <c:v>4.0189125295508277E-2</c:v>
                </c:pt>
                <c:pt idx="21">
                  <c:v>0.2613430127041742</c:v>
                </c:pt>
                <c:pt idx="22">
                  <c:v>0.4</c:v>
                </c:pt>
                <c:pt idx="23">
                  <c:v>0.14608433734939757</c:v>
                </c:pt>
                <c:pt idx="24">
                  <c:v>0.45451364590622811</c:v>
                </c:pt>
                <c:pt idx="25">
                  <c:v>5.3789731051344748E-2</c:v>
                </c:pt>
                <c:pt idx="26">
                  <c:v>0.44206773618538325</c:v>
                </c:pt>
                <c:pt idx="27">
                  <c:v>0</c:v>
                </c:pt>
                <c:pt idx="28">
                  <c:v>0.3112582781456954</c:v>
                </c:pt>
                <c:pt idx="29">
                  <c:v>0.13461538461538461</c:v>
                </c:pt>
                <c:pt idx="30">
                  <c:v>0.50853242320819114</c:v>
                </c:pt>
                <c:pt idx="31">
                  <c:v>0.29760319573901467</c:v>
                </c:pt>
                <c:pt idx="32">
                  <c:v>5.0505050505050509E-3</c:v>
                </c:pt>
                <c:pt idx="33">
                  <c:v>0.6574585635359117</c:v>
                </c:pt>
                <c:pt idx="34">
                  <c:v>0</c:v>
                </c:pt>
                <c:pt idx="35">
                  <c:v>7.8930617441120315E-2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B-4F45-8F75-49C40E95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010048"/>
        <c:axId val="183004160"/>
      </c:barChart>
      <c:catAx>
        <c:axId val="18300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183002624"/>
        <c:crosses val="autoZero"/>
        <c:auto val="1"/>
        <c:lblAlgn val="ctr"/>
        <c:lblOffset val="100"/>
        <c:tickLblSkip val="1"/>
        <c:noMultiLvlLbl val="0"/>
      </c:catAx>
      <c:valAx>
        <c:axId val="183002624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3001088"/>
        <c:crosses val="autoZero"/>
        <c:crossBetween val="between"/>
      </c:valAx>
      <c:valAx>
        <c:axId val="183004160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183010048"/>
        <c:crosses val="max"/>
        <c:crossBetween val="between"/>
      </c:valAx>
      <c:catAx>
        <c:axId val="183010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00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690207098765432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Tabelle1!$M$4:$M$5</c:f>
              <c:strCache>
                <c:ptCount val="2"/>
                <c:pt idx="0">
                  <c:v>Lignite&amp;Coal generation</c:v>
                </c:pt>
                <c:pt idx="1">
                  <c:v>TWh</c:v>
                </c:pt>
              </c:strCache>
            </c:strRef>
          </c:tx>
          <c:invertIfNegative val="0"/>
          <c:cat>
            <c:strRef>
              <c:f>Tabelle1!$L$7:$L$42</c:f>
              <c:strCache>
                <c:ptCount val="36"/>
                <c:pt idx="0">
                  <c:v>CH</c:v>
                </c:pt>
                <c:pt idx="1">
                  <c:v>CY</c:v>
                </c:pt>
                <c:pt idx="2">
                  <c:v>EE</c:v>
                </c:pt>
                <c:pt idx="3">
                  <c:v>IS</c:v>
                </c:pt>
                <c:pt idx="4">
                  <c:v>LT</c:v>
                </c:pt>
                <c:pt idx="5">
                  <c:v>LU</c:v>
                </c:pt>
                <c:pt idx="6">
                  <c:v>LV</c:v>
                </c:pt>
                <c:pt idx="7">
                  <c:v>NO</c:v>
                </c:pt>
                <c:pt idx="8">
                  <c:v>SE</c:v>
                </c:pt>
                <c:pt idx="9">
                  <c:v>HR</c:v>
                </c:pt>
                <c:pt idx="10">
                  <c:v>ME</c:v>
                </c:pt>
                <c:pt idx="11">
                  <c:v>AT</c:v>
                </c:pt>
                <c:pt idx="12">
                  <c:v>BE</c:v>
                </c:pt>
                <c:pt idx="13">
                  <c:v>IE</c:v>
                </c:pt>
                <c:pt idx="14">
                  <c:v>MK</c:v>
                </c:pt>
                <c:pt idx="15">
                  <c:v>SK</c:v>
                </c:pt>
                <c:pt idx="16">
                  <c:v>SI</c:v>
                </c:pt>
                <c:pt idx="17">
                  <c:v>HU</c:v>
                </c:pt>
                <c:pt idx="18">
                  <c:v>FI</c:v>
                </c:pt>
                <c:pt idx="19">
                  <c:v>FR</c:v>
                </c:pt>
                <c:pt idx="20">
                  <c:v>DK</c:v>
                </c:pt>
                <c:pt idx="21">
                  <c:v>BA</c:v>
                </c:pt>
                <c:pt idx="22">
                  <c:v>PT</c:v>
                </c:pt>
                <c:pt idx="23">
                  <c:v>RO</c:v>
                </c:pt>
                <c:pt idx="24">
                  <c:v>GR</c:v>
                </c:pt>
                <c:pt idx="25">
                  <c:v>NL</c:v>
                </c:pt>
                <c:pt idx="26">
                  <c:v>GB</c:v>
                </c:pt>
                <c:pt idx="27">
                  <c:v>BG</c:v>
                </c:pt>
                <c:pt idx="28">
                  <c:v>RS</c:v>
                </c:pt>
                <c:pt idx="29">
                  <c:v>IT</c:v>
                </c:pt>
                <c:pt idx="30">
                  <c:v>ES</c:v>
                </c:pt>
                <c:pt idx="31">
                  <c:v>CZ</c:v>
                </c:pt>
                <c:pt idx="32">
                  <c:v>TR</c:v>
                </c:pt>
                <c:pt idx="33">
                  <c:v>PL</c:v>
                </c:pt>
                <c:pt idx="34">
                  <c:v>DE</c:v>
                </c:pt>
                <c:pt idx="35">
                  <c:v>ENTSO-E   *</c:v>
                </c:pt>
              </c:strCache>
            </c:strRef>
          </c:cat>
          <c:val>
            <c:numRef>
              <c:f>Tabelle1!$M$6:$M$42</c:f>
              <c:numCache>
                <c:formatCode>0.0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1.3</c:v>
                </c:pt>
                <c:pt idx="11">
                  <c:v>1.4</c:v>
                </c:pt>
                <c:pt idx="12">
                  <c:v>1.8</c:v>
                </c:pt>
                <c:pt idx="13">
                  <c:v>2.1</c:v>
                </c:pt>
                <c:pt idx="14">
                  <c:v>2.1</c:v>
                </c:pt>
                <c:pt idx="15">
                  <c:v>2.7</c:v>
                </c:pt>
                <c:pt idx="16">
                  <c:v>3</c:v>
                </c:pt>
                <c:pt idx="17">
                  <c:v>4</c:v>
                </c:pt>
                <c:pt idx="18">
                  <c:v>4.5</c:v>
                </c:pt>
                <c:pt idx="19">
                  <c:v>5.8</c:v>
                </c:pt>
                <c:pt idx="20">
                  <c:v>5.8</c:v>
                </c:pt>
                <c:pt idx="21">
                  <c:v>6.9</c:v>
                </c:pt>
                <c:pt idx="22">
                  <c:v>10.8</c:v>
                </c:pt>
                <c:pt idx="23">
                  <c:v>11.1</c:v>
                </c:pt>
                <c:pt idx="24">
                  <c:v>14</c:v>
                </c:pt>
                <c:pt idx="25">
                  <c:v>14.9</c:v>
                </c:pt>
                <c:pt idx="26">
                  <c:v>16.7</c:v>
                </c:pt>
                <c:pt idx="27">
                  <c:v>16.8</c:v>
                </c:pt>
                <c:pt idx="28">
                  <c:v>17.100000000000001</c:v>
                </c:pt>
                <c:pt idx="29">
                  <c:v>28.1</c:v>
                </c:pt>
                <c:pt idx="30">
                  <c:v>31</c:v>
                </c:pt>
                <c:pt idx="31">
                  <c:v>37.299999999999997</c:v>
                </c:pt>
                <c:pt idx="32">
                  <c:v>39.000000000000007</c:v>
                </c:pt>
                <c:pt idx="33">
                  <c:v>112.6</c:v>
                </c:pt>
                <c:pt idx="34">
                  <c:v>121.9</c:v>
                </c:pt>
                <c:pt idx="35">
                  <c:v>207.70000000000002</c:v>
                </c:pt>
                <c:pt idx="36" formatCode="General">
                  <c:v>721.2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3E3-A7DC-331896FF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041024"/>
        <c:axId val="182919936"/>
      </c:barChart>
      <c:barChart>
        <c:barDir val="bar"/>
        <c:grouping val="clustered"/>
        <c:varyColors val="0"/>
        <c:ser>
          <c:idx val="1"/>
          <c:order val="1"/>
          <c:tx>
            <c:strRef>
              <c:f>Tabelle1!$N$4:$N$5</c:f>
              <c:strCache>
                <c:ptCount val="2"/>
                <c:pt idx="0">
                  <c:v>Lignite&amp;Coal share in net generation</c:v>
                </c:pt>
                <c:pt idx="1">
                  <c:v>%</c:v>
                </c:pt>
              </c:strCache>
            </c:strRef>
          </c:tx>
          <c:invertIfNegative val="0"/>
          <c:cat>
            <c:strRef>
              <c:f>Tabelle1!$L$6:$L$42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HR</c:v>
                </c:pt>
                <c:pt idx="11">
                  <c:v>ME</c:v>
                </c:pt>
                <c:pt idx="12">
                  <c:v>AT</c:v>
                </c:pt>
                <c:pt idx="13">
                  <c:v>BE</c:v>
                </c:pt>
                <c:pt idx="14">
                  <c:v>IE</c:v>
                </c:pt>
                <c:pt idx="15">
                  <c:v>MK</c:v>
                </c:pt>
                <c:pt idx="16">
                  <c:v>SK</c:v>
                </c:pt>
                <c:pt idx="17">
                  <c:v>SI</c:v>
                </c:pt>
                <c:pt idx="18">
                  <c:v>HU</c:v>
                </c:pt>
                <c:pt idx="19">
                  <c:v>FI</c:v>
                </c:pt>
                <c:pt idx="20">
                  <c:v>FR</c:v>
                </c:pt>
                <c:pt idx="21">
                  <c:v>DK</c:v>
                </c:pt>
                <c:pt idx="22">
                  <c:v>BA</c:v>
                </c:pt>
                <c:pt idx="23">
                  <c:v>PT</c:v>
                </c:pt>
                <c:pt idx="24">
                  <c:v>RO</c:v>
                </c:pt>
                <c:pt idx="25">
                  <c:v>GR</c:v>
                </c:pt>
                <c:pt idx="26">
                  <c:v>NL</c:v>
                </c:pt>
                <c:pt idx="27">
                  <c:v>GB</c:v>
                </c:pt>
                <c:pt idx="28">
                  <c:v>BG</c:v>
                </c:pt>
                <c:pt idx="29">
                  <c:v>RS</c:v>
                </c:pt>
                <c:pt idx="30">
                  <c:v>IT</c:v>
                </c:pt>
                <c:pt idx="31">
                  <c:v>ES</c:v>
                </c:pt>
                <c:pt idx="32">
                  <c:v>CZ</c:v>
                </c:pt>
                <c:pt idx="33">
                  <c:v>TR</c:v>
                </c:pt>
                <c:pt idx="34">
                  <c:v>PL</c:v>
                </c:pt>
                <c:pt idx="35">
                  <c:v>DE</c:v>
                </c:pt>
                <c:pt idx="36">
                  <c:v>ENTSO-E   *</c:v>
                </c:pt>
              </c:strCache>
            </c:strRef>
          </c:cat>
          <c:val>
            <c:numRef>
              <c:f>Tabelle1!$N$6:$N$42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3.1585596967782688E-3</c:v>
                </c:pt>
                <c:pt idx="10">
                  <c:v>0.10743801652892562</c:v>
                </c:pt>
                <c:pt idx="11">
                  <c:v>0.38888888888888884</c:v>
                </c:pt>
                <c:pt idx="12">
                  <c:v>2.6666666666666668E-2</c:v>
                </c:pt>
                <c:pt idx="13">
                  <c:v>3.0390738060781481E-2</c:v>
                </c:pt>
                <c:pt idx="14">
                  <c:v>7.1672354948805458E-2</c:v>
                </c:pt>
                <c:pt idx="15">
                  <c:v>0.51923076923076927</c:v>
                </c:pt>
                <c:pt idx="16">
                  <c:v>0.1195219123505976</c:v>
                </c:pt>
                <c:pt idx="17">
                  <c:v>0.26666666666666666</c:v>
                </c:pt>
                <c:pt idx="18">
                  <c:v>0.15957446808510639</c:v>
                </c:pt>
                <c:pt idx="19">
                  <c:v>8.5925925925925919E-2</c:v>
                </c:pt>
                <c:pt idx="20">
                  <c:v>1.0572366022602989E-2</c:v>
                </c:pt>
                <c:pt idx="21">
                  <c:v>0.23875432525951559</c:v>
                </c:pt>
                <c:pt idx="22">
                  <c:v>0.62427745664739887</c:v>
                </c:pt>
                <c:pt idx="23">
                  <c:v>0.2014519056261343</c:v>
                </c:pt>
                <c:pt idx="24">
                  <c:v>0.23064250411861614</c:v>
                </c:pt>
                <c:pt idx="25">
                  <c:v>0.32891832229580575</c:v>
                </c:pt>
                <c:pt idx="26">
                  <c:v>0.15377532228360957</c:v>
                </c:pt>
                <c:pt idx="27">
                  <c:v>5.8782365290412877E-2</c:v>
                </c:pt>
                <c:pt idx="28">
                  <c:v>0.40425531914893625</c:v>
                </c:pt>
                <c:pt idx="29">
                  <c:v>0.70959595959595956</c:v>
                </c:pt>
                <c:pt idx="30">
                  <c:v>0.11051693404634581</c:v>
                </c:pt>
                <c:pt idx="31">
                  <c:v>0.14291187739463601</c:v>
                </c:pt>
                <c:pt idx="32">
                  <c:v>0.4767726161369194</c:v>
                </c:pt>
                <c:pt idx="33">
                  <c:v>0.37483355525965378</c:v>
                </c:pt>
                <c:pt idx="34">
                  <c:v>0.77593889242520697</c:v>
                </c:pt>
                <c:pt idx="35">
                  <c:v>0.34755689424364122</c:v>
                </c:pt>
                <c:pt idx="36" formatCode="General">
                  <c:v>0.19709764696236781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0-43E3-A7DC-331896FF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2923264"/>
        <c:axId val="182921472"/>
      </c:barChart>
      <c:catAx>
        <c:axId val="18304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2919936"/>
        <c:crosses val="autoZero"/>
        <c:auto val="1"/>
        <c:lblAlgn val="ctr"/>
        <c:lblOffset val="100"/>
        <c:tickLblSkip val="1"/>
        <c:noMultiLvlLbl val="0"/>
      </c:catAx>
      <c:valAx>
        <c:axId val="182919936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crossAx val="183041024"/>
        <c:crosses val="autoZero"/>
        <c:crossBetween val="between"/>
      </c:valAx>
      <c:valAx>
        <c:axId val="18292147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182923264"/>
        <c:crosses val="max"/>
        <c:crossBetween val="between"/>
      </c:valAx>
      <c:catAx>
        <c:axId val="18292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92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1787895963221872E-2"/>
          <c:y val="0.89655667568605157"/>
          <c:w val="0.9082121040367781"/>
          <c:h val="7.807425529525527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Fossil Share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E98300"/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A97C-4839-9A99-87A4961103D7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97C-4839-9A99-87A4961103D7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C-4839-9A99-87A4961103D7}"/>
            </c:ext>
          </c:extLst>
        </c:ser>
        <c:ser>
          <c:idx val="0"/>
          <c:order val="1"/>
          <c:spPr>
            <a:solidFill>
              <a:srgbClr val="58A618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Tabelle1!$AE$6:$AE$42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3.7902716361339225E-3</c:v>
                </c:pt>
                <c:pt idx="4">
                  <c:v>2.1962937542896365E-2</c:v>
                </c:pt>
                <c:pt idx="5">
                  <c:v>5.723660226029894E-2</c:v>
                </c:pt>
                <c:pt idx="6">
                  <c:v>0.1</c:v>
                </c:pt>
                <c:pt idx="7">
                  <c:v>9.3749999999999986E-2</c:v>
                </c:pt>
                <c:pt idx="8">
                  <c:v>5.7777777777777775E-2</c:v>
                </c:pt>
                <c:pt idx="9">
                  <c:v>7.1713147410358558E-2</c:v>
                </c:pt>
                <c:pt idx="10">
                  <c:v>0.14518518518518519</c:v>
                </c:pt>
                <c:pt idx="11">
                  <c:v>0.15702479338842976</c:v>
                </c:pt>
                <c:pt idx="12">
                  <c:v>0</c:v>
                </c:pt>
                <c:pt idx="13">
                  <c:v>7.6124567474048457E-2</c:v>
                </c:pt>
                <c:pt idx="14">
                  <c:v>0.31982633863965271</c:v>
                </c:pt>
                <c:pt idx="15">
                  <c:v>0.19148936170212769</c:v>
                </c:pt>
                <c:pt idx="16">
                  <c:v>0</c:v>
                </c:pt>
                <c:pt idx="17">
                  <c:v>0.20574712643678161</c:v>
                </c:pt>
                <c:pt idx="18">
                  <c:v>8.2372322899505759E-2</c:v>
                </c:pt>
                <c:pt idx="19">
                  <c:v>0.1940367850017764</c:v>
                </c:pt>
                <c:pt idx="20">
                  <c:v>4.0189125295508277E-2</c:v>
                </c:pt>
                <c:pt idx="21">
                  <c:v>0.2613430127041742</c:v>
                </c:pt>
                <c:pt idx="22">
                  <c:v>0.4</c:v>
                </c:pt>
                <c:pt idx="23">
                  <c:v>0.14608433734939757</c:v>
                </c:pt>
                <c:pt idx="24">
                  <c:v>0.45451364590622811</c:v>
                </c:pt>
                <c:pt idx="25">
                  <c:v>5.3789731051344748E-2</c:v>
                </c:pt>
                <c:pt idx="26">
                  <c:v>0.44206773618538325</c:v>
                </c:pt>
                <c:pt idx="27">
                  <c:v>0</c:v>
                </c:pt>
                <c:pt idx="28">
                  <c:v>0.3112582781456954</c:v>
                </c:pt>
                <c:pt idx="29">
                  <c:v>0.13461538461538461</c:v>
                </c:pt>
                <c:pt idx="30">
                  <c:v>0.50853242320819114</c:v>
                </c:pt>
                <c:pt idx="31">
                  <c:v>0.29760319573901467</c:v>
                </c:pt>
                <c:pt idx="32">
                  <c:v>5.0505050505050509E-3</c:v>
                </c:pt>
                <c:pt idx="33">
                  <c:v>0.6574585635359117</c:v>
                </c:pt>
                <c:pt idx="34">
                  <c:v>0</c:v>
                </c:pt>
                <c:pt idx="35">
                  <c:v>7.8930617441120315E-2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C-4839-9A99-87A49611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970624"/>
        <c:axId val="183046144"/>
      </c:barChart>
      <c:catAx>
        <c:axId val="1829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83046144"/>
        <c:crosses val="autoZero"/>
        <c:auto val="1"/>
        <c:lblAlgn val="ctr"/>
        <c:lblOffset val="100"/>
        <c:tickLblSkip val="1"/>
        <c:noMultiLvlLbl val="0"/>
      </c:catAx>
      <c:valAx>
        <c:axId val="1830461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2970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849518810148728E-2"/>
          <c:y val="4.6077054716829671E-2"/>
          <c:w val="0.89659492563429566"/>
          <c:h val="0.9078458905663406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DF-428D-B2FD-F3230A91BE12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8DF-428D-B2FD-F3230A91BE12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F-428D-B2FD-F3230A9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083392"/>
        <c:axId val="183084928"/>
      </c:barChart>
      <c:barChart>
        <c:barDir val="bar"/>
        <c:grouping val="stacked"/>
        <c:varyColors val="0"/>
        <c:ser>
          <c:idx val="0"/>
          <c:order val="1"/>
          <c:spPr>
            <a:solidFill>
              <a:srgbClr val="57B3DE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Tabelle1!$AF$6:$AF$42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1.4792899408284025E-3</c:v>
                </c:pt>
                <c:pt idx="3">
                  <c:v>0.10486418193303854</c:v>
                </c:pt>
                <c:pt idx="4">
                  <c:v>2.3335621139327387E-2</c:v>
                </c:pt>
                <c:pt idx="5">
                  <c:v>5.0674444039372948E-2</c:v>
                </c:pt>
                <c:pt idx="6">
                  <c:v>0.15</c:v>
                </c:pt>
                <c:pt idx="7">
                  <c:v>0.34375</c:v>
                </c:pt>
                <c:pt idx="8">
                  <c:v>8.7407407407407406E-2</c:v>
                </c:pt>
                <c:pt idx="9">
                  <c:v>0</c:v>
                </c:pt>
                <c:pt idx="10">
                  <c:v>8.7407407407407406E-2</c:v>
                </c:pt>
                <c:pt idx="11">
                  <c:v>0.10743801652892562</c:v>
                </c:pt>
                <c:pt idx="12">
                  <c:v>0</c:v>
                </c:pt>
                <c:pt idx="13">
                  <c:v>0.32179930795847755</c:v>
                </c:pt>
                <c:pt idx="14">
                  <c:v>5.3545586107091182E-2</c:v>
                </c:pt>
                <c:pt idx="15">
                  <c:v>2.1276595744680851E-2</c:v>
                </c:pt>
                <c:pt idx="16">
                  <c:v>5.5555555555555559E-2</c:v>
                </c:pt>
                <c:pt idx="17">
                  <c:v>0.19003831417624523</c:v>
                </c:pt>
                <c:pt idx="18">
                  <c:v>0.10378912685337725</c:v>
                </c:pt>
                <c:pt idx="19">
                  <c:v>9.0814681205760986E-2</c:v>
                </c:pt>
                <c:pt idx="20">
                  <c:v>3.309692671394799E-2</c:v>
                </c:pt>
                <c:pt idx="21">
                  <c:v>0.22504537205081671</c:v>
                </c:pt>
                <c:pt idx="22">
                  <c:v>1.5384615384615385E-2</c:v>
                </c:pt>
                <c:pt idx="23">
                  <c:v>0.14759036144578314</c:v>
                </c:pt>
                <c:pt idx="24">
                  <c:v>8.9573128061581533E-2</c:v>
                </c:pt>
                <c:pt idx="25">
                  <c:v>7.3349633251833741E-3</c:v>
                </c:pt>
                <c:pt idx="26">
                  <c:v>6.1675579322638147E-2</c:v>
                </c:pt>
                <c:pt idx="27">
                  <c:v>5.7803468208092483E-3</c:v>
                </c:pt>
                <c:pt idx="28">
                  <c:v>0.12362030905077263</c:v>
                </c:pt>
                <c:pt idx="29">
                  <c:v>1.9230769230769232E-2</c:v>
                </c:pt>
                <c:pt idx="30">
                  <c:v>0.28668941979522183</c:v>
                </c:pt>
                <c:pt idx="31">
                  <c:v>6.624500665778961E-2</c:v>
                </c:pt>
                <c:pt idx="32">
                  <c:v>2.5252525252525255E-3</c:v>
                </c:pt>
                <c:pt idx="33">
                  <c:v>6.8139963167587483E-2</c:v>
                </c:pt>
                <c:pt idx="34">
                  <c:v>5.8252427184466014E-2</c:v>
                </c:pt>
                <c:pt idx="35">
                  <c:v>7.9567154678548704E-2</c:v>
                </c:pt>
                <c:pt idx="3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F-428D-B2FD-F3230A91BE12}"/>
            </c:ext>
          </c:extLst>
        </c:ser>
        <c:ser>
          <c:idx val="2"/>
          <c:order val="2"/>
          <c:spPr>
            <a:solidFill>
              <a:srgbClr val="EBD200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Tabelle1!$AG$6:$AG$42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1.7751479289940829E-2</c:v>
                </c:pt>
                <c:pt idx="3">
                  <c:v>0</c:v>
                </c:pt>
                <c:pt idx="4">
                  <c:v>0</c:v>
                </c:pt>
                <c:pt idx="5">
                  <c:v>1.859278162595698E-2</c:v>
                </c:pt>
                <c:pt idx="6">
                  <c:v>0.05</c:v>
                </c:pt>
                <c:pt idx="7">
                  <c:v>3.125E-2</c:v>
                </c:pt>
                <c:pt idx="8">
                  <c:v>2.9629629629629632E-3</c:v>
                </c:pt>
                <c:pt idx="9">
                  <c:v>2.3904382470119518E-2</c:v>
                </c:pt>
                <c:pt idx="10">
                  <c:v>0</c:v>
                </c:pt>
                <c:pt idx="11">
                  <c:v>8.2644628099173556E-3</c:v>
                </c:pt>
                <c:pt idx="12">
                  <c:v>1.3333333333333334E-2</c:v>
                </c:pt>
                <c:pt idx="13">
                  <c:v>3.4602076124567477E-2</c:v>
                </c:pt>
                <c:pt idx="14">
                  <c:v>5.0651230101302465E-2</c:v>
                </c:pt>
                <c:pt idx="15">
                  <c:v>1.0638297872340425E-2</c:v>
                </c:pt>
                <c:pt idx="16">
                  <c:v>0</c:v>
                </c:pt>
                <c:pt idx="17">
                  <c:v>2.9885057471264367E-2</c:v>
                </c:pt>
                <c:pt idx="18">
                  <c:v>2.9654036243822075E-2</c:v>
                </c:pt>
                <c:pt idx="19">
                  <c:v>3.3150228198190815E-2</c:v>
                </c:pt>
                <c:pt idx="20">
                  <c:v>3.309692671394799E-2</c:v>
                </c:pt>
                <c:pt idx="21">
                  <c:v>1.4519056261343014E-2</c:v>
                </c:pt>
                <c:pt idx="22">
                  <c:v>0</c:v>
                </c:pt>
                <c:pt idx="23">
                  <c:v>6.8942436412315927E-2</c:v>
                </c:pt>
                <c:pt idx="24">
                  <c:v>4.1287613715885234E-2</c:v>
                </c:pt>
                <c:pt idx="25">
                  <c:v>2.8117359413202932E-2</c:v>
                </c:pt>
                <c:pt idx="26">
                  <c:v>8.1639928698752223E-2</c:v>
                </c:pt>
                <c:pt idx="27">
                  <c:v>0</c:v>
                </c:pt>
                <c:pt idx="28">
                  <c:v>7.7262693156732898E-2</c:v>
                </c:pt>
                <c:pt idx="29">
                  <c:v>0</c:v>
                </c:pt>
                <c:pt idx="30">
                  <c:v>0</c:v>
                </c:pt>
                <c:pt idx="31">
                  <c:v>2.3968042609853531E-2</c:v>
                </c:pt>
                <c:pt idx="32">
                  <c:v>0</c:v>
                </c:pt>
                <c:pt idx="33">
                  <c:v>2.8545119705340703E-2</c:v>
                </c:pt>
                <c:pt idx="34">
                  <c:v>0</c:v>
                </c:pt>
                <c:pt idx="35">
                  <c:v>1.9096117122851686E-3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F-428D-B2FD-F3230A9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096448"/>
        <c:axId val="183086464"/>
      </c:barChart>
      <c:catAx>
        <c:axId val="18308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>
            <a:noFill/>
          </a:ln>
        </c:spPr>
        <c:crossAx val="183084928"/>
        <c:crosses val="autoZero"/>
        <c:auto val="1"/>
        <c:lblAlgn val="ctr"/>
        <c:lblOffset val="100"/>
        <c:tickLblSkip val="1"/>
        <c:noMultiLvlLbl val="0"/>
      </c:catAx>
      <c:valAx>
        <c:axId val="183084928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3083392"/>
        <c:crosses val="autoZero"/>
        <c:crossBetween val="between"/>
      </c:valAx>
      <c:valAx>
        <c:axId val="183086464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183096448"/>
        <c:crosses val="max"/>
        <c:crossBetween val="between"/>
      </c:valAx>
      <c:catAx>
        <c:axId val="183096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08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849518810148728E-2"/>
          <c:y val="4.5998523875529378E-2"/>
          <c:w val="0.89659492563429566"/>
          <c:h val="0.9080029522489412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663-43FD-974E-7A2FBD7B7D22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663-43FD-974E-7A2FBD7B7D22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3-43FD-974E-7A2FBD7B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136256"/>
        <c:axId val="183137792"/>
      </c:barChart>
      <c:barChart>
        <c:barDir val="bar"/>
        <c:grouping val="stacked"/>
        <c:varyColors val="0"/>
        <c:ser>
          <c:idx val="2"/>
          <c:order val="1"/>
          <c:spPr>
            <a:solidFill>
              <a:srgbClr val="EBD200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Tabelle1!$AG$6:$AG$42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1.7751479289940829E-2</c:v>
                </c:pt>
                <c:pt idx="3">
                  <c:v>0</c:v>
                </c:pt>
                <c:pt idx="4">
                  <c:v>0</c:v>
                </c:pt>
                <c:pt idx="5">
                  <c:v>1.859278162595698E-2</c:v>
                </c:pt>
                <c:pt idx="6">
                  <c:v>0.05</c:v>
                </c:pt>
                <c:pt idx="7">
                  <c:v>3.125E-2</c:v>
                </c:pt>
                <c:pt idx="8">
                  <c:v>2.9629629629629632E-3</c:v>
                </c:pt>
                <c:pt idx="9">
                  <c:v>2.3904382470119518E-2</c:v>
                </c:pt>
                <c:pt idx="10">
                  <c:v>0</c:v>
                </c:pt>
                <c:pt idx="11">
                  <c:v>8.2644628099173556E-3</c:v>
                </c:pt>
                <c:pt idx="12">
                  <c:v>1.3333333333333334E-2</c:v>
                </c:pt>
                <c:pt idx="13">
                  <c:v>3.4602076124567477E-2</c:v>
                </c:pt>
                <c:pt idx="14">
                  <c:v>5.0651230101302465E-2</c:v>
                </c:pt>
                <c:pt idx="15">
                  <c:v>1.0638297872340425E-2</c:v>
                </c:pt>
                <c:pt idx="16">
                  <c:v>0</c:v>
                </c:pt>
                <c:pt idx="17">
                  <c:v>2.9885057471264367E-2</c:v>
                </c:pt>
                <c:pt idx="18">
                  <c:v>2.9654036243822075E-2</c:v>
                </c:pt>
                <c:pt idx="19">
                  <c:v>3.3150228198190815E-2</c:v>
                </c:pt>
                <c:pt idx="20">
                  <c:v>3.309692671394799E-2</c:v>
                </c:pt>
                <c:pt idx="21">
                  <c:v>1.4519056261343014E-2</c:v>
                </c:pt>
                <c:pt idx="22">
                  <c:v>0</c:v>
                </c:pt>
                <c:pt idx="23">
                  <c:v>6.8942436412315927E-2</c:v>
                </c:pt>
                <c:pt idx="24">
                  <c:v>4.1287613715885234E-2</c:v>
                </c:pt>
                <c:pt idx="25">
                  <c:v>2.8117359413202932E-2</c:v>
                </c:pt>
                <c:pt idx="26">
                  <c:v>8.1639928698752223E-2</c:v>
                </c:pt>
                <c:pt idx="27">
                  <c:v>0</c:v>
                </c:pt>
                <c:pt idx="28">
                  <c:v>7.7262693156732898E-2</c:v>
                </c:pt>
                <c:pt idx="29">
                  <c:v>0</c:v>
                </c:pt>
                <c:pt idx="30">
                  <c:v>0</c:v>
                </c:pt>
                <c:pt idx="31">
                  <c:v>2.3968042609853531E-2</c:v>
                </c:pt>
                <c:pt idx="32">
                  <c:v>0</c:v>
                </c:pt>
                <c:pt idx="33">
                  <c:v>2.8545119705340703E-2</c:v>
                </c:pt>
                <c:pt idx="34">
                  <c:v>0</c:v>
                </c:pt>
                <c:pt idx="35">
                  <c:v>1.9096117122851686E-3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3-43FD-974E-7A2FBD7B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145216"/>
        <c:axId val="183139328"/>
      </c:barChart>
      <c:catAx>
        <c:axId val="18313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>
            <a:noFill/>
          </a:ln>
        </c:spPr>
        <c:crossAx val="183137792"/>
        <c:crosses val="autoZero"/>
        <c:auto val="1"/>
        <c:lblAlgn val="ctr"/>
        <c:lblOffset val="100"/>
        <c:tickLblSkip val="1"/>
        <c:noMultiLvlLbl val="0"/>
      </c:catAx>
      <c:valAx>
        <c:axId val="183137792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3136256"/>
        <c:crosses val="autoZero"/>
        <c:crossBetween val="between"/>
      </c:valAx>
      <c:valAx>
        <c:axId val="183139328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183145216"/>
        <c:crosses val="max"/>
        <c:crossBetween val="between"/>
      </c:valAx>
      <c:catAx>
        <c:axId val="183145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13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849518810148728E-2"/>
          <c:y val="4.5998523875529378E-2"/>
          <c:w val="0.89659492563429566"/>
          <c:h val="0.9080029522489412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2CA-4D62-A75E-D8D1536D23B4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2CA-4D62-A75E-D8D1536D23B4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A-4D62-A75E-D8D1536D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319936"/>
        <c:axId val="183325824"/>
      </c:barChart>
      <c:barChart>
        <c:barDir val="bar"/>
        <c:grouping val="stacked"/>
        <c:varyColors val="0"/>
        <c:ser>
          <c:idx val="0"/>
          <c:order val="1"/>
          <c:spPr>
            <a:solidFill>
              <a:srgbClr val="57B3DE"/>
            </a:solidFill>
          </c:spPr>
          <c:invertIfNegative val="0"/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Tabelle1!$AF$6:$AF$42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1.4792899408284025E-3</c:v>
                </c:pt>
                <c:pt idx="3">
                  <c:v>0.10486418193303854</c:v>
                </c:pt>
                <c:pt idx="4">
                  <c:v>2.3335621139327387E-2</c:v>
                </c:pt>
                <c:pt idx="5">
                  <c:v>5.0674444039372948E-2</c:v>
                </c:pt>
                <c:pt idx="6">
                  <c:v>0.15</c:v>
                </c:pt>
                <c:pt idx="7">
                  <c:v>0.34375</c:v>
                </c:pt>
                <c:pt idx="8">
                  <c:v>8.7407407407407406E-2</c:v>
                </c:pt>
                <c:pt idx="9">
                  <c:v>0</c:v>
                </c:pt>
                <c:pt idx="10">
                  <c:v>8.7407407407407406E-2</c:v>
                </c:pt>
                <c:pt idx="11">
                  <c:v>0.10743801652892562</c:v>
                </c:pt>
                <c:pt idx="12">
                  <c:v>0</c:v>
                </c:pt>
                <c:pt idx="13">
                  <c:v>0.32179930795847755</c:v>
                </c:pt>
                <c:pt idx="14">
                  <c:v>5.3545586107091182E-2</c:v>
                </c:pt>
                <c:pt idx="15">
                  <c:v>2.1276595744680851E-2</c:v>
                </c:pt>
                <c:pt idx="16">
                  <c:v>5.5555555555555559E-2</c:v>
                </c:pt>
                <c:pt idx="17">
                  <c:v>0.19003831417624523</c:v>
                </c:pt>
                <c:pt idx="18">
                  <c:v>0.10378912685337725</c:v>
                </c:pt>
                <c:pt idx="19">
                  <c:v>9.0814681205760986E-2</c:v>
                </c:pt>
                <c:pt idx="20">
                  <c:v>3.309692671394799E-2</c:v>
                </c:pt>
                <c:pt idx="21">
                  <c:v>0.22504537205081671</c:v>
                </c:pt>
                <c:pt idx="22">
                  <c:v>1.5384615384615385E-2</c:v>
                </c:pt>
                <c:pt idx="23">
                  <c:v>0.14759036144578314</c:v>
                </c:pt>
                <c:pt idx="24">
                  <c:v>8.9573128061581533E-2</c:v>
                </c:pt>
                <c:pt idx="25">
                  <c:v>7.3349633251833741E-3</c:v>
                </c:pt>
                <c:pt idx="26">
                  <c:v>6.1675579322638147E-2</c:v>
                </c:pt>
                <c:pt idx="27">
                  <c:v>5.7803468208092483E-3</c:v>
                </c:pt>
                <c:pt idx="28">
                  <c:v>0.12362030905077263</c:v>
                </c:pt>
                <c:pt idx="29">
                  <c:v>1.9230769230769232E-2</c:v>
                </c:pt>
                <c:pt idx="30">
                  <c:v>0.28668941979522183</c:v>
                </c:pt>
                <c:pt idx="31">
                  <c:v>6.624500665778961E-2</c:v>
                </c:pt>
                <c:pt idx="32">
                  <c:v>2.5252525252525255E-3</c:v>
                </c:pt>
                <c:pt idx="33">
                  <c:v>6.8139963167587483E-2</c:v>
                </c:pt>
                <c:pt idx="34">
                  <c:v>5.8252427184466014E-2</c:v>
                </c:pt>
                <c:pt idx="35">
                  <c:v>7.9567154678548704E-2</c:v>
                </c:pt>
                <c:pt idx="3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A-4D62-A75E-D8D1536D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345536"/>
        <c:axId val="183327360"/>
      </c:barChart>
      <c:catAx>
        <c:axId val="18331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>
            <a:noFill/>
          </a:ln>
        </c:spPr>
        <c:crossAx val="183325824"/>
        <c:crosses val="autoZero"/>
        <c:auto val="1"/>
        <c:lblAlgn val="ctr"/>
        <c:lblOffset val="100"/>
        <c:tickLblSkip val="1"/>
        <c:noMultiLvlLbl val="0"/>
      </c:catAx>
      <c:valAx>
        <c:axId val="183325824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3319936"/>
        <c:crosses val="autoZero"/>
        <c:crossBetween val="between"/>
      </c:valAx>
      <c:valAx>
        <c:axId val="183327360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183345536"/>
        <c:crosses val="max"/>
        <c:crossBetween val="between"/>
      </c:valAx>
      <c:catAx>
        <c:axId val="183345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32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849518810148728E-2"/>
          <c:y val="1.6787192434535258E-2"/>
          <c:w val="0.89659492563429566"/>
          <c:h val="0.937168883523146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Tabelle1!$R$4:$R$5</c:f>
              <c:strCache>
                <c:ptCount val="2"/>
                <c:pt idx="0">
                  <c:v>Lignite&amp;Coal share in net generation</c:v>
                </c:pt>
                <c:pt idx="1">
                  <c:v>%</c:v>
                </c:pt>
              </c:strCache>
            </c:strRef>
          </c:tx>
          <c:spPr>
            <a:solidFill>
              <a:srgbClr val="797C7A">
                <a:lumMod val="75000"/>
              </a:srgbClr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238-4292-A229-A689979F0838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Tabelle1!$R$6:$R$42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3.1585596967782688E-3</c:v>
                </c:pt>
                <c:pt idx="10">
                  <c:v>1.0572366022602989E-2</c:v>
                </c:pt>
                <c:pt idx="11">
                  <c:v>2.6666666666666668E-2</c:v>
                </c:pt>
                <c:pt idx="12">
                  <c:v>3.0390738060781481E-2</c:v>
                </c:pt>
                <c:pt idx="13">
                  <c:v>5.8782365290412877E-2</c:v>
                </c:pt>
                <c:pt idx="14">
                  <c:v>7.1672354948805458E-2</c:v>
                </c:pt>
                <c:pt idx="15">
                  <c:v>8.5925925925925919E-2</c:v>
                </c:pt>
                <c:pt idx="16">
                  <c:v>0.10743801652892562</c:v>
                </c:pt>
                <c:pt idx="17">
                  <c:v>0.11051693404634581</c:v>
                </c:pt>
                <c:pt idx="18">
                  <c:v>0.1195219123505976</c:v>
                </c:pt>
                <c:pt idx="19">
                  <c:v>0.14291187739463601</c:v>
                </c:pt>
                <c:pt idx="20">
                  <c:v>0.15377532228360957</c:v>
                </c:pt>
                <c:pt idx="21">
                  <c:v>0.15957446808510639</c:v>
                </c:pt>
                <c:pt idx="22" formatCode="General">
                  <c:v>0.19709764696236781</c:v>
                </c:pt>
                <c:pt idx="23">
                  <c:v>0.2014519056261343</c:v>
                </c:pt>
                <c:pt idx="24">
                  <c:v>0.23064250411861614</c:v>
                </c:pt>
                <c:pt idx="25">
                  <c:v>0.23875432525951559</c:v>
                </c:pt>
                <c:pt idx="26">
                  <c:v>0.26666666666666666</c:v>
                </c:pt>
                <c:pt idx="27">
                  <c:v>0.32891832229580575</c:v>
                </c:pt>
                <c:pt idx="28">
                  <c:v>0.34755689424364122</c:v>
                </c:pt>
                <c:pt idx="29">
                  <c:v>0.37483355525965378</c:v>
                </c:pt>
                <c:pt idx="30">
                  <c:v>0.38888888888888884</c:v>
                </c:pt>
                <c:pt idx="31">
                  <c:v>0.40425531914893625</c:v>
                </c:pt>
                <c:pt idx="32">
                  <c:v>0.4767726161369194</c:v>
                </c:pt>
                <c:pt idx="33">
                  <c:v>0.51923076923076927</c:v>
                </c:pt>
                <c:pt idx="34">
                  <c:v>0.62427745664739887</c:v>
                </c:pt>
                <c:pt idx="35">
                  <c:v>0.70959595959595956</c:v>
                </c:pt>
                <c:pt idx="36">
                  <c:v>0.77593889242520697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8-4292-A229-A689979F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241728"/>
        <c:axId val="183251712"/>
      </c:barChart>
      <c:barChart>
        <c:barDir val="bar"/>
        <c:grouping val="clustered"/>
        <c:varyColors val="0"/>
        <c:ser>
          <c:idx val="0"/>
          <c:order val="1"/>
          <c:spPr>
            <a:solidFill>
              <a:srgbClr val="57B3DE"/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238-4292-A229-A689979F0838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Tabelle1!$T$6:$T$42</c:f>
              <c:numCache>
                <c:formatCode>0%</c:formatCode>
                <c:ptCount val="37"/>
                <c:pt idx="0">
                  <c:v>0</c:v>
                </c:pt>
                <c:pt idx="1">
                  <c:v>1.4792899408284025E-3</c:v>
                </c:pt>
                <c:pt idx="2">
                  <c:v>0.04</c:v>
                </c:pt>
                <c:pt idx="3">
                  <c:v>5.8252427184466014E-2</c:v>
                </c:pt>
                <c:pt idx="4">
                  <c:v>0</c:v>
                </c:pt>
                <c:pt idx="5">
                  <c:v>0.34375</c:v>
                </c:pt>
                <c:pt idx="6">
                  <c:v>0.15</c:v>
                </c:pt>
                <c:pt idx="7">
                  <c:v>1.5384615384615385E-2</c:v>
                </c:pt>
                <c:pt idx="8">
                  <c:v>2.3335621139327387E-2</c:v>
                </c:pt>
                <c:pt idx="9">
                  <c:v>0.10486418193303854</c:v>
                </c:pt>
                <c:pt idx="10">
                  <c:v>5.0674444039372948E-2</c:v>
                </c:pt>
                <c:pt idx="11">
                  <c:v>8.7407407407407406E-2</c:v>
                </c:pt>
                <c:pt idx="12">
                  <c:v>5.3545586107091182E-2</c:v>
                </c:pt>
                <c:pt idx="13">
                  <c:v>8.9573128061581533E-2</c:v>
                </c:pt>
                <c:pt idx="14">
                  <c:v>0.28668941979522183</c:v>
                </c:pt>
                <c:pt idx="15">
                  <c:v>8.7407407407407406E-2</c:v>
                </c:pt>
                <c:pt idx="16">
                  <c:v>0.10743801652892562</c:v>
                </c:pt>
                <c:pt idx="17">
                  <c:v>6.1675579322638147E-2</c:v>
                </c:pt>
                <c:pt idx="18">
                  <c:v>0</c:v>
                </c:pt>
                <c:pt idx="19">
                  <c:v>0.19003831417624523</c:v>
                </c:pt>
                <c:pt idx="20">
                  <c:v>6.8139963167587483E-2</c:v>
                </c:pt>
                <c:pt idx="21">
                  <c:v>2.1276595744680851E-2</c:v>
                </c:pt>
                <c:pt idx="22">
                  <c:v>9.0814681205760986E-2</c:v>
                </c:pt>
                <c:pt idx="23">
                  <c:v>0.22504537205081671</c:v>
                </c:pt>
                <c:pt idx="24">
                  <c:v>0.10378912685337725</c:v>
                </c:pt>
                <c:pt idx="25">
                  <c:v>0.32179930795847755</c:v>
                </c:pt>
                <c:pt idx="26">
                  <c:v>0</c:v>
                </c:pt>
                <c:pt idx="27">
                  <c:v>0.12362030905077263</c:v>
                </c:pt>
                <c:pt idx="28">
                  <c:v>0.14759036144578314</c:v>
                </c:pt>
                <c:pt idx="29">
                  <c:v>6.624500665778961E-2</c:v>
                </c:pt>
                <c:pt idx="30">
                  <c:v>5.5555555555555559E-2</c:v>
                </c:pt>
                <c:pt idx="31">
                  <c:v>3.309692671394799E-2</c:v>
                </c:pt>
                <c:pt idx="32">
                  <c:v>7.3349633251833741E-3</c:v>
                </c:pt>
                <c:pt idx="33">
                  <c:v>1.9230769230769232E-2</c:v>
                </c:pt>
                <c:pt idx="34">
                  <c:v>5.7803468208092483E-3</c:v>
                </c:pt>
                <c:pt idx="35">
                  <c:v>2.5252525252525255E-3</c:v>
                </c:pt>
                <c:pt idx="36">
                  <c:v>7.9567154678548704E-2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8-4292-A229-A689979F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259136"/>
        <c:axId val="183253248"/>
      </c:barChart>
      <c:catAx>
        <c:axId val="18324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>
            <a:noFill/>
          </a:ln>
        </c:spPr>
        <c:crossAx val="183251712"/>
        <c:crosses val="autoZero"/>
        <c:auto val="1"/>
        <c:lblAlgn val="ctr"/>
        <c:lblOffset val="100"/>
        <c:tickLblSkip val="1"/>
        <c:noMultiLvlLbl val="0"/>
      </c:catAx>
      <c:valAx>
        <c:axId val="18325171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183241728"/>
        <c:crosses val="autoZero"/>
        <c:crossBetween val="between"/>
      </c:valAx>
      <c:valAx>
        <c:axId val="183253248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/>
                </a:solidFill>
              </a:defRPr>
            </a:pPr>
            <a:endParaRPr lang="de-DE"/>
          </a:p>
        </c:txPr>
        <c:crossAx val="183259136"/>
        <c:crosses val="max"/>
        <c:crossBetween val="between"/>
      </c:valAx>
      <c:catAx>
        <c:axId val="1832591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25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690207098765432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Capacity_Entsoe_SFS_2018!$BD$1:$BD$2</c:f>
              <c:strCache>
                <c:ptCount val="2"/>
                <c:pt idx="0">
                  <c:v>Lignite&amp;Coal generation capacity</c:v>
                </c:pt>
                <c:pt idx="1">
                  <c:v>MW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'Capacity_Entsoe_SFS_2018'!$BC$3:$BC$39</c15:sqref>
                  </c15:fullRef>
                </c:ext>
              </c:extLst>
              <c:f>'Capacity_Entsoe_SFS_2018'!$BC$3:$BC$38</c:f>
              <c:strCache>
                <c:ptCount val="36"/>
                <c:pt idx="0">
                  <c:v>AL</c:v>
                </c:pt>
                <c:pt idx="1">
                  <c:v>BE</c:v>
                </c:pt>
                <c:pt idx="2">
                  <c:v>CH</c:v>
                </c:pt>
                <c:pt idx="3">
                  <c:v>CY</c:v>
                </c:pt>
                <c:pt idx="4">
                  <c:v>EE</c:v>
                </c:pt>
                <c:pt idx="5">
                  <c:v>IS</c:v>
                </c:pt>
                <c:pt idx="6">
                  <c:v>LT</c:v>
                </c:pt>
                <c:pt idx="7">
                  <c:v>LU</c:v>
                </c:pt>
                <c:pt idx="8">
                  <c:v>LV</c:v>
                </c:pt>
                <c:pt idx="9">
                  <c:v>NO</c:v>
                </c:pt>
                <c:pt idx="10">
                  <c:v>SE</c:v>
                </c:pt>
                <c:pt idx="11">
                  <c:v>FR</c:v>
                </c:pt>
                <c:pt idx="12">
                  <c:v>AT</c:v>
                </c:pt>
                <c:pt idx="13">
                  <c:v>IT</c:v>
                </c:pt>
                <c:pt idx="14">
                  <c:v>HR</c:v>
                </c:pt>
                <c:pt idx="15">
                  <c:v>SK</c:v>
                </c:pt>
                <c:pt idx="16">
                  <c:v>IE</c:v>
                </c:pt>
                <c:pt idx="17">
                  <c:v>PT</c:v>
                </c:pt>
                <c:pt idx="18">
                  <c:v>ES</c:v>
                </c:pt>
                <c:pt idx="19">
                  <c:v>GB</c:v>
                </c:pt>
                <c:pt idx="20">
                  <c:v>HU</c:v>
                </c:pt>
                <c:pt idx="21">
                  <c:v>FI</c:v>
                </c:pt>
                <c:pt idx="22">
                  <c:v>ENTSO-E   *</c:v>
                </c:pt>
                <c:pt idx="23">
                  <c:v>NL</c:v>
                </c:pt>
                <c:pt idx="24">
                  <c:v>DE</c:v>
                </c:pt>
                <c:pt idx="25">
                  <c:v>RO</c:v>
                </c:pt>
                <c:pt idx="26">
                  <c:v>TR</c:v>
                </c:pt>
                <c:pt idx="27">
                  <c:v>DK</c:v>
                </c:pt>
                <c:pt idx="28">
                  <c:v>ME</c:v>
                </c:pt>
                <c:pt idx="29">
                  <c:v>GR</c:v>
                </c:pt>
                <c:pt idx="30">
                  <c:v>SI</c:v>
                </c:pt>
                <c:pt idx="31">
                  <c:v>BG</c:v>
                </c:pt>
                <c:pt idx="32">
                  <c:v>MK</c:v>
                </c:pt>
                <c:pt idx="33">
                  <c:v>BA</c:v>
                </c:pt>
                <c:pt idx="34">
                  <c:v>CZ</c:v>
                </c:pt>
                <c:pt idx="35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'Capacity_Entsoe_SFS_2018'!$BD$3:$BD$39</c15:sqref>
                  </c15:fullRef>
                </c:ext>
              </c:extLst>
              <c:f>'Capacity_Entsoe_SFS_2018'!$BD$3:$BD$38</c:f>
              <c:numCache>
                <c:formatCode>0.0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205</c:v>
                </c:pt>
                <c:pt idx="11">
                  <c:v>2997</c:v>
                </c:pt>
                <c:pt idx="12">
                  <c:v>598</c:v>
                </c:pt>
                <c:pt idx="13">
                  <c:v>7752</c:v>
                </c:pt>
                <c:pt idx="14">
                  <c:v>325</c:v>
                </c:pt>
                <c:pt idx="15">
                  <c:v>566</c:v>
                </c:pt>
                <c:pt idx="16">
                  <c:v>855</c:v>
                </c:pt>
                <c:pt idx="17">
                  <c:v>1756</c:v>
                </c:pt>
                <c:pt idx="18">
                  <c:v>10031</c:v>
                </c:pt>
                <c:pt idx="19">
                  <c:v>10860</c:v>
                </c:pt>
                <c:pt idx="20">
                  <c:v>1049</c:v>
                </c:pt>
                <c:pt idx="21">
                  <c:v>2278</c:v>
                </c:pt>
                <c:pt idx="22">
                  <c:v>171799</c:v>
                </c:pt>
                <c:pt idx="23">
                  <c:v>4631</c:v>
                </c:pt>
                <c:pt idx="24">
                  <c:v>45755</c:v>
                </c:pt>
                <c:pt idx="25">
                  <c:v>4373</c:v>
                </c:pt>
                <c:pt idx="26">
                  <c:v>19694</c:v>
                </c:pt>
                <c:pt idx="27">
                  <c:v>3656</c:v>
                </c:pt>
                <c:pt idx="28">
                  <c:v>220</c:v>
                </c:pt>
                <c:pt idx="29">
                  <c:v>3904</c:v>
                </c:pt>
                <c:pt idx="30">
                  <c:v>981</c:v>
                </c:pt>
                <c:pt idx="31">
                  <c:v>3733</c:v>
                </c:pt>
                <c:pt idx="32">
                  <c:v>718</c:v>
                </c:pt>
                <c:pt idx="33">
                  <c:v>1888</c:v>
                </c:pt>
                <c:pt idx="34">
                  <c:v>10030</c:v>
                </c:pt>
                <c:pt idx="35">
                  <c:v>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A-4E6B-A3AB-3FBAE22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468160"/>
        <c:axId val="181474048"/>
      </c:barChart>
      <c:barChart>
        <c:barDir val="bar"/>
        <c:grouping val="clustered"/>
        <c:varyColors val="0"/>
        <c:ser>
          <c:idx val="1"/>
          <c:order val="1"/>
          <c:tx>
            <c:strRef>
              <c:f>'Capacity_Entsoe_SFS_2018'!$BE$1:$BE$2</c:f>
              <c:strCache>
                <c:ptCount val="2"/>
                <c:pt idx="0">
                  <c:v>Lignite&amp;Coal share in installed generation capacity</c:v>
                </c:pt>
                <c:pt idx="1">
                  <c:v>%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'Capacity_Entsoe_SFS_2018'!$BC$3:$BC$39</c15:sqref>
                  </c15:fullRef>
                </c:ext>
              </c:extLst>
              <c:f>'Capacity_Entsoe_SFS_2018'!$BC$3:$BC$38</c:f>
              <c:strCache>
                <c:ptCount val="36"/>
                <c:pt idx="0">
                  <c:v>AL</c:v>
                </c:pt>
                <c:pt idx="1">
                  <c:v>BE</c:v>
                </c:pt>
                <c:pt idx="2">
                  <c:v>CH</c:v>
                </c:pt>
                <c:pt idx="3">
                  <c:v>CY</c:v>
                </c:pt>
                <c:pt idx="4">
                  <c:v>EE</c:v>
                </c:pt>
                <c:pt idx="5">
                  <c:v>IS</c:v>
                </c:pt>
                <c:pt idx="6">
                  <c:v>LT</c:v>
                </c:pt>
                <c:pt idx="7">
                  <c:v>LU</c:v>
                </c:pt>
                <c:pt idx="8">
                  <c:v>LV</c:v>
                </c:pt>
                <c:pt idx="9">
                  <c:v>NO</c:v>
                </c:pt>
                <c:pt idx="10">
                  <c:v>SE</c:v>
                </c:pt>
                <c:pt idx="11">
                  <c:v>FR</c:v>
                </c:pt>
                <c:pt idx="12">
                  <c:v>AT</c:v>
                </c:pt>
                <c:pt idx="13">
                  <c:v>IT</c:v>
                </c:pt>
                <c:pt idx="14">
                  <c:v>HR</c:v>
                </c:pt>
                <c:pt idx="15">
                  <c:v>SK</c:v>
                </c:pt>
                <c:pt idx="16">
                  <c:v>IE</c:v>
                </c:pt>
                <c:pt idx="17">
                  <c:v>PT</c:v>
                </c:pt>
                <c:pt idx="18">
                  <c:v>ES</c:v>
                </c:pt>
                <c:pt idx="19">
                  <c:v>GB</c:v>
                </c:pt>
                <c:pt idx="20">
                  <c:v>HU</c:v>
                </c:pt>
                <c:pt idx="21">
                  <c:v>FI</c:v>
                </c:pt>
                <c:pt idx="22">
                  <c:v>ENTSO-E   *</c:v>
                </c:pt>
                <c:pt idx="23">
                  <c:v>NL</c:v>
                </c:pt>
                <c:pt idx="24">
                  <c:v>DE</c:v>
                </c:pt>
                <c:pt idx="25">
                  <c:v>RO</c:v>
                </c:pt>
                <c:pt idx="26">
                  <c:v>TR</c:v>
                </c:pt>
                <c:pt idx="27">
                  <c:v>DK</c:v>
                </c:pt>
                <c:pt idx="28">
                  <c:v>ME</c:v>
                </c:pt>
                <c:pt idx="29">
                  <c:v>GR</c:v>
                </c:pt>
                <c:pt idx="30">
                  <c:v>SI</c:v>
                </c:pt>
                <c:pt idx="31">
                  <c:v>BG</c:v>
                </c:pt>
                <c:pt idx="32">
                  <c:v>MK</c:v>
                </c:pt>
                <c:pt idx="33">
                  <c:v>BA</c:v>
                </c:pt>
                <c:pt idx="34">
                  <c:v>CZ</c:v>
                </c:pt>
                <c:pt idx="35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'Capacity_Entsoe_SFS_2018'!$BE$3:$BE$39</c15:sqref>
                  </c15:fullRef>
                </c:ext>
              </c:extLst>
              <c:f>'Capacity_Entsoe_SFS_2018'!$BE$3:$BE$38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5.1368146737496238E-3</c:v>
                </c:pt>
                <c:pt idx="11">
                  <c:v>2.2556051449171742E-2</c:v>
                </c:pt>
                <c:pt idx="12">
                  <c:v>2.3531263526541533E-2</c:v>
                </c:pt>
                <c:pt idx="13">
                  <c:v>5.920494902050636E-2</c:v>
                </c:pt>
                <c:pt idx="14">
                  <c:v>6.7259933774834441E-2</c:v>
                </c:pt>
                <c:pt idx="15">
                  <c:v>7.3240165631469983E-2</c:v>
                </c:pt>
                <c:pt idx="16">
                  <c:v>8.1351094196003809E-2</c:v>
                </c:pt>
                <c:pt idx="17">
                  <c:v>8.7896686354990483E-2</c:v>
                </c:pt>
                <c:pt idx="18">
                  <c:v>9.6364824101293059E-2</c:v>
                </c:pt>
                <c:pt idx="19">
                  <c:v>0.12038977019521767</c:v>
                </c:pt>
                <c:pt idx="20">
                  <c:v>0.12379041774840689</c:v>
                </c:pt>
                <c:pt idx="21">
                  <c:v>0.1311381037361119</c:v>
                </c:pt>
                <c:pt idx="22">
                  <c:v>0.1476691264005226</c:v>
                </c:pt>
                <c:pt idx="23">
                  <c:v>0.15168189708820543</c:v>
                </c:pt>
                <c:pt idx="24">
                  <c:v>0.21276843094035694</c:v>
                </c:pt>
                <c:pt idx="25">
                  <c:v>0.22123849033694223</c:v>
                </c:pt>
                <c:pt idx="26">
                  <c:v>0.22240290905805693</c:v>
                </c:pt>
                <c:pt idx="27">
                  <c:v>0.22771722204920586</c:v>
                </c:pt>
                <c:pt idx="28">
                  <c:v>0.23109243697478993</c:v>
                </c:pt>
                <c:pt idx="29">
                  <c:v>0.23816495851634945</c:v>
                </c:pt>
                <c:pt idx="30">
                  <c:v>0.24785245073269327</c:v>
                </c:pt>
                <c:pt idx="31">
                  <c:v>0.32591234503230315</c:v>
                </c:pt>
                <c:pt idx="32">
                  <c:v>0.3790918690601901</c:v>
                </c:pt>
                <c:pt idx="33">
                  <c:v>0.46686449060336299</c:v>
                </c:pt>
                <c:pt idx="34">
                  <c:v>0.48174831892411141</c:v>
                </c:pt>
                <c:pt idx="35">
                  <c:v>0.60620579511749939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A-4E6B-A3AB-3FBAE22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1481472"/>
        <c:axId val="181475584"/>
      </c:barChart>
      <c:catAx>
        <c:axId val="18146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474048"/>
        <c:crosses val="autoZero"/>
        <c:auto val="1"/>
        <c:lblAlgn val="ctr"/>
        <c:lblOffset val="100"/>
        <c:tickLblSkip val="1"/>
        <c:noMultiLvlLbl val="0"/>
      </c:catAx>
      <c:valAx>
        <c:axId val="18147404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crossAx val="181468160"/>
        <c:crosses val="autoZero"/>
        <c:crossBetween val="between"/>
      </c:valAx>
      <c:valAx>
        <c:axId val="18147558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181481472"/>
        <c:crosses val="max"/>
        <c:crossBetween val="between"/>
      </c:valAx>
      <c:catAx>
        <c:axId val="181481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47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1787895963221872E-2"/>
          <c:y val="0.89655667568605157"/>
          <c:w val="0.9082121040367781"/>
          <c:h val="7.807425529525527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849518810148728E-2"/>
          <c:y val="1.6787192434535258E-2"/>
          <c:w val="0.89659492563429566"/>
          <c:h val="0.937168883523146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Tabelle1!$W$4:$W$5</c:f>
              <c:strCache>
                <c:ptCount val="2"/>
                <c:pt idx="0">
                  <c:v>gas</c:v>
                </c:pt>
                <c:pt idx="1">
                  <c:v>%</c:v>
                </c:pt>
              </c:strCache>
            </c:strRef>
          </c:tx>
          <c:spPr>
            <a:solidFill>
              <a:srgbClr val="E98300"/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B2B-4D28-9D3C-8A1FF9E396E1}"/>
              </c:ext>
            </c:extLst>
          </c:dPt>
          <c:cat>
            <c:strRef>
              <c:f>Tabelle1!$V$6:$V$42</c:f>
              <c:strCache>
                <c:ptCount val="37"/>
                <c:pt idx="0">
                  <c:v>AL</c:v>
                </c:pt>
                <c:pt idx="1">
                  <c:v>BA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ME</c:v>
                </c:pt>
                <c:pt idx="6">
                  <c:v>SI</c:v>
                </c:pt>
                <c:pt idx="7">
                  <c:v>SE</c:v>
                </c:pt>
                <c:pt idx="8">
                  <c:v>RS</c:v>
                </c:pt>
                <c:pt idx="9">
                  <c:v>CH</c:v>
                </c:pt>
                <c:pt idx="10">
                  <c:v>NO</c:v>
                </c:pt>
                <c:pt idx="11">
                  <c:v>BG</c:v>
                </c:pt>
                <c:pt idx="12">
                  <c:v>CZ</c:v>
                </c:pt>
                <c:pt idx="13">
                  <c:v>FR</c:v>
                </c:pt>
                <c:pt idx="14">
                  <c:v>FI</c:v>
                </c:pt>
                <c:pt idx="15">
                  <c:v>SK</c:v>
                </c:pt>
                <c:pt idx="16">
                  <c:v>DK</c:v>
                </c:pt>
                <c:pt idx="17">
                  <c:v>PL</c:v>
                </c:pt>
                <c:pt idx="18">
                  <c:v>RO</c:v>
                </c:pt>
                <c:pt idx="19">
                  <c:v>LT</c:v>
                </c:pt>
                <c:pt idx="20">
                  <c:v>LU</c:v>
                </c:pt>
                <c:pt idx="21">
                  <c:v>MK</c:v>
                </c:pt>
                <c:pt idx="22">
                  <c:v>AT</c:v>
                </c:pt>
                <c:pt idx="23">
                  <c:v>DE</c:v>
                </c:pt>
                <c:pt idx="24">
                  <c:v>HR</c:v>
                </c:pt>
                <c:pt idx="25">
                  <c:v>HU</c:v>
                </c:pt>
                <c:pt idx="26">
                  <c:v>ENTSO-E   *</c:v>
                </c:pt>
                <c:pt idx="27">
                  <c:v>ES</c:v>
                </c:pt>
                <c:pt idx="28">
                  <c:v>PT</c:v>
                </c:pt>
                <c:pt idx="29">
                  <c:v>TR</c:v>
                </c:pt>
                <c:pt idx="30">
                  <c:v>GR</c:v>
                </c:pt>
                <c:pt idx="31">
                  <c:v>BE</c:v>
                </c:pt>
                <c:pt idx="32">
                  <c:v>LV</c:v>
                </c:pt>
                <c:pt idx="33">
                  <c:v>IT</c:v>
                </c:pt>
                <c:pt idx="34">
                  <c:v>GB</c:v>
                </c:pt>
                <c:pt idx="35">
                  <c:v>IE</c:v>
                </c:pt>
                <c:pt idx="36">
                  <c:v>NL</c:v>
                </c:pt>
              </c:strCache>
            </c:strRef>
          </c:cat>
          <c:val>
            <c:numRef>
              <c:f>Tabelle1!$W$6:$W$42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3.7902716361339225E-3</c:v>
                </c:pt>
                <c:pt idx="8">
                  <c:v>5.0505050505050509E-3</c:v>
                </c:pt>
                <c:pt idx="9">
                  <c:v>1.4792899408284025E-2</c:v>
                </c:pt>
                <c:pt idx="10">
                  <c:v>2.1962937542896365E-2</c:v>
                </c:pt>
                <c:pt idx="11">
                  <c:v>4.0189125295508277E-2</c:v>
                </c:pt>
                <c:pt idx="12">
                  <c:v>5.3789731051344748E-2</c:v>
                </c:pt>
                <c:pt idx="13">
                  <c:v>5.723660226029894E-2</c:v>
                </c:pt>
                <c:pt idx="14">
                  <c:v>5.7777777777777775E-2</c:v>
                </c:pt>
                <c:pt idx="15">
                  <c:v>7.1713147410358558E-2</c:v>
                </c:pt>
                <c:pt idx="16">
                  <c:v>7.6124567474048457E-2</c:v>
                </c:pt>
                <c:pt idx="17">
                  <c:v>7.8930617441120315E-2</c:v>
                </c:pt>
                <c:pt idx="18">
                  <c:v>8.2372322899505759E-2</c:v>
                </c:pt>
                <c:pt idx="19">
                  <c:v>9.3749999999999986E-2</c:v>
                </c:pt>
                <c:pt idx="20">
                  <c:v>0.1</c:v>
                </c:pt>
                <c:pt idx="21">
                  <c:v>0.13461538461538461</c:v>
                </c:pt>
                <c:pt idx="22">
                  <c:v>0.14518518518518519</c:v>
                </c:pt>
                <c:pt idx="23">
                  <c:v>0.14608433734939757</c:v>
                </c:pt>
                <c:pt idx="24">
                  <c:v>0.15702479338842976</c:v>
                </c:pt>
                <c:pt idx="25">
                  <c:v>0.19148936170212769</c:v>
                </c:pt>
                <c:pt idx="26">
                  <c:v>0.1940367850017764</c:v>
                </c:pt>
                <c:pt idx="27">
                  <c:v>0.20574712643678161</c:v>
                </c:pt>
                <c:pt idx="28">
                  <c:v>0.2613430127041742</c:v>
                </c:pt>
                <c:pt idx="29">
                  <c:v>0.29760319573901467</c:v>
                </c:pt>
                <c:pt idx="30">
                  <c:v>0.3112582781456954</c:v>
                </c:pt>
                <c:pt idx="31">
                  <c:v>0.31982633863965271</c:v>
                </c:pt>
                <c:pt idx="32">
                  <c:v>0.4</c:v>
                </c:pt>
                <c:pt idx="33">
                  <c:v>0.44206773618538325</c:v>
                </c:pt>
                <c:pt idx="34">
                  <c:v>0.45451364590622811</c:v>
                </c:pt>
                <c:pt idx="35">
                  <c:v>0.50853242320819114</c:v>
                </c:pt>
                <c:pt idx="36">
                  <c:v>0.6574585635359117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B-4D28-9D3C-8A1FF9E3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286784"/>
        <c:axId val="183292672"/>
      </c:barChart>
      <c:barChart>
        <c:barDir val="bar"/>
        <c:grouping val="clustered"/>
        <c:varyColors val="0"/>
        <c:ser>
          <c:idx val="0"/>
          <c:order val="1"/>
          <c:spPr>
            <a:solidFill>
              <a:srgbClr val="EBD200"/>
            </a:solidFill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B2B-4D28-9D3C-8A1FF9E396E1}"/>
              </c:ext>
            </c:extLst>
          </c:dPt>
          <c:cat>
            <c:strRef>
              <c:f>Tabelle1!$V$6:$V$42</c:f>
              <c:strCache>
                <c:ptCount val="37"/>
                <c:pt idx="0">
                  <c:v>AL</c:v>
                </c:pt>
                <c:pt idx="1">
                  <c:v>BA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ME</c:v>
                </c:pt>
                <c:pt idx="6">
                  <c:v>SI</c:v>
                </c:pt>
                <c:pt idx="7">
                  <c:v>SE</c:v>
                </c:pt>
                <c:pt idx="8">
                  <c:v>RS</c:v>
                </c:pt>
                <c:pt idx="9">
                  <c:v>CH</c:v>
                </c:pt>
                <c:pt idx="10">
                  <c:v>NO</c:v>
                </c:pt>
                <c:pt idx="11">
                  <c:v>BG</c:v>
                </c:pt>
                <c:pt idx="12">
                  <c:v>CZ</c:v>
                </c:pt>
                <c:pt idx="13">
                  <c:v>FR</c:v>
                </c:pt>
                <c:pt idx="14">
                  <c:v>FI</c:v>
                </c:pt>
                <c:pt idx="15">
                  <c:v>SK</c:v>
                </c:pt>
                <c:pt idx="16">
                  <c:v>DK</c:v>
                </c:pt>
                <c:pt idx="17">
                  <c:v>PL</c:v>
                </c:pt>
                <c:pt idx="18">
                  <c:v>RO</c:v>
                </c:pt>
                <c:pt idx="19">
                  <c:v>LT</c:v>
                </c:pt>
                <c:pt idx="20">
                  <c:v>LU</c:v>
                </c:pt>
                <c:pt idx="21">
                  <c:v>MK</c:v>
                </c:pt>
                <c:pt idx="22">
                  <c:v>AT</c:v>
                </c:pt>
                <c:pt idx="23">
                  <c:v>DE</c:v>
                </c:pt>
                <c:pt idx="24">
                  <c:v>HR</c:v>
                </c:pt>
                <c:pt idx="25">
                  <c:v>HU</c:v>
                </c:pt>
                <c:pt idx="26">
                  <c:v>ENTSO-E   *</c:v>
                </c:pt>
                <c:pt idx="27">
                  <c:v>ES</c:v>
                </c:pt>
                <c:pt idx="28">
                  <c:v>PT</c:v>
                </c:pt>
                <c:pt idx="29">
                  <c:v>TR</c:v>
                </c:pt>
                <c:pt idx="30">
                  <c:v>GR</c:v>
                </c:pt>
                <c:pt idx="31">
                  <c:v>BE</c:v>
                </c:pt>
                <c:pt idx="32">
                  <c:v>LV</c:v>
                </c:pt>
                <c:pt idx="33">
                  <c:v>IT</c:v>
                </c:pt>
                <c:pt idx="34">
                  <c:v>GB</c:v>
                </c:pt>
                <c:pt idx="35">
                  <c:v>IE</c:v>
                </c:pt>
                <c:pt idx="36">
                  <c:v>NL</c:v>
                </c:pt>
              </c:strCache>
            </c:strRef>
          </c:cat>
          <c:val>
            <c:numRef>
              <c:f>Tabelle1!$X$6:$X$42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1.3333333333333334E-2</c:v>
                </c:pt>
                <c:pt idx="7">
                  <c:v>0</c:v>
                </c:pt>
                <c:pt idx="8">
                  <c:v>0</c:v>
                </c:pt>
                <c:pt idx="9">
                  <c:v>1.7751479289940829E-2</c:v>
                </c:pt>
                <c:pt idx="10">
                  <c:v>0</c:v>
                </c:pt>
                <c:pt idx="11">
                  <c:v>3.309692671394799E-2</c:v>
                </c:pt>
                <c:pt idx="12">
                  <c:v>2.8117359413202932E-2</c:v>
                </c:pt>
                <c:pt idx="13">
                  <c:v>1.859278162595698E-2</c:v>
                </c:pt>
                <c:pt idx="14">
                  <c:v>2.9629629629629632E-3</c:v>
                </c:pt>
                <c:pt idx="15">
                  <c:v>2.3904382470119518E-2</c:v>
                </c:pt>
                <c:pt idx="16">
                  <c:v>3.4602076124567477E-2</c:v>
                </c:pt>
                <c:pt idx="17">
                  <c:v>1.9096117122851686E-3</c:v>
                </c:pt>
                <c:pt idx="18">
                  <c:v>2.9654036243822075E-2</c:v>
                </c:pt>
                <c:pt idx="19">
                  <c:v>3.125E-2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6.8942436412315927E-2</c:v>
                </c:pt>
                <c:pt idx="24">
                  <c:v>8.2644628099173556E-3</c:v>
                </c:pt>
                <c:pt idx="25">
                  <c:v>1.0638297872340425E-2</c:v>
                </c:pt>
                <c:pt idx="26">
                  <c:v>3.3150228198190815E-2</c:v>
                </c:pt>
                <c:pt idx="27">
                  <c:v>2.9885057471264367E-2</c:v>
                </c:pt>
                <c:pt idx="28">
                  <c:v>1.4519056261343014E-2</c:v>
                </c:pt>
                <c:pt idx="29">
                  <c:v>2.3968042609853531E-2</c:v>
                </c:pt>
                <c:pt idx="30">
                  <c:v>7.7262693156732898E-2</c:v>
                </c:pt>
                <c:pt idx="31">
                  <c:v>5.0651230101302465E-2</c:v>
                </c:pt>
                <c:pt idx="32">
                  <c:v>0</c:v>
                </c:pt>
                <c:pt idx="33">
                  <c:v>8.1639928698752223E-2</c:v>
                </c:pt>
                <c:pt idx="34">
                  <c:v>4.1287613715885234E-2</c:v>
                </c:pt>
                <c:pt idx="35">
                  <c:v>0</c:v>
                </c:pt>
                <c:pt idx="36">
                  <c:v>2.8545119705340703E-2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B-4D28-9D3C-8A1FF9E3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3373824"/>
        <c:axId val="183294208"/>
      </c:barChart>
      <c:catAx>
        <c:axId val="1832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>
            <a:noFill/>
          </a:ln>
        </c:spPr>
        <c:crossAx val="183292672"/>
        <c:crosses val="autoZero"/>
        <c:auto val="1"/>
        <c:lblAlgn val="ctr"/>
        <c:lblOffset val="100"/>
        <c:tickLblSkip val="1"/>
        <c:noMultiLvlLbl val="0"/>
      </c:catAx>
      <c:valAx>
        <c:axId val="18329267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3286784"/>
        <c:crosses val="autoZero"/>
        <c:crossBetween val="between"/>
      </c:valAx>
      <c:valAx>
        <c:axId val="183294208"/>
        <c:scaling>
          <c:orientation val="maxMin"/>
          <c:max val="1"/>
        </c:scaling>
        <c:delete val="0"/>
        <c:axPos val="t"/>
        <c:numFmt formatCode="0%" sourceLinked="1"/>
        <c:majorTickMark val="out"/>
        <c:minorTickMark val="none"/>
        <c:tickLblPos val="nextTo"/>
        <c:crossAx val="183373824"/>
        <c:crosses val="max"/>
        <c:crossBetween val="between"/>
      </c:valAx>
      <c:catAx>
        <c:axId val="183373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29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[Historical Capacity &amp; Generation Entsoe EU.xlsx]Capacity_Gener_Entsoe_all years!PivotTable5</c:name>
    <c:fmtId val="1"/>
  </c:pivotSource>
  <c:chart>
    <c:autoTitleDeleted val="0"/>
    <c:pivotFmts>
      <c:pivotFmt>
        <c:idx val="0"/>
        <c:spPr>
          <a:solidFill>
            <a:srgbClr val="B42038"/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5B5D5C"/>
          </a:solidFill>
          <a:ln>
            <a:noFill/>
          </a:ln>
        </c:spPr>
        <c:marker>
          <c:symbol val="none"/>
        </c:marker>
      </c:pivotFmt>
      <c:pivotFmt>
        <c:idx val="2"/>
        <c:spPr>
          <a:solidFill>
            <a:srgbClr val="744200"/>
          </a:solidFill>
          <a:ln>
            <a:noFill/>
          </a:ln>
        </c:spPr>
        <c:marker>
          <c:symbol val="none"/>
        </c:marker>
      </c:pivotFmt>
      <c:pivotFmt>
        <c:idx val="3"/>
        <c:spPr>
          <a:solidFill>
            <a:srgbClr val="E98300"/>
          </a:solidFill>
          <a:ln>
            <a:noFill/>
          </a:ln>
        </c:spPr>
        <c:marker>
          <c:symbol val="none"/>
        </c:marker>
      </c:pivotFmt>
      <c:pivotFmt>
        <c:idx val="4"/>
        <c:spPr>
          <a:solidFill>
            <a:srgbClr val="FFCE90"/>
          </a:solidFill>
          <a:ln>
            <a:noFill/>
          </a:ln>
        </c:spPr>
        <c:marker>
          <c:symbol val="none"/>
        </c:marker>
      </c:pivotFmt>
      <c:pivotFmt>
        <c:idx val="5"/>
        <c:spPr>
          <a:solidFill>
            <a:srgbClr val="57B3DE"/>
          </a:solidFill>
          <a:ln>
            <a:noFill/>
          </a:ln>
        </c:spPr>
        <c:marker>
          <c:symbol val="none"/>
        </c:marker>
      </c:pivotFmt>
      <c:pivotFmt>
        <c:idx val="6"/>
        <c:spPr>
          <a:solidFill>
            <a:srgbClr val="005AAF"/>
          </a:solidFill>
          <a:ln>
            <a:noFill/>
          </a:ln>
        </c:spPr>
        <c:marker>
          <c:symbol val="none"/>
        </c:marker>
      </c:pivotFmt>
      <c:pivotFmt>
        <c:idx val="7"/>
        <c:spPr>
          <a:solidFill>
            <a:srgbClr val="EBD200"/>
          </a:solidFill>
        </c:spPr>
        <c:marker>
          <c:symbol val="none"/>
        </c:marker>
      </c:pivotFmt>
      <c:pivotFmt>
        <c:idx val="8"/>
        <c:spPr>
          <a:solidFill>
            <a:srgbClr val="005AAF">
              <a:lumMod val="75000"/>
            </a:srgbClr>
          </a:solidFill>
        </c:spPr>
        <c:marker>
          <c:symbol val="none"/>
        </c:marker>
      </c:pivotFmt>
      <c:pivotFmt>
        <c:idx val="9"/>
        <c:spPr>
          <a:solidFill>
            <a:srgbClr val="58A618"/>
          </a:solidFill>
        </c:spPr>
        <c:marker>
          <c:symbol val="none"/>
        </c:marker>
      </c:pivotFmt>
      <c:pivotFmt>
        <c:idx val="10"/>
        <c:spPr>
          <a:solidFill>
            <a:srgbClr val="B1B3B2"/>
          </a:solidFill>
        </c:spPr>
        <c:marker>
          <c:symbol val="none"/>
        </c:marker>
      </c:pivotFmt>
      <c:pivotFmt>
        <c:idx val="11"/>
        <c:spPr>
          <a:ln>
            <a:solidFill>
              <a:srgbClr val="7F7F7F"/>
            </a:solidFill>
          </a:ln>
        </c:spPr>
        <c:marker>
          <c:symbol val="none"/>
        </c:marker>
      </c:pivotFmt>
      <c:pivotFmt>
        <c:idx val="12"/>
        <c:spPr>
          <a:ln>
            <a:solidFill>
              <a:srgbClr val="797C7A"/>
            </a:solidFill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spPr>
          <a:solidFill>
            <a:srgbClr val="005AAF">
              <a:lumMod val="60000"/>
              <a:lumOff val="40000"/>
            </a:srgbClr>
          </a:solidFill>
        </c:spPr>
        <c:marker>
          <c:symbol val="none"/>
        </c:marker>
      </c:pivotFmt>
      <c:pivotFmt>
        <c:idx val="16"/>
        <c:spPr>
          <a:solidFill>
            <a:srgbClr val="005AAF">
              <a:lumMod val="75000"/>
            </a:srgbClr>
          </a:solidFill>
        </c:spPr>
        <c:marker>
          <c:symbol val="none"/>
        </c:marker>
      </c:pivotFmt>
      <c:pivotFmt>
        <c:idx val="17"/>
        <c:spPr>
          <a:ln>
            <a:solidFill>
              <a:srgbClr val="797C7A"/>
            </a:solidFill>
          </a:ln>
        </c:spPr>
        <c:marker>
          <c:symbol val="none"/>
        </c:marker>
      </c:pivotFmt>
      <c:pivotFmt>
        <c:idx val="18"/>
        <c:spPr>
          <a:solidFill>
            <a:srgbClr val="B42038"/>
          </a:solidFill>
          <a:ln>
            <a:noFill/>
          </a:ln>
        </c:spPr>
        <c:marker>
          <c:symbol val="none"/>
        </c:marker>
      </c:pivotFmt>
      <c:pivotFmt>
        <c:idx val="19"/>
        <c:spPr>
          <a:solidFill>
            <a:srgbClr val="5B5D5C"/>
          </a:solidFill>
          <a:ln>
            <a:noFill/>
          </a:ln>
        </c:spPr>
        <c:marker>
          <c:symbol val="none"/>
        </c:marker>
      </c:pivotFmt>
      <c:pivotFmt>
        <c:idx val="20"/>
        <c:spPr>
          <a:solidFill>
            <a:srgbClr val="744200"/>
          </a:solidFill>
          <a:ln>
            <a:noFill/>
          </a:ln>
        </c:spPr>
        <c:marker>
          <c:symbol val="none"/>
        </c:marker>
      </c:pivotFmt>
      <c:pivotFmt>
        <c:idx val="21"/>
        <c:spPr>
          <a:solidFill>
            <a:srgbClr val="E98300"/>
          </a:solidFill>
          <a:ln>
            <a:noFill/>
          </a:ln>
        </c:spPr>
        <c:marker>
          <c:symbol val="none"/>
        </c:marker>
      </c:pivotFmt>
      <c:pivotFmt>
        <c:idx val="22"/>
        <c:spPr>
          <a:solidFill>
            <a:srgbClr val="FFCE90"/>
          </a:solidFill>
          <a:ln>
            <a:noFill/>
          </a:ln>
        </c:spPr>
        <c:marker>
          <c:symbol val="none"/>
        </c:marker>
      </c:pivotFmt>
      <c:pivotFmt>
        <c:idx val="23"/>
        <c:spPr>
          <a:solidFill>
            <a:srgbClr val="57B3DE"/>
          </a:solidFill>
          <a:ln>
            <a:noFill/>
          </a:ln>
        </c:spPr>
        <c:marker>
          <c:symbol val="none"/>
        </c:marker>
      </c:pivotFmt>
      <c:pivotFmt>
        <c:idx val="24"/>
        <c:spPr>
          <a:solidFill>
            <a:srgbClr val="005AAF"/>
          </a:solidFill>
          <a:ln>
            <a:noFill/>
          </a:ln>
        </c:spPr>
        <c:marker>
          <c:symbol val="none"/>
        </c:marker>
      </c:pivotFmt>
      <c:pivotFmt>
        <c:idx val="25"/>
        <c:spPr>
          <a:solidFill>
            <a:srgbClr val="EBD200"/>
          </a:solidFill>
        </c:spPr>
        <c:marker>
          <c:symbol val="none"/>
        </c:marker>
      </c:pivotFmt>
      <c:pivotFmt>
        <c:idx val="26"/>
        <c:spPr>
          <a:solidFill>
            <a:srgbClr val="005AAF">
              <a:lumMod val="75000"/>
            </a:srgbClr>
          </a:solidFill>
        </c:spPr>
        <c:marker>
          <c:symbol val="none"/>
        </c:marker>
      </c:pivotFmt>
      <c:pivotFmt>
        <c:idx val="27"/>
        <c:spPr>
          <a:solidFill>
            <a:srgbClr val="58A618"/>
          </a:solidFill>
        </c:spPr>
        <c:marker>
          <c:symbol val="none"/>
        </c:marker>
      </c:pivotFmt>
      <c:pivotFmt>
        <c:idx val="28"/>
        <c:spPr>
          <a:solidFill>
            <a:srgbClr val="B1B3B2"/>
          </a:solidFill>
        </c:spPr>
        <c:marker>
          <c:symbol val="none"/>
        </c:marker>
      </c:pivotFmt>
      <c:pivotFmt>
        <c:idx val="29"/>
        <c:spPr>
          <a:ln>
            <a:solidFill>
              <a:srgbClr val="797C7A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960629921259841E-2"/>
          <c:y val="5.7564141414141422E-2"/>
          <c:w val="0.89659492563429566"/>
          <c:h val="0.6739140946502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'Capacity_Gener_Entsoe_all years'!$C$4:$C$5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42038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years'!$C$6:$C$11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84F-84E2-2430279BD885}"/>
            </c:ext>
          </c:extLst>
        </c:ser>
        <c:ser>
          <c:idx val="1"/>
          <c:order val="1"/>
          <c:tx>
            <c:strRef>
              <c:f>'Capacity_Gener_Entsoe_all years'!$D$4:$D$5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rgbClr val="5B5D5C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years'!$D$6:$D$11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9-484F-84E2-2430279BD885}"/>
            </c:ext>
          </c:extLst>
        </c:ser>
        <c:ser>
          <c:idx val="2"/>
          <c:order val="2"/>
          <c:tx>
            <c:strRef>
              <c:f>'Capacity_Gener_Entsoe_all years'!$E$4:$E$5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rgbClr val="744200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years'!$E$6:$E$11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9-484F-84E2-2430279BD885}"/>
            </c:ext>
          </c:extLst>
        </c:ser>
        <c:ser>
          <c:idx val="3"/>
          <c:order val="3"/>
          <c:tx>
            <c:strRef>
              <c:f>'Capacity_Gener_Entsoe_all years'!$F$4:$F$5</c:f>
              <c:strCache>
                <c:ptCount val="1"/>
                <c:pt idx="0">
                  <c:v>Fossil gases</c:v>
                </c:pt>
              </c:strCache>
            </c:strRef>
          </c:tx>
          <c:spPr>
            <a:solidFill>
              <a:srgbClr val="E98300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years'!$F$6:$F$11</c:f>
              <c:numCache>
                <c:formatCode>General</c:formatCode>
                <c:ptCount val="5"/>
                <c:pt idx="0">
                  <c:v>1090</c:v>
                </c:pt>
                <c:pt idx="1">
                  <c:v>1600</c:v>
                </c:pt>
                <c:pt idx="2">
                  <c:v>445</c:v>
                </c:pt>
                <c:pt idx="3">
                  <c:v>448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9-484F-84E2-2430279BD885}"/>
            </c:ext>
          </c:extLst>
        </c:ser>
        <c:ser>
          <c:idx val="4"/>
          <c:order val="4"/>
          <c:tx>
            <c:strRef>
              <c:f>'Capacity_Gener_Entsoe_all years'!$G$4:$G$5</c:f>
              <c:strCache>
                <c:ptCount val="1"/>
                <c:pt idx="0">
                  <c:v>Other fossil fuels</c:v>
                </c:pt>
              </c:strCache>
            </c:strRef>
          </c:tx>
          <c:spPr>
            <a:solidFill>
              <a:srgbClr val="FFCE90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years'!$G$6:$G$11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9-484F-84E2-2430279BD885}"/>
            </c:ext>
          </c:extLst>
        </c:ser>
        <c:ser>
          <c:idx val="5"/>
          <c:order val="5"/>
          <c:tx>
            <c:strRef>
              <c:f>'Capacity_Gener_Entsoe_all years'!$H$4:$H$5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57B3DE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years'!$H$6:$H$11</c:f>
              <c:numCache>
                <c:formatCode>General</c:formatCode>
                <c:ptCount val="5"/>
                <c:pt idx="0">
                  <c:v>814</c:v>
                </c:pt>
                <c:pt idx="1">
                  <c:v>860</c:v>
                </c:pt>
                <c:pt idx="2">
                  <c:v>869</c:v>
                </c:pt>
                <c:pt idx="3">
                  <c:v>1083</c:v>
                </c:pt>
                <c:pt idx="4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9-484F-84E2-2430279BD885}"/>
            </c:ext>
          </c:extLst>
        </c:ser>
        <c:ser>
          <c:idx val="6"/>
          <c:order val="6"/>
          <c:tx>
            <c:strRef>
              <c:f>'Capacity_Gener_Entsoe_all years'!$I$4:$I$5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5AAF"/>
            </a:solidFill>
            <a:ln>
              <a:noFill/>
            </a:ln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years'!$I$6:$I$11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9-484F-84E2-2430279BD885}"/>
            </c:ext>
          </c:extLst>
        </c:ser>
        <c:ser>
          <c:idx val="7"/>
          <c:order val="7"/>
          <c:tx>
            <c:strRef>
              <c:f>'Capacity_Gener_Entsoe_all years'!$J$4:$J$5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EBD200"/>
            </a:solidFill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years'!$J$6:$J$11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99-484F-84E2-2430279BD885}"/>
            </c:ext>
          </c:extLst>
        </c:ser>
        <c:ser>
          <c:idx val="8"/>
          <c:order val="8"/>
          <c:tx>
            <c:strRef>
              <c:f>'Capacity_Gener_Entsoe_all years'!$K$4:$K$5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5AAF">
                <a:lumMod val="75000"/>
              </a:srgbClr>
            </a:solidFill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years'!$K$6:$K$11</c:f>
              <c:numCache>
                <c:formatCode>General</c:formatCode>
                <c:ptCount val="5"/>
                <c:pt idx="0">
                  <c:v>31062</c:v>
                </c:pt>
                <c:pt idx="1">
                  <c:v>31200</c:v>
                </c:pt>
                <c:pt idx="2">
                  <c:v>30767</c:v>
                </c:pt>
                <c:pt idx="3">
                  <c:v>31660</c:v>
                </c:pt>
                <c:pt idx="4">
                  <c:v>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99-484F-84E2-2430279BD885}"/>
            </c:ext>
          </c:extLst>
        </c:ser>
        <c:ser>
          <c:idx val="9"/>
          <c:order val="9"/>
          <c:tx>
            <c:strRef>
              <c:f>'Capacity_Gener_Entsoe_all years'!$L$4:$L$5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58A618"/>
            </a:solidFill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years'!$L$6:$L$11</c:f>
              <c:numCache>
                <c:formatCode>General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54-4135-9FD5-B5C80AFC868A}"/>
            </c:ext>
          </c:extLst>
        </c:ser>
        <c:ser>
          <c:idx val="10"/>
          <c:order val="10"/>
          <c:tx>
            <c:strRef>
              <c:f>'Capacity_Gener_Entsoe_all years'!$M$4:$M$5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1B3B2"/>
            </a:solidFill>
          </c:spPr>
          <c:invertIfNegative val="0"/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years'!$M$6:$M$11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54-4135-9FD5-B5C80AFC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10240"/>
        <c:axId val="41612032"/>
      </c:barChart>
      <c:lineChart>
        <c:grouping val="standard"/>
        <c:varyColors val="0"/>
        <c:ser>
          <c:idx val="11"/>
          <c:order val="11"/>
          <c:tx>
            <c:strRef>
              <c:f>'Capacity_Gener_Entsoe_all years'!$N$4:$N$5</c:f>
              <c:strCache>
                <c:ptCount val="1"/>
                <c:pt idx="0">
                  <c:v>Highest load</c:v>
                </c:pt>
              </c:strCache>
            </c:strRef>
          </c:tx>
          <c:spPr>
            <a:ln>
              <a:solidFill>
                <a:srgbClr val="797C7A"/>
              </a:solidFill>
            </a:ln>
          </c:spPr>
          <c:marker>
            <c:symbol val="none"/>
          </c:marker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years'!$N$6:$N$11</c:f>
              <c:numCache>
                <c:formatCode>General</c:formatCode>
                <c:ptCount val="5"/>
                <c:pt idx="0">
                  <c:v>22957</c:v>
                </c:pt>
                <c:pt idx="1">
                  <c:v>22530</c:v>
                </c:pt>
                <c:pt idx="2">
                  <c:v>24485</c:v>
                </c:pt>
                <c:pt idx="3">
                  <c:v>23246</c:v>
                </c:pt>
                <c:pt idx="4">
                  <c:v>24108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54-4135-9FD5-B5C80AFC868A}"/>
            </c:ext>
          </c:extLst>
        </c:ser>
        <c:ser>
          <c:idx val="12"/>
          <c:order val="12"/>
          <c:tx>
            <c:strRef>
              <c:f>'Capacity_Gener_Entsoe_all years'!$O$4:$O$5</c:f>
              <c:strCache>
                <c:ptCount val="1"/>
                <c:pt idx="0">
                  <c:v>Lowest load</c:v>
                </c:pt>
              </c:strCache>
            </c:strRef>
          </c:tx>
          <c:spPr>
            <a:ln>
              <a:solidFill>
                <a:srgbClr val="797C7A"/>
              </a:solidFill>
            </a:ln>
          </c:spPr>
          <c:marker>
            <c:symbol val="none"/>
          </c:marker>
          <c:cat>
            <c:strRef>
              <c:f>'Capacity_Gener_Entsoe_all years'!$B$6:$B$11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years'!$O$6:$O$11</c:f>
              <c:numCache>
                <c:formatCode>General</c:formatCode>
                <c:ptCount val="5"/>
                <c:pt idx="0">
                  <c:v>8633</c:v>
                </c:pt>
                <c:pt idx="1">
                  <c:v>9527</c:v>
                </c:pt>
                <c:pt idx="2">
                  <c:v>9156</c:v>
                </c:pt>
                <c:pt idx="3">
                  <c:v>9457</c:v>
                </c:pt>
                <c:pt idx="4">
                  <c:v>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54-4135-9FD5-B5C80AFC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0240"/>
        <c:axId val="41612032"/>
      </c:lineChart>
      <c:catAx>
        <c:axId val="41610240"/>
        <c:scaling>
          <c:orientation val="minMax"/>
        </c:scaling>
        <c:delete val="0"/>
        <c:axPos val="b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2032"/>
        <c:crosses val="autoZero"/>
        <c:auto val="1"/>
        <c:lblAlgn val="ctr"/>
        <c:lblOffset val="100"/>
        <c:noMultiLvlLbl val="0"/>
      </c:catAx>
      <c:valAx>
        <c:axId val="41612032"/>
        <c:scaling>
          <c:orientation val="minMax"/>
        </c:scaling>
        <c:delete val="0"/>
        <c:axPos val="l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de-DE"/>
                  <a:t>GW</a:t>
                </a:r>
              </a:p>
            </c:rich>
          </c:tx>
          <c:layout>
            <c:manualLayout>
              <c:xMode val="edge"/>
              <c:yMode val="edge"/>
              <c:x val="0.10833333333333332"/>
              <c:y val="8.7855614904763738E-3"/>
            </c:manualLayout>
          </c:layout>
          <c:overlay val="0"/>
        </c:title>
        <c:numFmt formatCode="#,##0,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02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8221784776902887E-3"/>
          <c:y val="0.83313425925925932"/>
          <c:w val="0.99617782152230971"/>
          <c:h val="0.16686565656565658"/>
        </c:manualLayout>
      </c:layout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[Historical Capacity &amp; Generation Entsoe EU.xlsx]Capacity_Gener_Entsoe_all years!PivotTable6</c:name>
    <c:fmtId val="0"/>
  </c:pivotSource>
  <c:chart>
    <c:autoTitleDeleted val="0"/>
    <c:pivotFmts>
      <c:pivotFmt>
        <c:idx val="0"/>
        <c:spPr>
          <a:solidFill>
            <a:srgbClr val="B42038"/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797C7A">
              <a:lumMod val="75000"/>
            </a:srgbClr>
          </a:solidFill>
          <a:ln>
            <a:noFill/>
          </a:ln>
        </c:spPr>
        <c:marker>
          <c:symbol val="none"/>
        </c:marker>
      </c:pivotFmt>
      <c:pivotFmt>
        <c:idx val="2"/>
        <c:spPr>
          <a:solidFill>
            <a:srgbClr val="E98300">
              <a:lumMod val="50000"/>
            </a:srgbClr>
          </a:solidFill>
          <a:ln>
            <a:noFill/>
          </a:ln>
        </c:spPr>
        <c:marker>
          <c:symbol val="none"/>
        </c:marker>
      </c:pivotFmt>
      <c:pivotFmt>
        <c:idx val="3"/>
        <c:spPr>
          <a:solidFill>
            <a:srgbClr val="E98300"/>
          </a:solidFill>
          <a:ln>
            <a:noFill/>
          </a:ln>
        </c:spPr>
        <c:marker>
          <c:symbol val="none"/>
        </c:marker>
      </c:pivotFmt>
      <c:pivotFmt>
        <c:idx val="4"/>
        <c:spPr>
          <a:solidFill>
            <a:srgbClr val="E98300">
              <a:lumMod val="60000"/>
              <a:lumOff val="40000"/>
            </a:srgbClr>
          </a:solidFill>
          <a:ln>
            <a:noFill/>
          </a:ln>
        </c:spPr>
        <c:marker>
          <c:symbol val="none"/>
        </c:marker>
      </c:pivotFmt>
      <c:pivotFmt>
        <c:idx val="5"/>
        <c:spPr>
          <a:solidFill>
            <a:srgbClr val="57B3DE"/>
          </a:solidFill>
          <a:ln>
            <a:noFill/>
          </a:ln>
        </c:spPr>
        <c:marker>
          <c:symbol val="none"/>
        </c:marker>
      </c:pivotFmt>
      <c:pivotFmt>
        <c:idx val="6"/>
        <c:spPr>
          <a:solidFill>
            <a:srgbClr val="005AAF"/>
          </a:solidFill>
        </c:spPr>
        <c:marker>
          <c:symbol val="none"/>
        </c:marker>
      </c:pivotFmt>
      <c:pivotFmt>
        <c:idx val="7"/>
        <c:spPr>
          <a:solidFill>
            <a:srgbClr val="EBD200"/>
          </a:solidFill>
        </c:spPr>
        <c:marker>
          <c:symbol val="none"/>
        </c:marker>
      </c:pivotFmt>
      <c:pivotFmt>
        <c:idx val="8"/>
        <c:spPr>
          <a:solidFill>
            <a:srgbClr val="005AAF">
              <a:lumMod val="75000"/>
            </a:srgbClr>
          </a:solidFill>
        </c:spPr>
        <c:marker>
          <c:symbol val="none"/>
        </c:marker>
      </c:pivotFmt>
      <c:pivotFmt>
        <c:idx val="9"/>
        <c:spPr>
          <a:solidFill>
            <a:srgbClr val="58A618"/>
          </a:solidFill>
        </c:spPr>
        <c:marker>
          <c:symbol val="none"/>
        </c:marker>
      </c:pivotFmt>
      <c:pivotFmt>
        <c:idx val="10"/>
        <c:spPr>
          <a:solidFill>
            <a:srgbClr val="B1B3B2"/>
          </a:solidFill>
        </c:spPr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ln>
            <a:solidFill>
              <a:srgbClr val="797C7A"/>
            </a:solidFill>
          </a:ln>
        </c:spPr>
      </c:pivotFmt>
      <c:pivotFmt>
        <c:idx val="13"/>
        <c:marker>
          <c:symbol val="none"/>
        </c:marker>
      </c:pivotFmt>
      <c:pivotFmt>
        <c:idx val="14"/>
        <c:spPr>
          <a:solidFill>
            <a:srgbClr val="005AAF"/>
          </a:solidFill>
        </c:spPr>
      </c:pivotFmt>
      <c:pivotFmt>
        <c:idx val="15"/>
        <c:spPr>
          <a:solidFill>
            <a:srgbClr val="EBD200"/>
          </a:solidFill>
        </c:spPr>
      </c:pivotFmt>
      <c:pivotFmt>
        <c:idx val="16"/>
        <c:spPr>
          <a:solidFill>
            <a:srgbClr val="58A618"/>
          </a:solidFill>
        </c:spPr>
      </c:pivotFmt>
      <c:pivotFmt>
        <c:idx val="17"/>
        <c:spPr>
          <a:solidFill>
            <a:srgbClr val="B1B3B2"/>
          </a:solidFill>
        </c:spP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spPr>
          <a:ln>
            <a:solidFill>
              <a:srgbClr val="7F7F7F"/>
            </a:solidFill>
          </a:ln>
        </c:spPr>
        <c:marker>
          <c:symbol val="none"/>
        </c:marker>
      </c:pivotFmt>
      <c:pivotFmt>
        <c:idx val="43"/>
        <c:spPr>
          <a:solidFill>
            <a:srgbClr val="B42038"/>
          </a:solidFill>
        </c:spPr>
        <c:marker>
          <c:symbol val="none"/>
        </c:marker>
      </c:pivotFmt>
      <c:pivotFmt>
        <c:idx val="44"/>
        <c:spPr>
          <a:solidFill>
            <a:srgbClr val="5B5D5C"/>
          </a:solidFill>
        </c:spPr>
        <c:marker>
          <c:symbol val="none"/>
        </c:marker>
      </c:pivotFmt>
      <c:pivotFmt>
        <c:idx val="45"/>
        <c:spPr>
          <a:solidFill>
            <a:srgbClr val="744200"/>
          </a:solidFill>
        </c:spPr>
        <c:marker>
          <c:symbol val="none"/>
        </c:marker>
      </c:pivotFmt>
      <c:pivotFmt>
        <c:idx val="46"/>
        <c:spPr>
          <a:solidFill>
            <a:srgbClr val="E98300"/>
          </a:solidFill>
        </c:spPr>
        <c:marker>
          <c:symbol val="none"/>
        </c:marker>
      </c:pivotFmt>
      <c:pivotFmt>
        <c:idx val="47"/>
        <c:spPr>
          <a:solidFill>
            <a:srgbClr val="FFCE90"/>
          </a:solidFill>
        </c:spPr>
        <c:marker>
          <c:symbol val="none"/>
        </c:marker>
      </c:pivotFmt>
      <c:pivotFmt>
        <c:idx val="48"/>
        <c:spPr>
          <a:solidFill>
            <a:srgbClr val="57B3DE"/>
          </a:solidFill>
        </c:spPr>
        <c:marker>
          <c:symbol val="none"/>
        </c:marker>
      </c:pivotFmt>
      <c:pivotFmt>
        <c:idx val="49"/>
        <c:spPr>
          <a:solidFill>
            <a:srgbClr val="005AAF"/>
          </a:solidFill>
        </c:spPr>
        <c:marker>
          <c:symbol val="none"/>
        </c:marker>
      </c:pivotFmt>
      <c:pivotFmt>
        <c:idx val="50"/>
        <c:spPr>
          <a:solidFill>
            <a:srgbClr val="EBD200"/>
          </a:solidFill>
        </c:spPr>
        <c:marker>
          <c:symbol val="none"/>
        </c:marker>
      </c:pivotFmt>
      <c:pivotFmt>
        <c:idx val="51"/>
        <c:spPr>
          <a:solidFill>
            <a:srgbClr val="005AAF">
              <a:lumMod val="75000"/>
            </a:srgbClr>
          </a:solidFill>
        </c:spPr>
        <c:marker>
          <c:symbol val="none"/>
        </c:marker>
      </c:pivotFmt>
      <c:pivotFmt>
        <c:idx val="52"/>
        <c:spPr>
          <a:solidFill>
            <a:srgbClr val="58A618"/>
          </a:solidFill>
        </c:spPr>
        <c:marker>
          <c:symbol val="none"/>
        </c:marker>
      </c:pivotFmt>
      <c:pivotFmt>
        <c:idx val="53"/>
        <c:spPr>
          <a:solidFill>
            <a:srgbClr val="B1B3B2"/>
          </a:solidFill>
        </c:spPr>
        <c:marker>
          <c:symbol val="none"/>
        </c:marker>
      </c:pivotFmt>
      <c:pivotFmt>
        <c:idx val="54"/>
        <c:spPr>
          <a:ln>
            <a:solidFill>
              <a:srgbClr val="797C7A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849518810148728E-2"/>
          <c:y val="6.3978220574606101E-2"/>
          <c:w val="0.89659492563429566"/>
          <c:h val="0.6739140946502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'Capacity_Gener_Entsoe_all years'!$C$39:$C$40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42038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years'!$C$41:$C$46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84F-84E2-2430279BD885}"/>
            </c:ext>
          </c:extLst>
        </c:ser>
        <c:ser>
          <c:idx val="1"/>
          <c:order val="1"/>
          <c:tx>
            <c:strRef>
              <c:f>'Capacity_Gener_Entsoe_all years'!$D$39:$D$40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rgbClr val="5B5D5C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years'!$D$41:$D$46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9-484F-84E2-2430279BD885}"/>
            </c:ext>
          </c:extLst>
        </c:ser>
        <c:ser>
          <c:idx val="2"/>
          <c:order val="2"/>
          <c:tx>
            <c:strRef>
              <c:f>'Capacity_Gener_Entsoe_all years'!$E$39:$E$40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rgbClr val="744200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years'!$E$41:$E$46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9-484F-84E2-2430279BD885}"/>
            </c:ext>
          </c:extLst>
        </c:ser>
        <c:ser>
          <c:idx val="3"/>
          <c:order val="3"/>
          <c:tx>
            <c:strRef>
              <c:f>'Capacity_Gener_Entsoe_all years'!$F$39:$F$40</c:f>
              <c:strCache>
                <c:ptCount val="1"/>
                <c:pt idx="0">
                  <c:v>Fossil gases</c:v>
                </c:pt>
              </c:strCache>
            </c:strRef>
          </c:tx>
          <c:spPr>
            <a:solidFill>
              <a:srgbClr val="E98300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years'!$F$41:$F$46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9-484F-84E2-2430279BD885}"/>
            </c:ext>
          </c:extLst>
        </c:ser>
        <c:ser>
          <c:idx val="4"/>
          <c:order val="4"/>
          <c:tx>
            <c:strRef>
              <c:f>'Capacity_Gener_Entsoe_all years'!$G$39:$G$40</c:f>
              <c:strCache>
                <c:ptCount val="1"/>
                <c:pt idx="0">
                  <c:v>Other fossil fuels</c:v>
                </c:pt>
              </c:strCache>
            </c:strRef>
          </c:tx>
          <c:spPr>
            <a:solidFill>
              <a:srgbClr val="FFCE90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years'!$G$41:$G$46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9-484F-84E2-2430279BD885}"/>
            </c:ext>
          </c:extLst>
        </c:ser>
        <c:ser>
          <c:idx val="5"/>
          <c:order val="5"/>
          <c:tx>
            <c:strRef>
              <c:f>'Capacity_Gener_Entsoe_all years'!$H$39:$H$40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57B3DE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years'!$H$41:$H$46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</c:v>
                </c:pt>
                <c:pt idx="2">
                  <c:v>2.1</c:v>
                </c:pt>
                <c:pt idx="3">
                  <c:v>2.7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9-484F-84E2-2430279BD885}"/>
            </c:ext>
          </c:extLst>
        </c:ser>
        <c:ser>
          <c:idx val="6"/>
          <c:order val="6"/>
          <c:tx>
            <c:strRef>
              <c:f>'Capacity_Gener_Entsoe_all years'!$I$39:$I$40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5AAF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years'!$I$41:$I$46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9-484F-84E2-2430279BD885}"/>
            </c:ext>
          </c:extLst>
        </c:ser>
        <c:ser>
          <c:idx val="7"/>
          <c:order val="7"/>
          <c:tx>
            <c:strRef>
              <c:f>'Capacity_Gener_Entsoe_all years'!$J$39:$J$40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EBD200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years'!$J$41:$J$46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99-484F-84E2-2430279BD885}"/>
            </c:ext>
          </c:extLst>
        </c:ser>
        <c:ser>
          <c:idx val="8"/>
          <c:order val="8"/>
          <c:tx>
            <c:strRef>
              <c:f>'Capacity_Gener_Entsoe_all years'!$K$39:$K$40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5AAF">
                <a:lumMod val="75000"/>
              </a:srgbClr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years'!$K$41:$K$46</c:f>
              <c:numCache>
                <c:formatCode>General</c:formatCode>
                <c:ptCount val="5"/>
                <c:pt idx="0">
                  <c:v>136.6</c:v>
                </c:pt>
                <c:pt idx="1">
                  <c:v>139</c:v>
                </c:pt>
                <c:pt idx="2">
                  <c:v>143.4</c:v>
                </c:pt>
                <c:pt idx="3">
                  <c:v>142.1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99-484F-84E2-2430279BD885}"/>
            </c:ext>
          </c:extLst>
        </c:ser>
        <c:ser>
          <c:idx val="9"/>
          <c:order val="9"/>
          <c:tx>
            <c:strRef>
              <c:f>'Capacity_Gener_Entsoe_all years'!$L$39:$L$40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58A618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years'!$L$41:$L$46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3E-40DF-804A-59BC962D90D6}"/>
            </c:ext>
          </c:extLst>
        </c:ser>
        <c:ser>
          <c:idx val="10"/>
          <c:order val="10"/>
          <c:tx>
            <c:strRef>
              <c:f>'Capacity_Gener_Entsoe_all years'!$M$39:$M$40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1B3B2"/>
            </a:solidFill>
          </c:spPr>
          <c:invertIfNegative val="0"/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years'!$M$41:$M$46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3E-40DF-804A-59BC962D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10240"/>
        <c:axId val="41612032"/>
      </c:barChart>
      <c:lineChart>
        <c:grouping val="standard"/>
        <c:varyColors val="0"/>
        <c:ser>
          <c:idx val="11"/>
          <c:order val="11"/>
          <c:tx>
            <c:strRef>
              <c:f>'Capacity_Gener_Entsoe_all years'!$N$39:$N$40</c:f>
              <c:strCache>
                <c:ptCount val="1"/>
                <c:pt idx="0">
                  <c:v>Consumption</c:v>
                </c:pt>
              </c:strCache>
            </c:strRef>
          </c:tx>
          <c:spPr>
            <a:ln>
              <a:solidFill>
                <a:srgbClr val="797C7A"/>
              </a:solidFill>
            </a:ln>
          </c:spPr>
          <c:marker>
            <c:symbol val="none"/>
          </c:marker>
          <c:cat>
            <c:strRef>
              <c:f>'Capacity_Gener_Entsoe_all years'!$B$41:$B$46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'Capacity_Gener_Entsoe_all years'!$N$41:$N$46</c:f>
              <c:numCache>
                <c:formatCode>General</c:formatCode>
                <c:ptCount val="5"/>
                <c:pt idx="0">
                  <c:v>126.8</c:v>
                </c:pt>
                <c:pt idx="1">
                  <c:v>130.4</c:v>
                </c:pt>
                <c:pt idx="2">
                  <c:v>133.19999999999999</c:v>
                </c:pt>
                <c:pt idx="3">
                  <c:v>133.69999999999999</c:v>
                </c:pt>
                <c:pt idx="4">
                  <c:v>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9-44A1-9F49-999CF486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0240"/>
        <c:axId val="41612032"/>
      </c:lineChart>
      <c:catAx>
        <c:axId val="41610240"/>
        <c:scaling>
          <c:orientation val="minMax"/>
        </c:scaling>
        <c:delete val="0"/>
        <c:axPos val="b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2032"/>
        <c:crosses val="autoZero"/>
        <c:auto val="1"/>
        <c:lblAlgn val="ctr"/>
        <c:lblOffset val="100"/>
        <c:noMultiLvlLbl val="0"/>
      </c:catAx>
      <c:valAx>
        <c:axId val="41612032"/>
        <c:scaling>
          <c:orientation val="minMax"/>
        </c:scaling>
        <c:delete val="0"/>
        <c:axPos val="l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de-DE"/>
                  <a:t>TWh</a:t>
                </a:r>
              </a:p>
            </c:rich>
          </c:tx>
          <c:layout>
            <c:manualLayout>
              <c:xMode val="edge"/>
              <c:yMode val="edge"/>
              <c:x val="0.10833333333333332"/>
              <c:y val="8.785561490476373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02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8221784776902887E-3"/>
          <c:y val="0.83313425925925932"/>
          <c:w val="0.97613888888888889"/>
          <c:h val="0.16686565656565658"/>
        </c:manualLayout>
      </c:layout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2849518810148728E-2"/>
          <c:y val="6.3978220574606101E-2"/>
          <c:w val="0.89659492563429566"/>
          <c:h val="0.78081641414141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Kohle_Kernenergieausstiege_Adva!$Q$40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E983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Kohle_Kernenergieausstiege_Adva!$R$39:$V$39</c:f>
              <c:numCache>
                <c:formatCode>General</c:formatCode>
                <c:ptCount val="5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</c:numCache>
            </c:numRef>
          </c:cat>
          <c:val>
            <c:numRef>
              <c:f>Kohle_Kernenergieausstiege_Adva!$R$40:$V$40</c:f>
              <c:numCache>
                <c:formatCode>#,##0.0,</c:formatCode>
                <c:ptCount val="5"/>
                <c:pt idx="0">
                  <c:v>141325</c:v>
                </c:pt>
                <c:pt idx="1">
                  <c:v>140727</c:v>
                </c:pt>
                <c:pt idx="2">
                  <c:v>114217</c:v>
                </c:pt>
                <c:pt idx="3">
                  <c:v>66055</c:v>
                </c:pt>
                <c:pt idx="4">
                  <c:v>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4-4CC1-BA52-033067AF3930}"/>
            </c:ext>
          </c:extLst>
        </c:ser>
        <c:ser>
          <c:idx val="1"/>
          <c:order val="1"/>
          <c:tx>
            <c:strRef>
              <c:f>Kohle_Kernenergieausstiege_Adva!$Q$41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1B3B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Kohle_Kernenergieausstiege_Adva!$R$39:$V$39</c:f>
              <c:numCache>
                <c:formatCode>General</c:formatCode>
                <c:ptCount val="5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</c:numCache>
            </c:numRef>
          </c:cat>
          <c:val>
            <c:numRef>
              <c:f>Kohle_Kernenergieausstiege_Adva!$R$41:$V$41</c:f>
              <c:numCache>
                <c:formatCode>#,##0.0,</c:formatCode>
                <c:ptCount val="5"/>
                <c:pt idx="0">
                  <c:v>118552</c:v>
                </c:pt>
                <c:pt idx="1">
                  <c:v>116612</c:v>
                </c:pt>
                <c:pt idx="2">
                  <c:v>101177</c:v>
                </c:pt>
                <c:pt idx="3">
                  <c:v>101177</c:v>
                </c:pt>
                <c:pt idx="4">
                  <c:v>101177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4-4CC1-BA52-033067AF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610240"/>
        <c:axId val="41612032"/>
      </c:barChart>
      <c:catAx>
        <c:axId val="41610240"/>
        <c:scaling>
          <c:orientation val="minMax"/>
        </c:scaling>
        <c:delete val="0"/>
        <c:axPos val="b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2032"/>
        <c:crosses val="autoZero"/>
        <c:auto val="1"/>
        <c:lblAlgn val="ctr"/>
        <c:lblOffset val="100"/>
        <c:noMultiLvlLbl val="0"/>
      </c:catAx>
      <c:valAx>
        <c:axId val="41612032"/>
        <c:scaling>
          <c:orientation val="minMax"/>
        </c:scaling>
        <c:delete val="0"/>
        <c:axPos val="l"/>
        <c:majorGridlines>
          <c:spPr>
            <a:ln w="3175">
              <a:solidFill>
                <a:srgbClr val="B1B3B2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de-DE"/>
                  <a:t>GW</a:t>
                </a:r>
              </a:p>
            </c:rich>
          </c:tx>
          <c:layout>
            <c:manualLayout>
              <c:xMode val="edge"/>
              <c:yMode val="edge"/>
              <c:x val="7.7777777777777779E-2"/>
              <c:y val="4.1557305336832892E-3"/>
            </c:manualLayout>
          </c:layout>
          <c:overlay val="0"/>
        </c:title>
        <c:numFmt formatCode="#,##0,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416102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8221784776902887E-3"/>
          <c:y val="0.924595046854083"/>
          <c:w val="0.99617782152230971"/>
          <c:h val="5.5997285706755037E-2"/>
        </c:manualLayout>
      </c:layout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Coal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Tabelle1!$R$4:$R$5</c:f>
              <c:strCache>
                <c:ptCount val="2"/>
                <c:pt idx="0">
                  <c:v>Lignite&amp;Coal share in net generation</c:v>
                </c:pt>
                <c:pt idx="1">
                  <c:v>%</c:v>
                </c:pt>
              </c:strCache>
            </c:strRef>
          </c:tx>
          <c:spPr>
            <a:solidFill>
              <a:srgbClr val="B1B3B2">
                <a:lumMod val="50000"/>
              </a:srgbClr>
            </a:solidFill>
          </c:spPr>
          <c:invertIfNegative val="0"/>
          <c:dPt>
            <c:idx val="21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3BCD-4A72-87CC-32C50AC27B2A}"/>
              </c:ext>
            </c:extLst>
          </c:dPt>
          <c:cat>
            <c:strRef>
              <c:f>Tabelle1!$P$6:$P$42</c:f>
              <c:strCache>
                <c:ptCount val="37"/>
                <c:pt idx="0">
                  <c:v>AL</c:v>
                </c:pt>
                <c:pt idx="1">
                  <c:v>CH</c:v>
                </c:pt>
                <c:pt idx="2">
                  <c:v>CY</c:v>
                </c:pt>
                <c:pt idx="3">
                  <c:v>EE</c:v>
                </c:pt>
                <c:pt idx="4">
                  <c:v>IS</c:v>
                </c:pt>
                <c:pt idx="5">
                  <c:v>LT</c:v>
                </c:pt>
                <c:pt idx="6">
                  <c:v>LU</c:v>
                </c:pt>
                <c:pt idx="7">
                  <c:v>LV</c:v>
                </c:pt>
                <c:pt idx="8">
                  <c:v>NO</c:v>
                </c:pt>
                <c:pt idx="9">
                  <c:v>SE</c:v>
                </c:pt>
                <c:pt idx="10">
                  <c:v>FR</c:v>
                </c:pt>
                <c:pt idx="11">
                  <c:v>AT</c:v>
                </c:pt>
                <c:pt idx="12">
                  <c:v>BE</c:v>
                </c:pt>
                <c:pt idx="13">
                  <c:v>GB</c:v>
                </c:pt>
                <c:pt idx="14">
                  <c:v>IE</c:v>
                </c:pt>
                <c:pt idx="15">
                  <c:v>FI</c:v>
                </c:pt>
                <c:pt idx="16">
                  <c:v>HR</c:v>
                </c:pt>
                <c:pt idx="17">
                  <c:v>IT</c:v>
                </c:pt>
                <c:pt idx="18">
                  <c:v>SK</c:v>
                </c:pt>
                <c:pt idx="19">
                  <c:v>ES</c:v>
                </c:pt>
                <c:pt idx="20">
                  <c:v>NL</c:v>
                </c:pt>
                <c:pt idx="21">
                  <c:v>HU</c:v>
                </c:pt>
                <c:pt idx="22">
                  <c:v>ENTSO-E   *</c:v>
                </c:pt>
                <c:pt idx="23">
                  <c:v>PT</c:v>
                </c:pt>
                <c:pt idx="24">
                  <c:v>RO</c:v>
                </c:pt>
                <c:pt idx="25">
                  <c:v>DK</c:v>
                </c:pt>
                <c:pt idx="26">
                  <c:v>SI</c:v>
                </c:pt>
                <c:pt idx="27">
                  <c:v>GR</c:v>
                </c:pt>
                <c:pt idx="28">
                  <c:v>DE</c:v>
                </c:pt>
                <c:pt idx="29">
                  <c:v>TR</c:v>
                </c:pt>
                <c:pt idx="30">
                  <c:v>ME</c:v>
                </c:pt>
                <c:pt idx="31">
                  <c:v>BG</c:v>
                </c:pt>
                <c:pt idx="32">
                  <c:v>CZ</c:v>
                </c:pt>
                <c:pt idx="33">
                  <c:v>MK</c:v>
                </c:pt>
                <c:pt idx="34">
                  <c:v>BA</c:v>
                </c:pt>
                <c:pt idx="35">
                  <c:v>RS</c:v>
                </c:pt>
                <c:pt idx="36">
                  <c:v>PL</c:v>
                </c:pt>
              </c:strCache>
            </c:strRef>
          </c:cat>
          <c:val>
            <c:numRef>
              <c:f>Tabelle1!$R$6:$R$42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3.1585596967782688E-3</c:v>
                </c:pt>
                <c:pt idx="10">
                  <c:v>1.0572366022602989E-2</c:v>
                </c:pt>
                <c:pt idx="11">
                  <c:v>2.6666666666666668E-2</c:v>
                </c:pt>
                <c:pt idx="12">
                  <c:v>3.0390738060781481E-2</c:v>
                </c:pt>
                <c:pt idx="13">
                  <c:v>5.8782365290412877E-2</c:v>
                </c:pt>
                <c:pt idx="14">
                  <c:v>7.1672354948805458E-2</c:v>
                </c:pt>
                <c:pt idx="15">
                  <c:v>8.5925925925925919E-2</c:v>
                </c:pt>
                <c:pt idx="16">
                  <c:v>0.10743801652892562</c:v>
                </c:pt>
                <c:pt idx="17">
                  <c:v>0.11051693404634581</c:v>
                </c:pt>
                <c:pt idx="18">
                  <c:v>0.1195219123505976</c:v>
                </c:pt>
                <c:pt idx="19">
                  <c:v>0.14291187739463601</c:v>
                </c:pt>
                <c:pt idx="20">
                  <c:v>0.15377532228360957</c:v>
                </c:pt>
                <c:pt idx="21">
                  <c:v>0.15957446808510639</c:v>
                </c:pt>
                <c:pt idx="22" formatCode="General">
                  <c:v>0.19709764696236781</c:v>
                </c:pt>
                <c:pt idx="23">
                  <c:v>0.2014519056261343</c:v>
                </c:pt>
                <c:pt idx="24">
                  <c:v>0.23064250411861614</c:v>
                </c:pt>
                <c:pt idx="25">
                  <c:v>0.23875432525951559</c:v>
                </c:pt>
                <c:pt idx="26">
                  <c:v>0.26666666666666666</c:v>
                </c:pt>
                <c:pt idx="27">
                  <c:v>0.32891832229580575</c:v>
                </c:pt>
                <c:pt idx="28">
                  <c:v>0.34755689424364122</c:v>
                </c:pt>
                <c:pt idx="29">
                  <c:v>0.37483355525965378</c:v>
                </c:pt>
                <c:pt idx="30">
                  <c:v>0.38888888888888884</c:v>
                </c:pt>
                <c:pt idx="31">
                  <c:v>0.40425531914893625</c:v>
                </c:pt>
                <c:pt idx="32">
                  <c:v>0.4767726161369194</c:v>
                </c:pt>
                <c:pt idx="33">
                  <c:v>0.51923076923076927</c:v>
                </c:pt>
                <c:pt idx="34">
                  <c:v>0.62427745664739887</c:v>
                </c:pt>
                <c:pt idx="35">
                  <c:v>0.70959595959595956</c:v>
                </c:pt>
                <c:pt idx="36">
                  <c:v>0.77593889242520697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A72-87CC-32C50AC2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019392"/>
        <c:axId val="181020928"/>
      </c:barChart>
      <c:catAx>
        <c:axId val="18101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020928"/>
        <c:crosses val="autoZero"/>
        <c:auto val="1"/>
        <c:lblAlgn val="ctr"/>
        <c:lblOffset val="100"/>
        <c:tickLblSkip val="1"/>
        <c:noMultiLvlLbl val="0"/>
      </c:catAx>
      <c:valAx>
        <c:axId val="18102092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10193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Renewables in Net Generation,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0952557095681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Tabelle1!$AL$4:$AL$5</c:f>
              <c:strCache>
                <c:ptCount val="2"/>
                <c:pt idx="0">
                  <c:v>Share of Renewables</c:v>
                </c:pt>
                <c:pt idx="1">
                  <c:v>%</c:v>
                </c:pt>
              </c:strCache>
            </c:strRef>
          </c:tx>
          <c:spPr>
            <a:solidFill>
              <a:srgbClr val="58A618"/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9F91-444C-83CF-444829AE2B88}"/>
              </c:ext>
            </c:extLst>
          </c:dPt>
          <c:cat>
            <c:strRef>
              <c:f>Tabelle1!$AI$6:$AI$42</c:f>
              <c:strCache>
                <c:ptCount val="37"/>
                <c:pt idx="0">
                  <c:v>CY</c:v>
                </c:pt>
                <c:pt idx="1">
                  <c:v>ME</c:v>
                </c:pt>
                <c:pt idx="2">
                  <c:v>CZ</c:v>
                </c:pt>
                <c:pt idx="3">
                  <c:v>HU</c:v>
                </c:pt>
                <c:pt idx="4">
                  <c:v>PL</c:v>
                </c:pt>
                <c:pt idx="5">
                  <c:v>EE</c:v>
                </c:pt>
                <c:pt idx="6">
                  <c:v>NL</c:v>
                </c:pt>
                <c:pt idx="7">
                  <c:v>BG</c:v>
                </c:pt>
                <c:pt idx="8">
                  <c:v>FR</c:v>
                </c:pt>
                <c:pt idx="9">
                  <c:v>LU</c:v>
                </c:pt>
                <c:pt idx="10">
                  <c:v>BE</c:v>
                </c:pt>
                <c:pt idx="11">
                  <c:v>SK</c:v>
                </c:pt>
                <c:pt idx="12">
                  <c:v>RS</c:v>
                </c:pt>
                <c:pt idx="13">
                  <c:v>GB</c:v>
                </c:pt>
                <c:pt idx="14">
                  <c:v>TR</c:v>
                </c:pt>
                <c:pt idx="15">
                  <c:v>IE</c:v>
                </c:pt>
                <c:pt idx="16">
                  <c:v>SI</c:v>
                </c:pt>
                <c:pt idx="17">
                  <c:v>MK</c:v>
                </c:pt>
                <c:pt idx="18">
                  <c:v>ENTSO-E   *</c:v>
                </c:pt>
                <c:pt idx="19">
                  <c:v>DE</c:v>
                </c:pt>
                <c:pt idx="20">
                  <c:v>GR</c:v>
                </c:pt>
                <c:pt idx="21">
                  <c:v>BA</c:v>
                </c:pt>
                <c:pt idx="22">
                  <c:v>ES</c:v>
                </c:pt>
                <c:pt idx="23">
                  <c:v>IT</c:v>
                </c:pt>
                <c:pt idx="24">
                  <c:v>RO</c:v>
                </c:pt>
                <c:pt idx="25">
                  <c:v>FI</c:v>
                </c:pt>
                <c:pt idx="26">
                  <c:v>PT</c:v>
                </c:pt>
                <c:pt idx="27">
                  <c:v>LV</c:v>
                </c:pt>
                <c:pt idx="28">
                  <c:v>SE</c:v>
                </c:pt>
                <c:pt idx="29">
                  <c:v>CH</c:v>
                </c:pt>
                <c:pt idx="30">
                  <c:v>AT</c:v>
                </c:pt>
                <c:pt idx="31">
                  <c:v>LT</c:v>
                </c:pt>
                <c:pt idx="32">
                  <c:v>DK</c:v>
                </c:pt>
                <c:pt idx="33">
                  <c:v>HR</c:v>
                </c:pt>
                <c:pt idx="34">
                  <c:v>NO</c:v>
                </c:pt>
                <c:pt idx="35">
                  <c:v>AL</c:v>
                </c:pt>
                <c:pt idx="36">
                  <c:v>IS</c:v>
                </c:pt>
              </c:strCache>
            </c:strRef>
          </c:cat>
          <c:val>
            <c:numRef>
              <c:f>Tabelle1!$AL$6:$AL$42</c:f>
              <c:numCache>
                <c:formatCode>0%</c:formatCode>
                <c:ptCount val="37"/>
                <c:pt idx="0">
                  <c:v>0.04</c:v>
                </c:pt>
                <c:pt idx="1">
                  <c:v>5.5555555555555559E-2</c:v>
                </c:pt>
                <c:pt idx="2">
                  <c:v>0.10880195599022005</c:v>
                </c:pt>
                <c:pt idx="3">
                  <c:v>0.12056737588652482</c:v>
                </c:pt>
                <c:pt idx="4">
                  <c:v>0.12985359643539146</c:v>
                </c:pt>
                <c:pt idx="5">
                  <c:v>0.14563106796116504</c:v>
                </c:pt>
                <c:pt idx="6">
                  <c:v>0.16206261510128916</c:v>
                </c:pt>
                <c:pt idx="7">
                  <c:v>0.18912529550827425</c:v>
                </c:pt>
                <c:pt idx="8">
                  <c:v>0.19832300401020778</c:v>
                </c:pt>
                <c:pt idx="9">
                  <c:v>0.2</c:v>
                </c:pt>
                <c:pt idx="10">
                  <c:v>0.22575976845151954</c:v>
                </c:pt>
                <c:pt idx="11">
                  <c:v>0.23107569721115537</c:v>
                </c:pt>
                <c:pt idx="12">
                  <c:v>0.26515151515151514</c:v>
                </c:pt>
                <c:pt idx="13">
                  <c:v>0.27431770468859346</c:v>
                </c:pt>
                <c:pt idx="14">
                  <c:v>0.32256990679094544</c:v>
                </c:pt>
                <c:pt idx="15">
                  <c:v>0.32423208191126279</c:v>
                </c:pt>
                <c:pt idx="16">
                  <c:v>0.33333333333333331</c:v>
                </c:pt>
                <c:pt idx="17">
                  <c:v>0.34615384615384615</c:v>
                </c:pt>
                <c:pt idx="18">
                  <c:v>0.35538793692438037</c:v>
                </c:pt>
                <c:pt idx="19">
                  <c:v>0.35625836680053546</c:v>
                </c:pt>
                <c:pt idx="20">
                  <c:v>0.35982339955849896</c:v>
                </c:pt>
                <c:pt idx="21">
                  <c:v>0.36416184971098264</c:v>
                </c:pt>
                <c:pt idx="22">
                  <c:v>0.38429118773946358</c:v>
                </c:pt>
                <c:pt idx="23">
                  <c:v>0.39286987522281641</c:v>
                </c:pt>
                <c:pt idx="24">
                  <c:v>0.42833607907742999</c:v>
                </c:pt>
                <c:pt idx="25">
                  <c:v>0.46962962962962962</c:v>
                </c:pt>
                <c:pt idx="26">
                  <c:v>0.50816696914700543</c:v>
                </c:pt>
                <c:pt idx="27">
                  <c:v>0.52307692307692311</c:v>
                </c:pt>
                <c:pt idx="28">
                  <c:v>0.5609602021478205</c:v>
                </c:pt>
                <c:pt idx="29">
                  <c:v>0.6020710059171599</c:v>
                </c:pt>
                <c:pt idx="30">
                  <c:v>0.64</c:v>
                </c:pt>
                <c:pt idx="31">
                  <c:v>0.65625</c:v>
                </c:pt>
                <c:pt idx="32">
                  <c:v>0.68512110726643605</c:v>
                </c:pt>
                <c:pt idx="33">
                  <c:v>0.73553719008264473</c:v>
                </c:pt>
                <c:pt idx="34">
                  <c:v>0.97048730267673311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1-444C-83CF-444829AE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001216"/>
        <c:axId val="181043968"/>
      </c:barChart>
      <c:catAx>
        <c:axId val="18100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043968"/>
        <c:crosses val="autoZero"/>
        <c:auto val="1"/>
        <c:lblAlgn val="ctr"/>
        <c:lblOffset val="100"/>
        <c:tickLblSkip val="1"/>
        <c:noMultiLvlLbl val="0"/>
      </c:catAx>
      <c:valAx>
        <c:axId val="181043968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1001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Fossil Share in</a:t>
            </a:r>
            <a:r>
              <a:rPr lang="de-DE" baseline="0"/>
              <a:t> Net Generation,  2018</a:t>
            </a:r>
            <a:endParaRPr lang="de-D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12281325010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Tabelle1!$AD$4:$AD$5</c:f>
              <c:strCache>
                <c:ptCount val="2"/>
                <c:pt idx="0">
                  <c:v>Share of fossil generation</c:v>
                </c:pt>
                <c:pt idx="1">
                  <c:v>%</c:v>
                </c:pt>
              </c:strCache>
            </c:strRef>
          </c:tx>
          <c:spPr>
            <a:solidFill>
              <a:srgbClr val="E98300"/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01B3-48F6-A7AC-DF8CC4E26AF3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1B3-48F6-A7AC-DF8CC4E26AF3}"/>
              </c:ext>
            </c:extLst>
          </c:dPt>
          <c:cat>
            <c:strRef>
              <c:f>Tabelle1!$Z$6:$Z$42</c:f>
              <c:strCache>
                <c:ptCount val="37"/>
                <c:pt idx="0">
                  <c:v>AL</c:v>
                </c:pt>
                <c:pt idx="1">
                  <c:v>IS</c:v>
                </c:pt>
                <c:pt idx="2">
                  <c:v>CH</c:v>
                </c:pt>
                <c:pt idx="3">
                  <c:v>SE</c:v>
                </c:pt>
                <c:pt idx="4">
                  <c:v>NO</c:v>
                </c:pt>
                <c:pt idx="5">
                  <c:v>FR</c:v>
                </c:pt>
                <c:pt idx="6">
                  <c:v>LU</c:v>
                </c:pt>
                <c:pt idx="7">
                  <c:v>LT</c:v>
                </c:pt>
                <c:pt idx="8">
                  <c:v>FI</c:v>
                </c:pt>
                <c:pt idx="9">
                  <c:v>SK</c:v>
                </c:pt>
                <c:pt idx="10">
                  <c:v>AT</c:v>
                </c:pt>
                <c:pt idx="11">
                  <c:v>HR</c:v>
                </c:pt>
                <c:pt idx="12">
                  <c:v>SI</c:v>
                </c:pt>
                <c:pt idx="13">
                  <c:v>DK</c:v>
                </c:pt>
                <c:pt idx="14">
                  <c:v>BE</c:v>
                </c:pt>
                <c:pt idx="15">
                  <c:v>HU</c:v>
                </c:pt>
                <c:pt idx="16">
                  <c:v>ME</c:v>
                </c:pt>
                <c:pt idx="17">
                  <c:v>ES</c:v>
                </c:pt>
                <c:pt idx="18">
                  <c:v>RO</c:v>
                </c:pt>
                <c:pt idx="19">
                  <c:v>ENTSO-E   *</c:v>
                </c:pt>
                <c:pt idx="20">
                  <c:v>BG</c:v>
                </c:pt>
                <c:pt idx="21">
                  <c:v>PT</c:v>
                </c:pt>
                <c:pt idx="22">
                  <c:v>LV</c:v>
                </c:pt>
                <c:pt idx="23">
                  <c:v>DE</c:v>
                </c:pt>
                <c:pt idx="24">
                  <c:v>GB</c:v>
                </c:pt>
                <c:pt idx="25">
                  <c:v>CZ</c:v>
                </c:pt>
                <c:pt idx="26">
                  <c:v>IT</c:v>
                </c:pt>
                <c:pt idx="27">
                  <c:v>BA</c:v>
                </c:pt>
                <c:pt idx="28">
                  <c:v>GR</c:v>
                </c:pt>
                <c:pt idx="29">
                  <c:v>MK</c:v>
                </c:pt>
                <c:pt idx="30">
                  <c:v>IE</c:v>
                </c:pt>
                <c:pt idx="31">
                  <c:v>TR</c:v>
                </c:pt>
                <c:pt idx="32">
                  <c:v>RS</c:v>
                </c:pt>
                <c:pt idx="33">
                  <c:v>NL</c:v>
                </c:pt>
                <c:pt idx="34">
                  <c:v>EE</c:v>
                </c:pt>
                <c:pt idx="35">
                  <c:v>PL</c:v>
                </c:pt>
                <c:pt idx="36">
                  <c:v>CY</c:v>
                </c:pt>
              </c:strCache>
            </c:strRef>
          </c:cat>
          <c:val>
            <c:numRef>
              <c:f>Tabelle1!$AD$6:$AD$42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1.4792899408284025E-2</c:v>
                </c:pt>
                <c:pt idx="3">
                  <c:v>1.7687934301958304E-2</c:v>
                </c:pt>
                <c:pt idx="4">
                  <c:v>2.1962937542896365E-2</c:v>
                </c:pt>
                <c:pt idx="5">
                  <c:v>7.2001458257382425E-2</c:v>
                </c:pt>
                <c:pt idx="6">
                  <c:v>0.1</c:v>
                </c:pt>
                <c:pt idx="7">
                  <c:v>0.125</c:v>
                </c:pt>
                <c:pt idx="8">
                  <c:v>0.19259259259259259</c:v>
                </c:pt>
                <c:pt idx="9">
                  <c:v>0.20318725099601592</c:v>
                </c:pt>
                <c:pt idx="10">
                  <c:v>0.22222222222222221</c:v>
                </c:pt>
                <c:pt idx="11">
                  <c:v>0.26446280991735538</c:v>
                </c:pt>
                <c:pt idx="12">
                  <c:v>0.27333333333333332</c:v>
                </c:pt>
                <c:pt idx="13">
                  <c:v>0.31487889273356401</c:v>
                </c:pt>
                <c:pt idx="14">
                  <c:v>0.35166425470332857</c:v>
                </c:pt>
                <c:pt idx="15">
                  <c:v>0.3546099290780142</c:v>
                </c:pt>
                <c:pt idx="16">
                  <c:v>0.38888888888888884</c:v>
                </c:pt>
                <c:pt idx="17">
                  <c:v>0.3946360153256705</c:v>
                </c:pt>
                <c:pt idx="18">
                  <c:v>0.40032948929159801</c:v>
                </c:pt>
                <c:pt idx="19">
                  <c:v>0.40687600776147143</c:v>
                </c:pt>
                <c:pt idx="20">
                  <c:v>0.44208037825059104</c:v>
                </c:pt>
                <c:pt idx="21">
                  <c:v>0.46460980036297644</c:v>
                </c:pt>
                <c:pt idx="22">
                  <c:v>0.47692307692307695</c:v>
                </c:pt>
                <c:pt idx="23">
                  <c:v>0.50351405622489953</c:v>
                </c:pt>
                <c:pt idx="24">
                  <c:v>0.51329601119664092</c:v>
                </c:pt>
                <c:pt idx="25">
                  <c:v>0.5330073349633252</c:v>
                </c:pt>
                <c:pt idx="26">
                  <c:v>0.56577540106951862</c:v>
                </c:pt>
                <c:pt idx="27">
                  <c:v>0.62427745664739887</c:v>
                </c:pt>
                <c:pt idx="28">
                  <c:v>0.64017660044150115</c:v>
                </c:pt>
                <c:pt idx="29">
                  <c:v>0.65384615384615385</c:v>
                </c:pt>
                <c:pt idx="30">
                  <c:v>0.65870307167235498</c:v>
                </c:pt>
                <c:pt idx="31">
                  <c:v>0.67743009320905467</c:v>
                </c:pt>
                <c:pt idx="32">
                  <c:v>0.71464646464646464</c:v>
                </c:pt>
                <c:pt idx="33">
                  <c:v>0.81123388581952116</c:v>
                </c:pt>
                <c:pt idx="34">
                  <c:v>0.85436893203883502</c:v>
                </c:pt>
                <c:pt idx="35">
                  <c:v>0.86569064290260989</c:v>
                </c:pt>
                <c:pt idx="3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3-48F6-A7AC-DF8CC4E2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069696"/>
        <c:axId val="181071232"/>
      </c:barChart>
      <c:catAx>
        <c:axId val="18106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071232"/>
        <c:crosses val="autoZero"/>
        <c:auto val="1"/>
        <c:lblAlgn val="ctr"/>
        <c:lblOffset val="100"/>
        <c:tickLblSkip val="1"/>
        <c:noMultiLvlLbl val="0"/>
      </c:catAx>
      <c:valAx>
        <c:axId val="18107123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10696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Share of Renewables in Net Generation,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0648148148148148"/>
          <c:w val="0.89659492563429566"/>
          <c:h val="0.8570952557095681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Tabelle1!$AL$4:$AL$5</c:f>
              <c:strCache>
                <c:ptCount val="2"/>
                <c:pt idx="0">
                  <c:v>Share of Renewables</c:v>
                </c:pt>
                <c:pt idx="1">
                  <c:v>%</c:v>
                </c:pt>
              </c:strCache>
            </c:strRef>
          </c:tx>
          <c:spPr>
            <a:solidFill>
              <a:srgbClr val="58A618"/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1-9DAB-43D9-9257-704D07873759}"/>
              </c:ext>
            </c:extLst>
          </c:dPt>
          <c:cat>
            <c:strRef>
              <c:f>Tabelle1!$AI$6:$AI$42</c:f>
              <c:strCache>
                <c:ptCount val="37"/>
                <c:pt idx="0">
                  <c:v>CY</c:v>
                </c:pt>
                <c:pt idx="1">
                  <c:v>ME</c:v>
                </c:pt>
                <c:pt idx="2">
                  <c:v>CZ</c:v>
                </c:pt>
                <c:pt idx="3">
                  <c:v>HU</c:v>
                </c:pt>
                <c:pt idx="4">
                  <c:v>PL</c:v>
                </c:pt>
                <c:pt idx="5">
                  <c:v>EE</c:v>
                </c:pt>
                <c:pt idx="6">
                  <c:v>NL</c:v>
                </c:pt>
                <c:pt idx="7">
                  <c:v>BG</c:v>
                </c:pt>
                <c:pt idx="8">
                  <c:v>FR</c:v>
                </c:pt>
                <c:pt idx="9">
                  <c:v>LU</c:v>
                </c:pt>
                <c:pt idx="10">
                  <c:v>BE</c:v>
                </c:pt>
                <c:pt idx="11">
                  <c:v>SK</c:v>
                </c:pt>
                <c:pt idx="12">
                  <c:v>RS</c:v>
                </c:pt>
                <c:pt idx="13">
                  <c:v>GB</c:v>
                </c:pt>
                <c:pt idx="14">
                  <c:v>TR</c:v>
                </c:pt>
                <c:pt idx="15">
                  <c:v>IE</c:v>
                </c:pt>
                <c:pt idx="16">
                  <c:v>SI</c:v>
                </c:pt>
                <c:pt idx="17">
                  <c:v>MK</c:v>
                </c:pt>
                <c:pt idx="18">
                  <c:v>ENTSO-E   *</c:v>
                </c:pt>
                <c:pt idx="19">
                  <c:v>DE</c:v>
                </c:pt>
                <c:pt idx="20">
                  <c:v>GR</c:v>
                </c:pt>
                <c:pt idx="21">
                  <c:v>BA</c:v>
                </c:pt>
                <c:pt idx="22">
                  <c:v>ES</c:v>
                </c:pt>
                <c:pt idx="23">
                  <c:v>IT</c:v>
                </c:pt>
                <c:pt idx="24">
                  <c:v>RO</c:v>
                </c:pt>
                <c:pt idx="25">
                  <c:v>FI</c:v>
                </c:pt>
                <c:pt idx="26">
                  <c:v>PT</c:v>
                </c:pt>
                <c:pt idx="27">
                  <c:v>LV</c:v>
                </c:pt>
                <c:pt idx="28">
                  <c:v>SE</c:v>
                </c:pt>
                <c:pt idx="29">
                  <c:v>CH</c:v>
                </c:pt>
                <c:pt idx="30">
                  <c:v>AT</c:v>
                </c:pt>
                <c:pt idx="31">
                  <c:v>LT</c:v>
                </c:pt>
                <c:pt idx="32">
                  <c:v>DK</c:v>
                </c:pt>
                <c:pt idx="33">
                  <c:v>HR</c:v>
                </c:pt>
                <c:pt idx="34">
                  <c:v>NO</c:v>
                </c:pt>
                <c:pt idx="35">
                  <c:v>AL</c:v>
                </c:pt>
                <c:pt idx="36">
                  <c:v>IS</c:v>
                </c:pt>
              </c:strCache>
            </c:strRef>
          </c:cat>
          <c:val>
            <c:numRef>
              <c:f>Tabelle1!$AL$6:$AL$42</c:f>
              <c:numCache>
                <c:formatCode>0%</c:formatCode>
                <c:ptCount val="37"/>
                <c:pt idx="0">
                  <c:v>0.04</c:v>
                </c:pt>
                <c:pt idx="1">
                  <c:v>5.5555555555555559E-2</c:v>
                </c:pt>
                <c:pt idx="2">
                  <c:v>0.10880195599022005</c:v>
                </c:pt>
                <c:pt idx="3">
                  <c:v>0.12056737588652482</c:v>
                </c:pt>
                <c:pt idx="4">
                  <c:v>0.12985359643539146</c:v>
                </c:pt>
                <c:pt idx="5">
                  <c:v>0.14563106796116504</c:v>
                </c:pt>
                <c:pt idx="6">
                  <c:v>0.16206261510128916</c:v>
                </c:pt>
                <c:pt idx="7">
                  <c:v>0.18912529550827425</c:v>
                </c:pt>
                <c:pt idx="8">
                  <c:v>0.19832300401020778</c:v>
                </c:pt>
                <c:pt idx="9">
                  <c:v>0.2</c:v>
                </c:pt>
                <c:pt idx="10">
                  <c:v>0.22575976845151954</c:v>
                </c:pt>
                <c:pt idx="11">
                  <c:v>0.23107569721115537</c:v>
                </c:pt>
                <c:pt idx="12">
                  <c:v>0.26515151515151514</c:v>
                </c:pt>
                <c:pt idx="13">
                  <c:v>0.27431770468859346</c:v>
                </c:pt>
                <c:pt idx="14">
                  <c:v>0.32256990679094544</c:v>
                </c:pt>
                <c:pt idx="15">
                  <c:v>0.32423208191126279</c:v>
                </c:pt>
                <c:pt idx="16">
                  <c:v>0.33333333333333331</c:v>
                </c:pt>
                <c:pt idx="17">
                  <c:v>0.34615384615384615</c:v>
                </c:pt>
                <c:pt idx="18">
                  <c:v>0.35538793692438037</c:v>
                </c:pt>
                <c:pt idx="19">
                  <c:v>0.35625836680053546</c:v>
                </c:pt>
                <c:pt idx="20">
                  <c:v>0.35982339955849896</c:v>
                </c:pt>
                <c:pt idx="21">
                  <c:v>0.36416184971098264</c:v>
                </c:pt>
                <c:pt idx="22">
                  <c:v>0.38429118773946358</c:v>
                </c:pt>
                <c:pt idx="23">
                  <c:v>0.39286987522281641</c:v>
                </c:pt>
                <c:pt idx="24">
                  <c:v>0.42833607907742999</c:v>
                </c:pt>
                <c:pt idx="25">
                  <c:v>0.46962962962962962</c:v>
                </c:pt>
                <c:pt idx="26">
                  <c:v>0.50816696914700543</c:v>
                </c:pt>
                <c:pt idx="27">
                  <c:v>0.52307692307692311</c:v>
                </c:pt>
                <c:pt idx="28">
                  <c:v>0.5609602021478205</c:v>
                </c:pt>
                <c:pt idx="29">
                  <c:v>0.6020710059171599</c:v>
                </c:pt>
                <c:pt idx="30">
                  <c:v>0.64</c:v>
                </c:pt>
                <c:pt idx="31">
                  <c:v>0.65625</c:v>
                </c:pt>
                <c:pt idx="32">
                  <c:v>0.68512110726643605</c:v>
                </c:pt>
                <c:pt idx="33">
                  <c:v>0.73553719008264473</c:v>
                </c:pt>
                <c:pt idx="34">
                  <c:v>0.97048730267673311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B-43D9-9257-704D07873759}"/>
            </c:ext>
          </c:extLst>
        </c:ser>
        <c:ser>
          <c:idx val="0"/>
          <c:order val="1"/>
          <c:invertIfNegative val="0"/>
          <c:dPt>
            <c:idx val="18"/>
            <c:invertIfNegative val="0"/>
            <c:bubble3D val="0"/>
            <c:spPr>
              <a:solidFill>
                <a:srgbClr val="005AAF"/>
              </a:solidFill>
            </c:spPr>
            <c:extLst>
              <c:ext xmlns:c16="http://schemas.microsoft.com/office/drawing/2014/chart" uri="{C3380CC4-5D6E-409C-BE32-E72D297353CC}">
                <c16:uniqueId val="{00000004-9DAB-43D9-9257-704D07873759}"/>
              </c:ext>
            </c:extLst>
          </c:dPt>
          <c:cat>
            <c:strRef>
              <c:f>Tabelle1!$AI$6:$AI$42</c:f>
              <c:strCache>
                <c:ptCount val="37"/>
                <c:pt idx="0">
                  <c:v>CY</c:v>
                </c:pt>
                <c:pt idx="1">
                  <c:v>ME</c:v>
                </c:pt>
                <c:pt idx="2">
                  <c:v>CZ</c:v>
                </c:pt>
                <c:pt idx="3">
                  <c:v>HU</c:v>
                </c:pt>
                <c:pt idx="4">
                  <c:v>PL</c:v>
                </c:pt>
                <c:pt idx="5">
                  <c:v>EE</c:v>
                </c:pt>
                <c:pt idx="6">
                  <c:v>NL</c:v>
                </c:pt>
                <c:pt idx="7">
                  <c:v>BG</c:v>
                </c:pt>
                <c:pt idx="8">
                  <c:v>FR</c:v>
                </c:pt>
                <c:pt idx="9">
                  <c:v>LU</c:v>
                </c:pt>
                <c:pt idx="10">
                  <c:v>BE</c:v>
                </c:pt>
                <c:pt idx="11">
                  <c:v>SK</c:v>
                </c:pt>
                <c:pt idx="12">
                  <c:v>RS</c:v>
                </c:pt>
                <c:pt idx="13">
                  <c:v>GB</c:v>
                </c:pt>
                <c:pt idx="14">
                  <c:v>TR</c:v>
                </c:pt>
                <c:pt idx="15">
                  <c:v>IE</c:v>
                </c:pt>
                <c:pt idx="16">
                  <c:v>SI</c:v>
                </c:pt>
                <c:pt idx="17">
                  <c:v>MK</c:v>
                </c:pt>
                <c:pt idx="18">
                  <c:v>ENTSO-E   *</c:v>
                </c:pt>
                <c:pt idx="19">
                  <c:v>DE</c:v>
                </c:pt>
                <c:pt idx="20">
                  <c:v>GR</c:v>
                </c:pt>
                <c:pt idx="21">
                  <c:v>BA</c:v>
                </c:pt>
                <c:pt idx="22">
                  <c:v>ES</c:v>
                </c:pt>
                <c:pt idx="23">
                  <c:v>IT</c:v>
                </c:pt>
                <c:pt idx="24">
                  <c:v>RO</c:v>
                </c:pt>
                <c:pt idx="25">
                  <c:v>FI</c:v>
                </c:pt>
                <c:pt idx="26">
                  <c:v>PT</c:v>
                </c:pt>
                <c:pt idx="27">
                  <c:v>LV</c:v>
                </c:pt>
                <c:pt idx="28">
                  <c:v>SE</c:v>
                </c:pt>
                <c:pt idx="29">
                  <c:v>CH</c:v>
                </c:pt>
                <c:pt idx="30">
                  <c:v>AT</c:v>
                </c:pt>
                <c:pt idx="31">
                  <c:v>LT</c:v>
                </c:pt>
                <c:pt idx="32">
                  <c:v>DK</c:v>
                </c:pt>
                <c:pt idx="33">
                  <c:v>HR</c:v>
                </c:pt>
                <c:pt idx="34">
                  <c:v>NO</c:v>
                </c:pt>
                <c:pt idx="35">
                  <c:v>AL</c:v>
                </c:pt>
                <c:pt idx="36">
                  <c:v>IS</c:v>
                </c:pt>
              </c:strCache>
            </c:strRef>
          </c:cat>
          <c:val>
            <c:numRef>
              <c:f>Tabelle1!$AM$6:$AM$42</c:f>
              <c:numCache>
                <c:formatCode>0%</c:formatCode>
                <c:ptCount val="37"/>
                <c:pt idx="0">
                  <c:v>0</c:v>
                </c:pt>
                <c:pt idx="1">
                  <c:v>-0.38888888888888884</c:v>
                </c:pt>
                <c:pt idx="2">
                  <c:v>-0.4767726161369194</c:v>
                </c:pt>
                <c:pt idx="3">
                  <c:v>-0.15957446808510639</c:v>
                </c:pt>
                <c:pt idx="4">
                  <c:v>-0.77593889242520697</c:v>
                </c:pt>
                <c:pt idx="5">
                  <c:v>0</c:v>
                </c:pt>
                <c:pt idx="6">
                  <c:v>-0.15377532228360957</c:v>
                </c:pt>
                <c:pt idx="7">
                  <c:v>-0.40425531914893625</c:v>
                </c:pt>
                <c:pt idx="8">
                  <c:v>-1.0572366022602989E-2</c:v>
                </c:pt>
                <c:pt idx="9">
                  <c:v>0</c:v>
                </c:pt>
                <c:pt idx="10">
                  <c:v>-3.0390738060781481E-2</c:v>
                </c:pt>
                <c:pt idx="11">
                  <c:v>-0.1195219123505976</c:v>
                </c:pt>
                <c:pt idx="12">
                  <c:v>-0.70959595959595956</c:v>
                </c:pt>
                <c:pt idx="13">
                  <c:v>-5.8782365290412877E-2</c:v>
                </c:pt>
                <c:pt idx="14">
                  <c:v>-0.37483355525965378</c:v>
                </c:pt>
                <c:pt idx="15">
                  <c:v>-7.1672354948805458E-2</c:v>
                </c:pt>
                <c:pt idx="16">
                  <c:v>-0.26666666666666666</c:v>
                </c:pt>
                <c:pt idx="17">
                  <c:v>-0.51923076923076927</c:v>
                </c:pt>
                <c:pt idx="18">
                  <c:v>-0.19709764696236781</c:v>
                </c:pt>
                <c:pt idx="19">
                  <c:v>-0.34755689424364122</c:v>
                </c:pt>
                <c:pt idx="20">
                  <c:v>-0.32891832229580575</c:v>
                </c:pt>
                <c:pt idx="21">
                  <c:v>-0.62427745664739887</c:v>
                </c:pt>
                <c:pt idx="22">
                  <c:v>-0.14291187739463601</c:v>
                </c:pt>
                <c:pt idx="23">
                  <c:v>-0.11051693404634581</c:v>
                </c:pt>
                <c:pt idx="24">
                  <c:v>-0.23064250411861614</c:v>
                </c:pt>
                <c:pt idx="25">
                  <c:v>-8.5925925925925919E-2</c:v>
                </c:pt>
                <c:pt idx="26">
                  <c:v>-0.2014519056261343</c:v>
                </c:pt>
                <c:pt idx="27">
                  <c:v>0</c:v>
                </c:pt>
                <c:pt idx="28">
                  <c:v>-3.1585596967782688E-3</c:v>
                </c:pt>
                <c:pt idx="29">
                  <c:v>0</c:v>
                </c:pt>
                <c:pt idx="30">
                  <c:v>-2.6666666666666668E-2</c:v>
                </c:pt>
                <c:pt idx="31">
                  <c:v>0</c:v>
                </c:pt>
                <c:pt idx="32">
                  <c:v>-0.23875432525951559</c:v>
                </c:pt>
                <c:pt idx="33">
                  <c:v>-0.10743801652892562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B-43D9-9257-704D0787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493568"/>
        <c:axId val="182495104"/>
      </c:barChart>
      <c:catAx>
        <c:axId val="18249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182495104"/>
        <c:crosses val="autoZero"/>
        <c:auto val="1"/>
        <c:lblAlgn val="ctr"/>
        <c:lblOffset val="100"/>
        <c:tickLblSkip val="1"/>
        <c:noMultiLvlLbl val="0"/>
      </c:catAx>
      <c:valAx>
        <c:axId val="182495104"/>
        <c:scaling>
          <c:orientation val="minMax"/>
          <c:max val="1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1824935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chemeClr val="tx1"/>
          </a:solidFill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173763</xdr:colOff>
      <xdr:row>2</xdr:row>
      <xdr:rowOff>36639</xdr:rowOff>
    </xdr:from>
    <xdr:ext cx="47624" cy="53974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8738" y="865314"/>
          <a:ext cx="47624" cy="5397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3</xdr:row>
      <xdr:rowOff>1</xdr:rowOff>
    </xdr:from>
    <xdr:to>
      <xdr:col>63</xdr:col>
      <xdr:colOff>233082</xdr:colOff>
      <xdr:row>23</xdr:row>
      <xdr:rowOff>11207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0</xdr:colOff>
      <xdr:row>3</xdr:row>
      <xdr:rowOff>1</xdr:rowOff>
    </xdr:from>
    <xdr:to>
      <xdr:col>72</xdr:col>
      <xdr:colOff>233082</xdr:colOff>
      <xdr:row>23</xdr:row>
      <xdr:rowOff>11207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55</xdr:col>
      <xdr:colOff>233081</xdr:colOff>
      <xdr:row>23</xdr:row>
      <xdr:rowOff>11206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24</xdr:row>
      <xdr:rowOff>0</xdr:rowOff>
    </xdr:from>
    <xdr:to>
      <xdr:col>72</xdr:col>
      <xdr:colOff>233082</xdr:colOff>
      <xdr:row>51</xdr:row>
      <xdr:rowOff>11206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24</xdr:row>
      <xdr:rowOff>0</xdr:rowOff>
    </xdr:from>
    <xdr:to>
      <xdr:col>64</xdr:col>
      <xdr:colOff>233081</xdr:colOff>
      <xdr:row>51</xdr:row>
      <xdr:rowOff>319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0</xdr:colOff>
      <xdr:row>53</xdr:row>
      <xdr:rowOff>4838</xdr:rowOff>
    </xdr:from>
    <xdr:to>
      <xdr:col>65</xdr:col>
      <xdr:colOff>233082</xdr:colOff>
      <xdr:row>80</xdr:row>
      <xdr:rowOff>22091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52</xdr:row>
      <xdr:rowOff>174170</xdr:rowOff>
    </xdr:from>
    <xdr:to>
      <xdr:col>75</xdr:col>
      <xdr:colOff>233082</xdr:colOff>
      <xdr:row>80</xdr:row>
      <xdr:rowOff>22091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25</xdr:row>
      <xdr:rowOff>0</xdr:rowOff>
    </xdr:from>
    <xdr:to>
      <xdr:col>56</xdr:col>
      <xdr:colOff>233080</xdr:colOff>
      <xdr:row>52</xdr:row>
      <xdr:rowOff>319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217714</xdr:colOff>
      <xdr:row>51</xdr:row>
      <xdr:rowOff>163286</xdr:rowOff>
    </xdr:from>
    <xdr:to>
      <xdr:col>43</xdr:col>
      <xdr:colOff>464403</xdr:colOff>
      <xdr:row>84</xdr:row>
      <xdr:rowOff>32154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53</xdr:row>
      <xdr:rowOff>0</xdr:rowOff>
    </xdr:from>
    <xdr:to>
      <xdr:col>56</xdr:col>
      <xdr:colOff>233080</xdr:colOff>
      <xdr:row>80</xdr:row>
      <xdr:rowOff>22091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48</xdr:col>
      <xdr:colOff>233081</xdr:colOff>
      <xdr:row>52</xdr:row>
      <xdr:rowOff>319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54</xdr:row>
      <xdr:rowOff>0</xdr:rowOff>
    </xdr:from>
    <xdr:to>
      <xdr:col>48</xdr:col>
      <xdr:colOff>233081</xdr:colOff>
      <xdr:row>81</xdr:row>
      <xdr:rowOff>22731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83</xdr:row>
      <xdr:rowOff>0</xdr:rowOff>
    </xdr:from>
    <xdr:to>
      <xdr:col>48</xdr:col>
      <xdr:colOff>233081</xdr:colOff>
      <xdr:row>110</xdr:row>
      <xdr:rowOff>22731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0</xdr:colOff>
      <xdr:row>81</xdr:row>
      <xdr:rowOff>0</xdr:rowOff>
    </xdr:from>
    <xdr:to>
      <xdr:col>66</xdr:col>
      <xdr:colOff>233081</xdr:colOff>
      <xdr:row>108</xdr:row>
      <xdr:rowOff>17637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83</xdr:row>
      <xdr:rowOff>0</xdr:rowOff>
    </xdr:from>
    <xdr:to>
      <xdr:col>57</xdr:col>
      <xdr:colOff>233080</xdr:colOff>
      <xdr:row>110</xdr:row>
      <xdr:rowOff>17637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168002</xdr:colOff>
      <xdr:row>1</xdr:row>
      <xdr:rowOff>0</xdr:rowOff>
    </xdr:from>
    <xdr:ext cx="47624" cy="53974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5852" y="1732089"/>
          <a:ext cx="47624" cy="539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38</xdr:row>
      <xdr:rowOff>0</xdr:rowOff>
    </xdr:from>
    <xdr:to>
      <xdr:col>35</xdr:col>
      <xdr:colOff>47625</xdr:colOff>
      <xdr:row>38</xdr:row>
      <xdr:rowOff>53975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9479" y="5626223"/>
          <a:ext cx="47625" cy="5397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39</xdr:row>
      <xdr:rowOff>0</xdr:rowOff>
    </xdr:from>
    <xdr:to>
      <xdr:col>35</xdr:col>
      <xdr:colOff>47625</xdr:colOff>
      <xdr:row>39</xdr:row>
      <xdr:rowOff>53975</xdr:rowOff>
    </xdr:to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9479" y="5892923"/>
          <a:ext cx="47625" cy="53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0</xdr:row>
      <xdr:rowOff>0</xdr:rowOff>
    </xdr:from>
    <xdr:to>
      <xdr:col>66</xdr:col>
      <xdr:colOff>268941</xdr:colOff>
      <xdr:row>28</xdr:row>
      <xdr:rowOff>149574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0</xdr:row>
      <xdr:rowOff>0</xdr:rowOff>
    </xdr:from>
    <xdr:to>
      <xdr:col>75</xdr:col>
      <xdr:colOff>268941</xdr:colOff>
      <xdr:row>28</xdr:row>
      <xdr:rowOff>149574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482917</xdr:colOff>
      <xdr:row>1</xdr:row>
      <xdr:rowOff>145897</xdr:rowOff>
    </xdr:from>
    <xdr:to>
      <xdr:col>37</xdr:col>
      <xdr:colOff>483552</xdr:colOff>
      <xdr:row>1</xdr:row>
      <xdr:rowOff>146532</xdr:rowOff>
    </xdr:to>
    <xdr:sp macro="" textlink="">
      <xdr:nvSpPr>
        <xdr:cNvPr id="8" name="Shape 562">
          <a:extLst>
            <a:ext uri="{FF2B5EF4-FFF2-40B4-BE49-F238E27FC236}">
              <a16:creationId xmlns:a16="http://schemas.microsoft.com/office/drawing/2014/main" id="{BCBC7D97-2268-4DCA-ACCC-DA85348C6C24}"/>
            </a:ext>
          </a:extLst>
        </xdr:cNvPr>
        <xdr:cNvSpPr/>
      </xdr:nvSpPr>
      <xdr:spPr>
        <a:xfrm>
          <a:off x="1216342" y="145897"/>
          <a:ext cx="635" cy="635"/>
        </a:xfrm>
        <a:custGeom>
          <a:avLst/>
          <a:gdLst/>
          <a:ahLst/>
          <a:cxnLst/>
          <a:rect l="0" t="0" r="0" b="0"/>
          <a:pathLst>
            <a:path w="635" h="635">
              <a:moveTo>
                <a:pt x="12" y="0"/>
              </a:moveTo>
              <a:close/>
            </a:path>
          </a:pathLst>
        </a:custGeom>
        <a:solidFill>
          <a:srgbClr val="DCDDDE">
            <a:alpha val="50000"/>
          </a:srgbClr>
        </a:solidFill>
      </xdr:spPr>
    </xdr:sp>
    <xdr:clientData/>
  </xdr:twoCellAnchor>
  <xdr:twoCellAnchor editAs="oneCell">
    <xdr:from>
      <xdr:col>38</xdr:col>
      <xdr:colOff>555142</xdr:colOff>
      <xdr:row>1</xdr:row>
      <xdr:rowOff>145897</xdr:rowOff>
    </xdr:from>
    <xdr:to>
      <xdr:col>39</xdr:col>
      <xdr:colOff>8781</xdr:colOff>
      <xdr:row>1</xdr:row>
      <xdr:rowOff>146532</xdr:rowOff>
    </xdr:to>
    <xdr:sp macro="" textlink="">
      <xdr:nvSpPr>
        <xdr:cNvPr id="9" name="Shape 563">
          <a:extLst>
            <a:ext uri="{FF2B5EF4-FFF2-40B4-BE49-F238E27FC236}">
              <a16:creationId xmlns:a16="http://schemas.microsoft.com/office/drawing/2014/main" id="{37967C0B-C314-4E95-BEBC-82DB8197BC07}"/>
            </a:ext>
          </a:extLst>
        </xdr:cNvPr>
        <xdr:cNvSpPr/>
      </xdr:nvSpPr>
      <xdr:spPr>
        <a:xfrm>
          <a:off x="1907692" y="145897"/>
          <a:ext cx="635" cy="635"/>
        </a:xfrm>
        <a:custGeom>
          <a:avLst/>
          <a:gdLst/>
          <a:ahLst/>
          <a:cxnLst/>
          <a:rect l="0" t="0" r="0" b="0"/>
          <a:pathLst>
            <a:path w="635" h="635">
              <a:moveTo>
                <a:pt x="12" y="0"/>
              </a:moveTo>
              <a:close/>
            </a:path>
          </a:pathLst>
        </a:custGeom>
        <a:solidFill>
          <a:srgbClr val="DCDDDE"/>
        </a:solidFill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142261</xdr:colOff>
      <xdr:row>2</xdr:row>
      <xdr:rowOff>36639</xdr:rowOff>
    </xdr:from>
    <xdr:ext cx="47624" cy="53974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236" y="2103564"/>
          <a:ext cx="47624" cy="5397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30079</xdr:colOff>
      <xdr:row>1</xdr:row>
      <xdr:rowOff>210552</xdr:rowOff>
    </xdr:from>
    <xdr:to>
      <xdr:col>35</xdr:col>
      <xdr:colOff>155407</xdr:colOff>
      <xdr:row>7</xdr:row>
      <xdr:rowOff>85224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546679" y="534402"/>
          <a:ext cx="5611728" cy="19225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Tabelle Generation</a:t>
          </a:r>
          <a:r>
            <a:rPr lang="de-DE" sz="1100" baseline="0"/>
            <a:t> und Capacity bereinigt nach "pdf to excel" (03.02.2020)</a:t>
          </a:r>
        </a:p>
        <a:p>
          <a:pPr algn="l"/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115736</xdr:colOff>
      <xdr:row>1</xdr:row>
      <xdr:rowOff>43300</xdr:rowOff>
    </xdr:from>
    <xdr:to>
      <xdr:col>37</xdr:col>
      <xdr:colOff>163361</xdr:colOff>
      <xdr:row>1</xdr:row>
      <xdr:rowOff>97275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1061" y="691000"/>
          <a:ext cx="47625" cy="5397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38</xdr:row>
      <xdr:rowOff>0</xdr:rowOff>
    </xdr:from>
    <xdr:to>
      <xdr:col>38</xdr:col>
      <xdr:colOff>47625</xdr:colOff>
      <xdr:row>38</xdr:row>
      <xdr:rowOff>53975</xdr:rowOff>
    </xdr:to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8061" y="5626223"/>
          <a:ext cx="47625" cy="5397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39</xdr:row>
      <xdr:rowOff>0</xdr:rowOff>
    </xdr:from>
    <xdr:to>
      <xdr:col>38</xdr:col>
      <xdr:colOff>47625</xdr:colOff>
      <xdr:row>39</xdr:row>
      <xdr:rowOff>53975</xdr:rowOff>
    </xdr:to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8074" y="5892923"/>
          <a:ext cx="47625" cy="53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12</xdr:row>
      <xdr:rowOff>94060</xdr:rowOff>
    </xdr:from>
    <xdr:to>
      <xdr:col>5</xdr:col>
      <xdr:colOff>652462</xdr:colOff>
      <xdr:row>33</xdr:row>
      <xdr:rowOff>53560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433386</xdr:colOff>
      <xdr:row>47</xdr:row>
      <xdr:rowOff>0</xdr:rowOff>
    </xdr:from>
    <xdr:to>
      <xdr:col>6</xdr:col>
      <xdr:colOff>100011</xdr:colOff>
      <xdr:row>67</xdr:row>
      <xdr:rowOff>150000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739140</xdr:colOff>
      <xdr:row>17</xdr:row>
      <xdr:rowOff>7620</xdr:rowOff>
    </xdr:from>
    <xdr:to>
      <xdr:col>11</xdr:col>
      <xdr:colOff>520065</xdr:colOff>
      <xdr:row>24</xdr:row>
      <xdr:rowOff>150495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082790" y="3322320"/>
          <a:ext cx="2581275" cy="1476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Anleitung:</a:t>
          </a:r>
        </a:p>
        <a:p>
          <a:pPr algn="l"/>
          <a:endParaRPr lang="de-DE" sz="1100"/>
        </a:p>
        <a:p>
          <a:pPr algn="l"/>
          <a:r>
            <a:rPr lang="de-DE" sz="1100"/>
            <a:t>1)</a:t>
          </a:r>
          <a:r>
            <a:rPr lang="de-DE" sz="1100" baseline="0"/>
            <a:t> Land oben auswählen</a:t>
          </a:r>
        </a:p>
        <a:p>
          <a:pPr algn="l"/>
          <a:r>
            <a:rPr lang="de-DE" sz="1100" baseline="0"/>
            <a:t>2) Chart kopieren</a:t>
          </a:r>
        </a:p>
        <a:p>
          <a:pPr algn="l"/>
          <a:r>
            <a:rPr lang="de-DE" sz="1100" baseline="0"/>
            <a:t>3) Chart als "Geräteunabhängige Bitmap" oder dergleichen in jeweiligen Länderreport einfügen</a:t>
          </a:r>
          <a:endParaRPr lang="de-DE" sz="1100"/>
        </a:p>
      </xdr:txBody>
    </xdr:sp>
    <xdr:clientData/>
  </xdr:twoCellAnchor>
  <xdr:twoCellAnchor>
    <xdr:from>
      <xdr:col>7</xdr:col>
      <xdr:colOff>211931</xdr:colOff>
      <xdr:row>49</xdr:row>
      <xdr:rowOff>150019</xdr:rowOff>
    </xdr:from>
    <xdr:to>
      <xdr:col>11</xdr:col>
      <xdr:colOff>227409</xdr:colOff>
      <xdr:row>57</xdr:row>
      <xdr:rowOff>102394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6555581" y="9636919"/>
          <a:ext cx="2815828" cy="1476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Anleitung:</a:t>
          </a:r>
        </a:p>
        <a:p>
          <a:pPr algn="l"/>
          <a:endParaRPr lang="de-DE" sz="1100"/>
        </a:p>
        <a:p>
          <a:pPr algn="l"/>
          <a:r>
            <a:rPr lang="de-DE" sz="1100"/>
            <a:t>1)</a:t>
          </a:r>
          <a:r>
            <a:rPr lang="de-DE" sz="1100" baseline="0"/>
            <a:t> Land oben auswählen</a:t>
          </a:r>
        </a:p>
        <a:p>
          <a:pPr algn="l"/>
          <a:r>
            <a:rPr lang="de-DE" sz="1100" baseline="0"/>
            <a:t>2) Chart kopieren</a:t>
          </a:r>
        </a:p>
        <a:p>
          <a:pPr algn="l"/>
          <a:r>
            <a:rPr lang="de-DE" sz="1100" baseline="0"/>
            <a:t>3) Chart als "Geräteunabhängige Bitmap" oder dergleichen in jeweiligen Länderreport einfügen</a:t>
          </a:r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50426</xdr:colOff>
      <xdr:row>30</xdr:row>
      <xdr:rowOff>124385</xdr:rowOff>
    </xdr:from>
    <xdr:to>
      <xdr:col>31</xdr:col>
      <xdr:colOff>50426</xdr:colOff>
      <xdr:row>51</xdr:row>
      <xdr:rowOff>83885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922763-A57B-4812-AB9F-E4A37CCE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xtern/Advanced%20Power/2020_Strompreise%20&amp;%20PV%20Strategie/03_Analysen%20&amp;%20AP/2020%20Q1_Kohle%20Kapazit&#228;ten%20DE%20-%20Ausstiegsgeset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FU_SK"/>
      <sheetName val="FU_BK"/>
    </sheetNames>
    <sheetDataSet>
      <sheetData sheetId="0">
        <row r="3">
          <cell r="C3">
            <v>2020</v>
          </cell>
          <cell r="D3">
            <v>17588</v>
          </cell>
          <cell r="E3">
            <v>21614</v>
          </cell>
          <cell r="F3">
            <v>39202</v>
          </cell>
        </row>
        <row r="4">
          <cell r="C4">
            <v>2021</v>
          </cell>
          <cell r="D4">
            <v>17291</v>
          </cell>
          <cell r="E4">
            <v>17656</v>
          </cell>
          <cell r="F4">
            <v>34947</v>
          </cell>
        </row>
        <row r="5">
          <cell r="C5">
            <v>2022</v>
          </cell>
          <cell r="D5">
            <v>15939</v>
          </cell>
          <cell r="E5">
            <v>14392</v>
          </cell>
          <cell r="F5">
            <v>30331</v>
          </cell>
        </row>
        <row r="6">
          <cell r="C6">
            <v>2023</v>
          </cell>
          <cell r="D6">
            <v>14610</v>
          </cell>
          <cell r="E6">
            <v>13693</v>
          </cell>
          <cell r="F6">
            <v>28303</v>
          </cell>
        </row>
        <row r="7">
          <cell r="C7">
            <v>2024</v>
          </cell>
          <cell r="D7">
            <v>14610</v>
          </cell>
          <cell r="E7">
            <v>12312</v>
          </cell>
          <cell r="F7">
            <v>26922</v>
          </cell>
        </row>
        <row r="8">
          <cell r="C8">
            <v>2025</v>
          </cell>
          <cell r="D8">
            <v>14289</v>
          </cell>
          <cell r="E8">
            <v>11248</v>
          </cell>
          <cell r="F8">
            <v>25537</v>
          </cell>
        </row>
        <row r="9">
          <cell r="C9">
            <v>2026</v>
          </cell>
          <cell r="D9">
            <v>13631</v>
          </cell>
          <cell r="E9">
            <v>9204</v>
          </cell>
          <cell r="F9">
            <v>22835</v>
          </cell>
        </row>
        <row r="10">
          <cell r="C10">
            <v>2027</v>
          </cell>
          <cell r="D10">
            <v>13631</v>
          </cell>
          <cell r="E10">
            <v>8072</v>
          </cell>
          <cell r="F10">
            <v>21703</v>
          </cell>
        </row>
        <row r="11">
          <cell r="C11">
            <v>2028</v>
          </cell>
          <cell r="D11">
            <v>12503</v>
          </cell>
          <cell r="E11">
            <v>7846</v>
          </cell>
          <cell r="F11">
            <v>20349</v>
          </cell>
        </row>
        <row r="12">
          <cell r="C12">
            <v>2029</v>
          </cell>
          <cell r="D12">
            <v>10917</v>
          </cell>
          <cell r="E12">
            <v>7510</v>
          </cell>
          <cell r="F12">
            <v>18427</v>
          </cell>
        </row>
        <row r="13">
          <cell r="C13">
            <v>2030</v>
          </cell>
          <cell r="D13">
            <v>8711</v>
          </cell>
          <cell r="E13">
            <v>7230</v>
          </cell>
          <cell r="F13">
            <v>15941</v>
          </cell>
        </row>
        <row r="14">
          <cell r="C14">
            <v>2031</v>
          </cell>
          <cell r="D14">
            <v>8711</v>
          </cell>
          <cell r="E14">
            <v>5759</v>
          </cell>
          <cell r="F14">
            <v>14470</v>
          </cell>
        </row>
        <row r="15">
          <cell r="C15">
            <v>2032</v>
          </cell>
          <cell r="D15">
            <v>8711</v>
          </cell>
          <cell r="E15">
            <v>3309</v>
          </cell>
          <cell r="F15">
            <v>12020</v>
          </cell>
        </row>
        <row r="16">
          <cell r="C16">
            <v>2033</v>
          </cell>
          <cell r="D16">
            <v>8711</v>
          </cell>
          <cell r="E16">
            <v>1052</v>
          </cell>
          <cell r="F16">
            <v>9763</v>
          </cell>
        </row>
        <row r="17">
          <cell r="C17">
            <v>2034</v>
          </cell>
          <cell r="D17">
            <v>8711</v>
          </cell>
          <cell r="E17">
            <v>0</v>
          </cell>
          <cell r="F17">
            <v>8711</v>
          </cell>
        </row>
        <row r="18">
          <cell r="C18">
            <v>2035</v>
          </cell>
          <cell r="D18">
            <v>7811</v>
          </cell>
          <cell r="E18">
            <v>0</v>
          </cell>
          <cell r="F18">
            <v>7811</v>
          </cell>
        </row>
        <row r="19">
          <cell r="C19">
            <v>2036</v>
          </cell>
          <cell r="D19">
            <v>6061</v>
          </cell>
          <cell r="E19">
            <v>0</v>
          </cell>
          <cell r="F19">
            <v>6061</v>
          </cell>
        </row>
        <row r="20">
          <cell r="C20">
            <v>2037</v>
          </cell>
          <cell r="D20">
            <v>6061</v>
          </cell>
          <cell r="E20">
            <v>0</v>
          </cell>
          <cell r="F20">
            <v>6061</v>
          </cell>
        </row>
        <row r="21">
          <cell r="C21">
            <v>2038</v>
          </cell>
          <cell r="D21">
            <v>6061</v>
          </cell>
          <cell r="E21">
            <v>0</v>
          </cell>
          <cell r="F21">
            <v>6061</v>
          </cell>
        </row>
        <row r="22">
          <cell r="C22">
            <v>2039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2040</v>
          </cell>
          <cell r="D23">
            <v>0</v>
          </cell>
          <cell r="E23">
            <v>0</v>
          </cell>
          <cell r="F23">
            <v>0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Rumpf" refreshedDate="44006.744355671297" backgroundQuery="1" missingItemsLimit="0" createdVersion="6" refreshedVersion="6" minRefreshableVersion="3" recordCount="2590" xr:uid="{00000000-000A-0000-FFFF-FFFF01000000}">
  <cacheSource type="external" connectionId="1"/>
  <cacheFields count="5">
    <cacheField name="Country" numFmtId="0">
      <sharedItems count="39">
        <s v="AT"/>
        <s v="BA"/>
        <s v="BE"/>
        <s v="BG"/>
        <s v="CH"/>
        <s v="CY"/>
        <s v="CZ"/>
        <s v="DE"/>
        <s v="DK"/>
        <s v="EE"/>
        <s v="ES"/>
        <s v="FI"/>
        <s v="FR"/>
        <s v="GB"/>
        <s v="GR"/>
        <s v="HR"/>
        <s v="HU"/>
        <s v="IE"/>
        <s v="IS"/>
        <s v="IT"/>
        <s v="LT"/>
        <s v="LU"/>
        <s v="LV"/>
        <s v="ME"/>
        <s v="MK"/>
        <s v="NI"/>
        <s v="NL"/>
        <s v="NO"/>
        <s v="PL"/>
        <s v="PT"/>
        <s v="RO"/>
        <s v="RS"/>
        <s v="SE"/>
        <s v="SI"/>
        <s v="SK"/>
        <s v="ENTSO-E"/>
        <s v="TR"/>
        <s v="EU"/>
        <s v="AL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Unit" numFmtId="0">
      <sharedItems count="1">
        <s v="MW"/>
      </sharedItems>
    </cacheField>
    <cacheField name="Technology" numFmtId="0">
      <sharedItems count="15">
        <s v="Nuclear"/>
        <s v="Lignite"/>
        <s v="Hard coal"/>
        <s v="Fossil gases"/>
        <s v="Other fossil fuels"/>
        <s v="Wind onshore"/>
        <s v="Wind offshore"/>
        <s v="Solar PV"/>
        <s v="Bioenergy"/>
        <s v="Renewable Hydro"/>
        <s v="Pumped Hydro"/>
        <s v="Lowest load"/>
        <s v="Highest load"/>
        <s v="Others"/>
        <s v="Hydro" f="1"/>
      </sharedItems>
    </cacheField>
    <cacheField name="Wert" numFmtId="0">
      <sharedItems containsSemiMixedTypes="0" containsString="0" containsNumber="1" minValue="0" maxValue="589716"/>
    </cacheField>
  </cacheFields>
  <calculatedItems count="1">
    <calculatedItem formula="Technology['Renewable Hydro']+Technology['Pumped Hydro']">
      <pivotArea cacheIndex="1" outline="0" fieldPosition="0">
        <references count="1">
          <reference field="3" count="1">
            <x v="1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Rumpf" refreshedDate="44006.774715856482" backgroundQuery="1" createdVersion="6" refreshedVersion="6" minRefreshableVersion="3" recordCount="2220" xr:uid="{00000000-000A-0000-FFFF-FFFF0A000000}">
  <cacheSource type="external" connectionId="9"/>
  <cacheFields count="5">
    <cacheField name="Country" numFmtId="0">
      <sharedItems count="39">
        <s v="AT"/>
        <s v="BA"/>
        <s v="BE"/>
        <s v="BG"/>
        <s v="CH"/>
        <s v="CY"/>
        <s v="CZ"/>
        <s v="DE"/>
        <s v="DK"/>
        <s v="EE"/>
        <s v="ES"/>
        <s v="FI"/>
        <s v="FR"/>
        <s v="GB"/>
        <s v="GR"/>
        <s v="HR"/>
        <s v="HU"/>
        <s v="IE"/>
        <s v="IS"/>
        <s v="IT"/>
        <s v="LT"/>
        <s v="LU"/>
        <s v="LV"/>
        <s v="ME"/>
        <s v="MK"/>
        <s v="NI"/>
        <s v="NL"/>
        <s v="NO"/>
        <s v="PL"/>
        <s v="PT"/>
        <s v="RO"/>
        <s v="RS"/>
        <s v="SE"/>
        <s v="SI"/>
        <s v="SK"/>
        <s v="ENTSO-E"/>
        <s v="TR"/>
        <s v="EU"/>
        <s v="AL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8"/>
        <n v="2017"/>
      </sharedItems>
    </cacheField>
    <cacheField name="Unit" numFmtId="0">
      <sharedItems count="1">
        <s v="TWh"/>
      </sharedItems>
    </cacheField>
    <cacheField name="Technology" numFmtId="0">
      <sharedItems count="14">
        <s v="Nuclear"/>
        <s v="Hard coal"/>
        <s v="Lignite"/>
        <s v="Fossil gases"/>
        <s v="Other fossil fuels"/>
        <s v="Wind onshore"/>
        <s v="Wind offshore"/>
        <s v="Solar PV"/>
        <s v="Hydro"/>
        <s v="Bioenergy"/>
        <s v="Others"/>
        <s v="Consumption"/>
        <s v="Renewable Hydro" u="1"/>
        <s v="Pumped Hydro" u="1"/>
      </sharedItems>
    </cacheField>
    <cacheField name="Wert" numFmtId="0">
      <sharedItems containsSemiMixedTypes="0" containsString="0" containsNumber="1" minValue="0" maxValue="3681.7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0">
  <r>
    <x v="0"/>
    <x v="0"/>
    <x v="0"/>
    <x v="0"/>
    <n v="0"/>
  </r>
  <r>
    <x v="0"/>
    <x v="0"/>
    <x v="0"/>
    <x v="1"/>
    <n v="0"/>
  </r>
  <r>
    <x v="0"/>
    <x v="0"/>
    <x v="0"/>
    <x v="2"/>
    <n v="1171"/>
  </r>
  <r>
    <x v="0"/>
    <x v="0"/>
    <x v="0"/>
    <x v="3"/>
    <n v="5119"/>
  </r>
  <r>
    <x v="0"/>
    <x v="0"/>
    <x v="0"/>
    <x v="4"/>
    <n v="1557"/>
  </r>
  <r>
    <x v="0"/>
    <x v="0"/>
    <x v="0"/>
    <x v="5"/>
    <n v="1555"/>
  </r>
  <r>
    <x v="0"/>
    <x v="0"/>
    <x v="0"/>
    <x v="6"/>
    <n v="0"/>
  </r>
  <r>
    <x v="0"/>
    <x v="0"/>
    <x v="0"/>
    <x v="7"/>
    <n v="324"/>
  </r>
  <r>
    <x v="0"/>
    <x v="0"/>
    <x v="0"/>
    <x v="8"/>
    <n v="426"/>
  </r>
  <r>
    <x v="0"/>
    <x v="0"/>
    <x v="0"/>
    <x v="9"/>
    <n v="13427"/>
  </r>
  <r>
    <x v="0"/>
    <x v="0"/>
    <x v="0"/>
    <x v="10"/>
    <n v="0"/>
  </r>
  <r>
    <x v="0"/>
    <x v="0"/>
    <x v="0"/>
    <x v="11"/>
    <n v="4673"/>
  </r>
  <r>
    <x v="0"/>
    <x v="0"/>
    <x v="0"/>
    <x v="12"/>
    <n v="11471"/>
  </r>
  <r>
    <x v="0"/>
    <x v="0"/>
    <x v="0"/>
    <x v="13"/>
    <n v="244"/>
  </r>
  <r>
    <x v="1"/>
    <x v="0"/>
    <x v="0"/>
    <x v="0"/>
    <n v="0"/>
  </r>
  <r>
    <x v="1"/>
    <x v="0"/>
    <x v="0"/>
    <x v="1"/>
    <n v="1578"/>
  </r>
  <r>
    <x v="1"/>
    <x v="0"/>
    <x v="0"/>
    <x v="2"/>
    <n v="0"/>
  </r>
  <r>
    <x v="1"/>
    <x v="0"/>
    <x v="0"/>
    <x v="3"/>
    <n v="0"/>
  </r>
  <r>
    <x v="1"/>
    <x v="0"/>
    <x v="0"/>
    <x v="4"/>
    <n v="0"/>
  </r>
  <r>
    <x v="1"/>
    <x v="0"/>
    <x v="0"/>
    <x v="5"/>
    <n v="0"/>
  </r>
  <r>
    <x v="1"/>
    <x v="0"/>
    <x v="0"/>
    <x v="6"/>
    <n v="0"/>
  </r>
  <r>
    <x v="1"/>
    <x v="0"/>
    <x v="0"/>
    <x v="7"/>
    <n v="0"/>
  </r>
  <r>
    <x v="1"/>
    <x v="0"/>
    <x v="0"/>
    <x v="8"/>
    <n v="0"/>
  </r>
  <r>
    <x v="1"/>
    <x v="0"/>
    <x v="0"/>
    <x v="9"/>
    <n v="1620"/>
  </r>
  <r>
    <x v="1"/>
    <x v="0"/>
    <x v="0"/>
    <x v="10"/>
    <n v="440"/>
  </r>
  <r>
    <x v="1"/>
    <x v="0"/>
    <x v="0"/>
    <x v="11"/>
    <n v="833"/>
  </r>
  <r>
    <x v="1"/>
    <x v="0"/>
    <x v="0"/>
    <x v="12"/>
    <n v="2207"/>
  </r>
  <r>
    <x v="1"/>
    <x v="0"/>
    <x v="0"/>
    <x v="13"/>
    <n v="0"/>
  </r>
  <r>
    <x v="2"/>
    <x v="0"/>
    <x v="0"/>
    <x v="0"/>
    <n v="5926"/>
  </r>
  <r>
    <x v="2"/>
    <x v="0"/>
    <x v="0"/>
    <x v="1"/>
    <n v="0"/>
  </r>
  <r>
    <x v="2"/>
    <x v="0"/>
    <x v="0"/>
    <x v="2"/>
    <n v="410"/>
  </r>
  <r>
    <x v="2"/>
    <x v="0"/>
    <x v="0"/>
    <x v="3"/>
    <n v="6019"/>
  </r>
  <r>
    <x v="2"/>
    <x v="0"/>
    <x v="0"/>
    <x v="4"/>
    <n v="210"/>
  </r>
  <r>
    <x v="2"/>
    <x v="0"/>
    <x v="0"/>
    <x v="5"/>
    <n v="1939"/>
  </r>
  <r>
    <x v="2"/>
    <x v="0"/>
    <x v="0"/>
    <x v="6"/>
    <n v="0"/>
  </r>
  <r>
    <x v="2"/>
    <x v="0"/>
    <x v="0"/>
    <x v="7"/>
    <n v="2986"/>
  </r>
  <r>
    <x v="2"/>
    <x v="0"/>
    <x v="0"/>
    <x v="8"/>
    <n v="1190"/>
  </r>
  <r>
    <x v="2"/>
    <x v="0"/>
    <x v="0"/>
    <x v="9"/>
    <n v="117"/>
  </r>
  <r>
    <x v="2"/>
    <x v="0"/>
    <x v="0"/>
    <x v="10"/>
    <n v="1308"/>
  </r>
  <r>
    <x v="2"/>
    <x v="0"/>
    <x v="0"/>
    <x v="11"/>
    <n v="6623"/>
  </r>
  <r>
    <x v="2"/>
    <x v="0"/>
    <x v="0"/>
    <x v="12"/>
    <n v="13110"/>
  </r>
  <r>
    <x v="2"/>
    <x v="0"/>
    <x v="0"/>
    <x v="13"/>
    <n v="0"/>
  </r>
  <r>
    <x v="3"/>
    <x v="0"/>
    <x v="0"/>
    <x v="0"/>
    <n v="2000"/>
  </r>
  <r>
    <x v="3"/>
    <x v="0"/>
    <x v="0"/>
    <x v="1"/>
    <n v="4199"/>
  </r>
  <r>
    <x v="3"/>
    <x v="0"/>
    <x v="0"/>
    <x v="2"/>
    <n v="1548"/>
  </r>
  <r>
    <x v="3"/>
    <x v="0"/>
    <x v="0"/>
    <x v="3"/>
    <n v="838"/>
  </r>
  <r>
    <x v="3"/>
    <x v="0"/>
    <x v="0"/>
    <x v="4"/>
    <n v="0"/>
  </r>
  <r>
    <x v="3"/>
    <x v="0"/>
    <x v="0"/>
    <x v="5"/>
    <n v="701"/>
  </r>
  <r>
    <x v="3"/>
    <x v="0"/>
    <x v="0"/>
    <x v="6"/>
    <n v="0"/>
  </r>
  <r>
    <x v="3"/>
    <x v="0"/>
    <x v="0"/>
    <x v="7"/>
    <n v="1039"/>
  </r>
  <r>
    <x v="3"/>
    <x v="0"/>
    <x v="0"/>
    <x v="8"/>
    <n v="47"/>
  </r>
  <r>
    <x v="3"/>
    <x v="0"/>
    <x v="0"/>
    <x v="9"/>
    <n v="2327"/>
  </r>
  <r>
    <x v="3"/>
    <x v="0"/>
    <x v="0"/>
    <x v="10"/>
    <n v="864"/>
  </r>
  <r>
    <x v="3"/>
    <x v="0"/>
    <x v="0"/>
    <x v="11"/>
    <n v="2656"/>
  </r>
  <r>
    <x v="3"/>
    <x v="0"/>
    <x v="0"/>
    <x v="12"/>
    <n v="7106"/>
  </r>
  <r>
    <x v="3"/>
    <x v="0"/>
    <x v="0"/>
    <x v="13"/>
    <n v="0"/>
  </r>
  <r>
    <x v="4"/>
    <x v="0"/>
    <x v="0"/>
    <x v="0"/>
    <n v="3308"/>
  </r>
  <r>
    <x v="4"/>
    <x v="0"/>
    <x v="0"/>
    <x v="1"/>
    <n v="0"/>
  </r>
  <r>
    <x v="4"/>
    <x v="0"/>
    <x v="0"/>
    <x v="2"/>
    <n v="0"/>
  </r>
  <r>
    <x v="4"/>
    <x v="0"/>
    <x v="0"/>
    <x v="3"/>
    <n v="0"/>
  </r>
  <r>
    <x v="4"/>
    <x v="0"/>
    <x v="0"/>
    <x v="4"/>
    <n v="426"/>
  </r>
  <r>
    <x v="4"/>
    <x v="0"/>
    <x v="0"/>
    <x v="5"/>
    <n v="49"/>
  </r>
  <r>
    <x v="4"/>
    <x v="0"/>
    <x v="0"/>
    <x v="6"/>
    <n v="0"/>
  </r>
  <r>
    <x v="4"/>
    <x v="0"/>
    <x v="0"/>
    <x v="7"/>
    <n v="437"/>
  </r>
  <r>
    <x v="4"/>
    <x v="0"/>
    <x v="0"/>
    <x v="8"/>
    <n v="289"/>
  </r>
  <r>
    <x v="4"/>
    <x v="0"/>
    <x v="0"/>
    <x v="9"/>
    <n v="12422"/>
  </r>
  <r>
    <x v="4"/>
    <x v="0"/>
    <x v="0"/>
    <x v="10"/>
    <n v="1383"/>
  </r>
  <r>
    <x v="4"/>
    <x v="0"/>
    <x v="0"/>
    <x v="11"/>
    <n v="2843"/>
  </r>
  <r>
    <x v="4"/>
    <x v="0"/>
    <x v="0"/>
    <x v="12"/>
    <n v="7721"/>
  </r>
  <r>
    <x v="4"/>
    <x v="0"/>
    <x v="0"/>
    <x v="13"/>
    <n v="243"/>
  </r>
  <r>
    <x v="5"/>
    <x v="0"/>
    <x v="0"/>
    <x v="0"/>
    <n v="0"/>
  </r>
  <r>
    <x v="5"/>
    <x v="0"/>
    <x v="0"/>
    <x v="1"/>
    <n v="0"/>
  </r>
  <r>
    <x v="5"/>
    <x v="0"/>
    <x v="0"/>
    <x v="2"/>
    <n v="0"/>
  </r>
  <r>
    <x v="5"/>
    <x v="0"/>
    <x v="0"/>
    <x v="3"/>
    <n v="0"/>
  </r>
  <r>
    <x v="5"/>
    <x v="0"/>
    <x v="0"/>
    <x v="4"/>
    <n v="1478"/>
  </r>
  <r>
    <x v="5"/>
    <x v="0"/>
    <x v="0"/>
    <x v="5"/>
    <n v="144"/>
  </r>
  <r>
    <x v="5"/>
    <x v="0"/>
    <x v="0"/>
    <x v="6"/>
    <n v="0"/>
  </r>
  <r>
    <x v="5"/>
    <x v="0"/>
    <x v="0"/>
    <x v="7"/>
    <n v="0"/>
  </r>
  <r>
    <x v="5"/>
    <x v="0"/>
    <x v="0"/>
    <x v="8"/>
    <n v="0"/>
  </r>
  <r>
    <x v="5"/>
    <x v="0"/>
    <x v="0"/>
    <x v="9"/>
    <n v="0"/>
  </r>
  <r>
    <x v="5"/>
    <x v="0"/>
    <x v="0"/>
    <x v="10"/>
    <n v="0"/>
  </r>
  <r>
    <x v="5"/>
    <x v="0"/>
    <x v="0"/>
    <x v="11"/>
    <n v="248"/>
  </r>
  <r>
    <x v="5"/>
    <x v="0"/>
    <x v="0"/>
    <x v="12"/>
    <n v="871"/>
  </r>
  <r>
    <x v="5"/>
    <x v="0"/>
    <x v="0"/>
    <x v="13"/>
    <n v="0"/>
  </r>
  <r>
    <x v="6"/>
    <x v="0"/>
    <x v="0"/>
    <x v="0"/>
    <n v="4040"/>
  </r>
  <r>
    <x v="6"/>
    <x v="0"/>
    <x v="0"/>
    <x v="1"/>
    <n v="0"/>
  </r>
  <r>
    <x v="6"/>
    <x v="0"/>
    <x v="0"/>
    <x v="2"/>
    <n v="0"/>
  </r>
  <r>
    <x v="6"/>
    <x v="0"/>
    <x v="0"/>
    <x v="3"/>
    <n v="2023"/>
  </r>
  <r>
    <x v="6"/>
    <x v="0"/>
    <x v="0"/>
    <x v="4"/>
    <n v="10031"/>
  </r>
  <r>
    <x v="6"/>
    <x v="0"/>
    <x v="0"/>
    <x v="5"/>
    <n v="278"/>
  </r>
  <r>
    <x v="6"/>
    <x v="0"/>
    <x v="0"/>
    <x v="6"/>
    <n v="0"/>
  </r>
  <r>
    <x v="6"/>
    <x v="0"/>
    <x v="0"/>
    <x v="7"/>
    <n v="2061"/>
  </r>
  <r>
    <x v="6"/>
    <x v="0"/>
    <x v="0"/>
    <x v="8"/>
    <n v="0"/>
  </r>
  <r>
    <x v="6"/>
    <x v="0"/>
    <x v="0"/>
    <x v="9"/>
    <n v="1090"/>
  </r>
  <r>
    <x v="6"/>
    <x v="0"/>
    <x v="0"/>
    <x v="10"/>
    <n v="1171"/>
  </r>
  <r>
    <x v="6"/>
    <x v="0"/>
    <x v="0"/>
    <x v="11"/>
    <n v="4290"/>
  </r>
  <r>
    <x v="6"/>
    <x v="0"/>
    <x v="0"/>
    <x v="12"/>
    <n v="10058"/>
  </r>
  <r>
    <x v="6"/>
    <x v="0"/>
    <x v="0"/>
    <x v="13"/>
    <n v="0"/>
  </r>
  <r>
    <x v="7"/>
    <x v="0"/>
    <x v="0"/>
    <x v="0"/>
    <n v="12068"/>
  </r>
  <r>
    <x v="7"/>
    <x v="0"/>
    <x v="0"/>
    <x v="1"/>
    <n v="21179"/>
  </r>
  <r>
    <x v="7"/>
    <x v="0"/>
    <x v="0"/>
    <x v="2"/>
    <n v="27175"/>
  </r>
  <r>
    <x v="7"/>
    <x v="0"/>
    <x v="0"/>
    <x v="3"/>
    <n v="28047"/>
  </r>
  <r>
    <x v="7"/>
    <x v="0"/>
    <x v="0"/>
    <x v="4"/>
    <n v="8866"/>
  </r>
  <r>
    <x v="7"/>
    <x v="0"/>
    <x v="0"/>
    <x v="5"/>
    <n v="36561"/>
  </r>
  <r>
    <x v="7"/>
    <x v="0"/>
    <x v="0"/>
    <x v="6"/>
    <n v="0"/>
  </r>
  <r>
    <x v="7"/>
    <x v="0"/>
    <x v="0"/>
    <x v="7"/>
    <n v="37981"/>
  </r>
  <r>
    <x v="7"/>
    <x v="0"/>
    <x v="0"/>
    <x v="8"/>
    <n v="6359"/>
  </r>
  <r>
    <x v="7"/>
    <x v="0"/>
    <x v="0"/>
    <x v="9"/>
    <n v="4312"/>
  </r>
  <r>
    <x v="7"/>
    <x v="0"/>
    <x v="0"/>
    <x v="10"/>
    <n v="6350"/>
  </r>
  <r>
    <x v="7"/>
    <x v="0"/>
    <x v="0"/>
    <x v="11"/>
    <n v="36709"/>
  </r>
  <r>
    <x v="7"/>
    <x v="0"/>
    <x v="0"/>
    <x v="12"/>
    <n v="81738"/>
  </r>
  <r>
    <x v="7"/>
    <x v="0"/>
    <x v="0"/>
    <x v="13"/>
    <n v="586"/>
  </r>
  <r>
    <x v="8"/>
    <x v="0"/>
    <x v="0"/>
    <x v="0"/>
    <n v="0"/>
  </r>
  <r>
    <x v="8"/>
    <x v="0"/>
    <x v="0"/>
    <x v="1"/>
    <n v="0"/>
  </r>
  <r>
    <x v="8"/>
    <x v="0"/>
    <x v="0"/>
    <x v="2"/>
    <n v="4923"/>
  </r>
  <r>
    <x v="8"/>
    <x v="0"/>
    <x v="0"/>
    <x v="3"/>
    <n v="3087"/>
  </r>
  <r>
    <x v="8"/>
    <x v="0"/>
    <x v="0"/>
    <x v="4"/>
    <n v="903"/>
  </r>
  <r>
    <x v="8"/>
    <x v="0"/>
    <x v="0"/>
    <x v="5"/>
    <n v="4897"/>
  </r>
  <r>
    <x v="8"/>
    <x v="0"/>
    <x v="0"/>
    <x v="6"/>
    <n v="0"/>
  </r>
  <r>
    <x v="8"/>
    <x v="0"/>
    <x v="0"/>
    <x v="7"/>
    <n v="606"/>
  </r>
  <r>
    <x v="8"/>
    <x v="0"/>
    <x v="0"/>
    <x v="8"/>
    <n v="608"/>
  </r>
  <r>
    <x v="8"/>
    <x v="0"/>
    <x v="0"/>
    <x v="9"/>
    <n v="9"/>
  </r>
  <r>
    <x v="8"/>
    <x v="0"/>
    <x v="0"/>
    <x v="10"/>
    <n v="0"/>
  </r>
  <r>
    <x v="8"/>
    <x v="0"/>
    <x v="0"/>
    <x v="11"/>
    <n v="2296"/>
  </r>
  <r>
    <x v="8"/>
    <x v="0"/>
    <x v="0"/>
    <x v="12"/>
    <n v="6002"/>
  </r>
  <r>
    <x v="8"/>
    <x v="0"/>
    <x v="0"/>
    <x v="13"/>
    <n v="0"/>
  </r>
  <r>
    <x v="9"/>
    <x v="0"/>
    <x v="0"/>
    <x v="0"/>
    <n v="0"/>
  </r>
  <r>
    <x v="9"/>
    <x v="0"/>
    <x v="0"/>
    <x v="1"/>
    <n v="0"/>
  </r>
  <r>
    <x v="9"/>
    <x v="0"/>
    <x v="0"/>
    <x v="2"/>
    <n v="0"/>
  </r>
  <r>
    <x v="9"/>
    <x v="0"/>
    <x v="0"/>
    <x v="3"/>
    <n v="241"/>
  </r>
  <r>
    <x v="9"/>
    <x v="0"/>
    <x v="0"/>
    <x v="4"/>
    <n v="2059"/>
  </r>
  <r>
    <x v="9"/>
    <x v="0"/>
    <x v="0"/>
    <x v="5"/>
    <n v="301"/>
  </r>
  <r>
    <x v="9"/>
    <x v="0"/>
    <x v="0"/>
    <x v="6"/>
    <n v="0"/>
  </r>
  <r>
    <x v="9"/>
    <x v="0"/>
    <x v="0"/>
    <x v="7"/>
    <n v="0"/>
  </r>
  <r>
    <x v="9"/>
    <x v="0"/>
    <x v="0"/>
    <x v="8"/>
    <n v="101"/>
  </r>
  <r>
    <x v="9"/>
    <x v="0"/>
    <x v="0"/>
    <x v="9"/>
    <n v="8"/>
  </r>
  <r>
    <x v="9"/>
    <x v="0"/>
    <x v="0"/>
    <x v="10"/>
    <n v="0"/>
  </r>
  <r>
    <x v="9"/>
    <x v="0"/>
    <x v="0"/>
    <x v="11"/>
    <n v="492"/>
  </r>
  <r>
    <x v="9"/>
    <x v="0"/>
    <x v="0"/>
    <x v="12"/>
    <n v="1490"/>
  </r>
  <r>
    <x v="9"/>
    <x v="0"/>
    <x v="0"/>
    <x v="13"/>
    <n v="1"/>
  </r>
  <r>
    <x v="10"/>
    <x v="0"/>
    <x v="0"/>
    <x v="0"/>
    <n v="7866"/>
  </r>
  <r>
    <x v="10"/>
    <x v="0"/>
    <x v="0"/>
    <x v="1"/>
    <n v="1102"/>
  </r>
  <r>
    <x v="10"/>
    <x v="0"/>
    <x v="0"/>
    <x v="2"/>
    <n v="10468"/>
  </r>
  <r>
    <x v="10"/>
    <x v="0"/>
    <x v="0"/>
    <x v="3"/>
    <n v="33388"/>
  </r>
  <r>
    <x v="10"/>
    <x v="0"/>
    <x v="0"/>
    <x v="4"/>
    <n v="3151"/>
  </r>
  <r>
    <x v="10"/>
    <x v="0"/>
    <x v="0"/>
    <x v="5"/>
    <n v="22772"/>
  </r>
  <r>
    <x v="10"/>
    <x v="0"/>
    <x v="0"/>
    <x v="6"/>
    <n v="0"/>
  </r>
  <r>
    <x v="10"/>
    <x v="0"/>
    <x v="0"/>
    <x v="7"/>
    <n v="6902"/>
  </r>
  <r>
    <x v="10"/>
    <x v="0"/>
    <x v="0"/>
    <x v="8"/>
    <n v="716"/>
  </r>
  <r>
    <x v="10"/>
    <x v="0"/>
    <x v="0"/>
    <x v="9"/>
    <n v="16945"/>
  </r>
  <r>
    <x v="10"/>
    <x v="0"/>
    <x v="0"/>
    <x v="10"/>
    <n v="2451"/>
  </r>
  <r>
    <x v="10"/>
    <x v="0"/>
    <x v="0"/>
    <x v="11"/>
    <n v="18176"/>
  </r>
  <r>
    <x v="10"/>
    <x v="0"/>
    <x v="0"/>
    <x v="12"/>
    <n v="38666"/>
  </r>
  <r>
    <x v="10"/>
    <x v="0"/>
    <x v="0"/>
    <x v="13"/>
    <n v="548"/>
  </r>
  <r>
    <x v="11"/>
    <x v="0"/>
    <x v="0"/>
    <x v="0"/>
    <n v="2752"/>
  </r>
  <r>
    <x v="11"/>
    <x v="0"/>
    <x v="0"/>
    <x v="1"/>
    <n v="0"/>
  </r>
  <r>
    <x v="11"/>
    <x v="0"/>
    <x v="0"/>
    <x v="2"/>
    <n v="3445"/>
  </r>
  <r>
    <x v="11"/>
    <x v="0"/>
    <x v="0"/>
    <x v="3"/>
    <n v="1824"/>
  </r>
  <r>
    <x v="11"/>
    <x v="0"/>
    <x v="0"/>
    <x v="4"/>
    <n v="3434"/>
  </r>
  <r>
    <x v="11"/>
    <x v="0"/>
    <x v="0"/>
    <x v="5"/>
    <n v="504"/>
  </r>
  <r>
    <x v="11"/>
    <x v="0"/>
    <x v="0"/>
    <x v="6"/>
    <n v="0"/>
  </r>
  <r>
    <x v="11"/>
    <x v="0"/>
    <x v="0"/>
    <x v="7"/>
    <n v="0"/>
  </r>
  <r>
    <x v="11"/>
    <x v="0"/>
    <x v="0"/>
    <x v="8"/>
    <n v="2085"/>
  </r>
  <r>
    <x v="11"/>
    <x v="0"/>
    <x v="0"/>
    <x v="9"/>
    <n v="3234"/>
  </r>
  <r>
    <x v="11"/>
    <x v="0"/>
    <x v="0"/>
    <x v="10"/>
    <n v="0"/>
  </r>
  <r>
    <x v="11"/>
    <x v="0"/>
    <x v="0"/>
    <x v="11"/>
    <n v="5901"/>
  </r>
  <r>
    <x v="11"/>
    <x v="0"/>
    <x v="0"/>
    <x v="12"/>
    <n v="14367"/>
  </r>
  <r>
    <x v="11"/>
    <x v="0"/>
    <x v="0"/>
    <x v="13"/>
    <n v="175"/>
  </r>
  <r>
    <x v="12"/>
    <x v="0"/>
    <x v="0"/>
    <x v="0"/>
    <n v="63130"/>
  </r>
  <r>
    <x v="12"/>
    <x v="0"/>
    <x v="0"/>
    <x v="1"/>
    <n v="0"/>
  </r>
  <r>
    <x v="12"/>
    <x v="0"/>
    <x v="0"/>
    <x v="2"/>
    <n v="5119"/>
  </r>
  <r>
    <x v="12"/>
    <x v="0"/>
    <x v="0"/>
    <x v="3"/>
    <n v="10409"/>
  </r>
  <r>
    <x v="12"/>
    <x v="0"/>
    <x v="0"/>
    <x v="4"/>
    <n v="8883"/>
  </r>
  <r>
    <x v="12"/>
    <x v="0"/>
    <x v="0"/>
    <x v="5"/>
    <n v="9120"/>
  </r>
  <r>
    <x v="12"/>
    <x v="0"/>
    <x v="0"/>
    <x v="6"/>
    <n v="0"/>
  </r>
  <r>
    <x v="12"/>
    <x v="0"/>
    <x v="0"/>
    <x v="7"/>
    <n v="5292"/>
  </r>
  <r>
    <x v="12"/>
    <x v="0"/>
    <x v="0"/>
    <x v="8"/>
    <n v="1254"/>
  </r>
  <r>
    <x v="12"/>
    <x v="0"/>
    <x v="0"/>
    <x v="9"/>
    <n v="23704"/>
  </r>
  <r>
    <x v="12"/>
    <x v="0"/>
    <x v="0"/>
    <x v="10"/>
    <n v="1707"/>
  </r>
  <r>
    <x v="12"/>
    <x v="0"/>
    <x v="0"/>
    <x v="11"/>
    <n v="29493"/>
  </r>
  <r>
    <x v="12"/>
    <x v="0"/>
    <x v="0"/>
    <x v="12"/>
    <n v="82538"/>
  </r>
  <r>
    <x v="12"/>
    <x v="0"/>
    <x v="0"/>
    <x v="13"/>
    <n v="325"/>
  </r>
  <r>
    <x v="13"/>
    <x v="0"/>
    <x v="0"/>
    <x v="0"/>
    <n v="9749"/>
  </r>
  <r>
    <x v="13"/>
    <x v="0"/>
    <x v="0"/>
    <x v="1"/>
    <n v="0"/>
  </r>
  <r>
    <x v="13"/>
    <x v="0"/>
    <x v="0"/>
    <x v="2"/>
    <n v="20524"/>
  </r>
  <r>
    <x v="13"/>
    <x v="0"/>
    <x v="0"/>
    <x v="3"/>
    <n v="30485"/>
  </r>
  <r>
    <x v="13"/>
    <x v="0"/>
    <x v="0"/>
    <x v="4"/>
    <n v="2278"/>
  </r>
  <r>
    <x v="13"/>
    <x v="0"/>
    <x v="0"/>
    <x v="5"/>
    <n v="6528"/>
  </r>
  <r>
    <x v="13"/>
    <x v="0"/>
    <x v="0"/>
    <x v="6"/>
    <n v="0"/>
  </r>
  <r>
    <x v="13"/>
    <x v="0"/>
    <x v="0"/>
    <x v="7"/>
    <n v="0"/>
  </r>
  <r>
    <x v="13"/>
    <x v="0"/>
    <x v="0"/>
    <x v="8"/>
    <n v="1398"/>
  </r>
  <r>
    <x v="13"/>
    <x v="0"/>
    <x v="0"/>
    <x v="9"/>
    <n v="1070"/>
  </r>
  <r>
    <x v="13"/>
    <x v="0"/>
    <x v="0"/>
    <x v="10"/>
    <n v="2899"/>
  </r>
  <r>
    <x v="13"/>
    <x v="0"/>
    <x v="0"/>
    <x v="11"/>
    <n v="19955"/>
  </r>
  <r>
    <x v="13"/>
    <x v="0"/>
    <x v="0"/>
    <x v="12"/>
    <n v="58023"/>
  </r>
  <r>
    <x v="13"/>
    <x v="0"/>
    <x v="0"/>
    <x v="13"/>
    <n v="0"/>
  </r>
  <r>
    <x v="14"/>
    <x v="0"/>
    <x v="0"/>
    <x v="0"/>
    <n v="0"/>
  </r>
  <r>
    <x v="14"/>
    <x v="0"/>
    <x v="0"/>
    <x v="1"/>
    <n v="4456"/>
  </r>
  <r>
    <x v="14"/>
    <x v="0"/>
    <x v="0"/>
    <x v="2"/>
    <n v="0"/>
  </r>
  <r>
    <x v="14"/>
    <x v="0"/>
    <x v="0"/>
    <x v="3"/>
    <n v="4902"/>
  </r>
  <r>
    <x v="14"/>
    <x v="0"/>
    <x v="0"/>
    <x v="4"/>
    <n v="698"/>
  </r>
  <r>
    <x v="14"/>
    <x v="0"/>
    <x v="0"/>
    <x v="5"/>
    <n v="1662"/>
  </r>
  <r>
    <x v="14"/>
    <x v="0"/>
    <x v="0"/>
    <x v="6"/>
    <n v="0"/>
  </r>
  <r>
    <x v="14"/>
    <x v="0"/>
    <x v="0"/>
    <x v="7"/>
    <n v="2436"/>
  </r>
  <r>
    <x v="14"/>
    <x v="0"/>
    <x v="0"/>
    <x v="8"/>
    <n v="47"/>
  </r>
  <r>
    <x v="14"/>
    <x v="0"/>
    <x v="0"/>
    <x v="9"/>
    <n v="220"/>
  </r>
  <r>
    <x v="14"/>
    <x v="0"/>
    <x v="0"/>
    <x v="10"/>
    <n v="3017"/>
  </r>
  <r>
    <x v="14"/>
    <x v="0"/>
    <x v="0"/>
    <x v="11"/>
    <n v="2343"/>
  </r>
  <r>
    <x v="14"/>
    <x v="0"/>
    <x v="0"/>
    <x v="12"/>
    <n v="9092"/>
  </r>
  <r>
    <x v="14"/>
    <x v="0"/>
    <x v="0"/>
    <x v="13"/>
    <n v="99"/>
  </r>
  <r>
    <x v="15"/>
    <x v="0"/>
    <x v="0"/>
    <x v="0"/>
    <n v="0"/>
  </r>
  <r>
    <x v="15"/>
    <x v="0"/>
    <x v="0"/>
    <x v="1"/>
    <n v="0"/>
  </r>
  <r>
    <x v="15"/>
    <x v="0"/>
    <x v="0"/>
    <x v="2"/>
    <n v="325"/>
  </r>
  <r>
    <x v="15"/>
    <x v="0"/>
    <x v="0"/>
    <x v="3"/>
    <n v="496"/>
  </r>
  <r>
    <x v="15"/>
    <x v="0"/>
    <x v="0"/>
    <x v="4"/>
    <n v="949"/>
  </r>
  <r>
    <x v="15"/>
    <x v="0"/>
    <x v="0"/>
    <x v="5"/>
    <n v="340"/>
  </r>
  <r>
    <x v="15"/>
    <x v="0"/>
    <x v="0"/>
    <x v="6"/>
    <n v="0"/>
  </r>
  <r>
    <x v="15"/>
    <x v="0"/>
    <x v="0"/>
    <x v="7"/>
    <n v="30"/>
  </r>
  <r>
    <x v="15"/>
    <x v="0"/>
    <x v="0"/>
    <x v="8"/>
    <n v="20"/>
  </r>
  <r>
    <x v="15"/>
    <x v="0"/>
    <x v="0"/>
    <x v="9"/>
    <n v="2112"/>
  </r>
  <r>
    <x v="15"/>
    <x v="0"/>
    <x v="0"/>
    <x v="10"/>
    <n v="0"/>
  </r>
  <r>
    <x v="15"/>
    <x v="0"/>
    <x v="0"/>
    <x v="11"/>
    <n v="1166"/>
  </r>
  <r>
    <x v="15"/>
    <x v="0"/>
    <x v="0"/>
    <x v="12"/>
    <n v="2974"/>
  </r>
  <r>
    <x v="15"/>
    <x v="0"/>
    <x v="0"/>
    <x v="13"/>
    <n v="0"/>
  </r>
  <r>
    <x v="16"/>
    <x v="0"/>
    <x v="0"/>
    <x v="0"/>
    <n v="1890"/>
  </r>
  <r>
    <x v="16"/>
    <x v="0"/>
    <x v="0"/>
    <x v="1"/>
    <n v="731"/>
  </r>
  <r>
    <x v="16"/>
    <x v="0"/>
    <x v="0"/>
    <x v="2"/>
    <n v="168"/>
  </r>
  <r>
    <x v="16"/>
    <x v="0"/>
    <x v="0"/>
    <x v="3"/>
    <n v="4786"/>
  </r>
  <r>
    <x v="16"/>
    <x v="0"/>
    <x v="0"/>
    <x v="4"/>
    <n v="410"/>
  </r>
  <r>
    <x v="16"/>
    <x v="0"/>
    <x v="0"/>
    <x v="5"/>
    <n v="329"/>
  </r>
  <r>
    <x v="16"/>
    <x v="0"/>
    <x v="0"/>
    <x v="6"/>
    <n v="0"/>
  </r>
  <r>
    <x v="16"/>
    <x v="0"/>
    <x v="0"/>
    <x v="7"/>
    <n v="6"/>
  </r>
  <r>
    <x v="16"/>
    <x v="0"/>
    <x v="0"/>
    <x v="8"/>
    <n v="197"/>
  </r>
  <r>
    <x v="16"/>
    <x v="0"/>
    <x v="0"/>
    <x v="9"/>
    <n v="57"/>
  </r>
  <r>
    <x v="16"/>
    <x v="0"/>
    <x v="0"/>
    <x v="10"/>
    <n v="0"/>
  </r>
  <r>
    <x v="16"/>
    <x v="0"/>
    <x v="0"/>
    <x v="11"/>
    <n v="2822"/>
  </r>
  <r>
    <x v="16"/>
    <x v="0"/>
    <x v="0"/>
    <x v="12"/>
    <n v="6002"/>
  </r>
  <r>
    <x v="16"/>
    <x v="0"/>
    <x v="0"/>
    <x v="13"/>
    <n v="0"/>
  </r>
  <r>
    <x v="17"/>
    <x v="0"/>
    <x v="0"/>
    <x v="0"/>
    <n v="0"/>
  </r>
  <r>
    <x v="17"/>
    <x v="0"/>
    <x v="0"/>
    <x v="1"/>
    <n v="346"/>
  </r>
  <r>
    <x v="17"/>
    <x v="0"/>
    <x v="0"/>
    <x v="2"/>
    <n v="855"/>
  </r>
  <r>
    <x v="17"/>
    <x v="0"/>
    <x v="0"/>
    <x v="3"/>
    <n v="3756"/>
  </r>
  <r>
    <x v="17"/>
    <x v="0"/>
    <x v="0"/>
    <x v="4"/>
    <n v="1284"/>
  </r>
  <r>
    <x v="17"/>
    <x v="0"/>
    <x v="0"/>
    <x v="5"/>
    <n v="2165"/>
  </r>
  <r>
    <x v="17"/>
    <x v="0"/>
    <x v="0"/>
    <x v="6"/>
    <n v="0"/>
  </r>
  <r>
    <x v="17"/>
    <x v="0"/>
    <x v="0"/>
    <x v="7"/>
    <n v="0"/>
  </r>
  <r>
    <x v="17"/>
    <x v="0"/>
    <x v="0"/>
    <x v="8"/>
    <n v="55"/>
  </r>
  <r>
    <x v="17"/>
    <x v="0"/>
    <x v="0"/>
    <x v="9"/>
    <n v="238"/>
  </r>
  <r>
    <x v="17"/>
    <x v="0"/>
    <x v="0"/>
    <x v="10"/>
    <n v="292"/>
  </r>
  <r>
    <x v="17"/>
    <x v="0"/>
    <x v="0"/>
    <x v="11"/>
    <n v="1684"/>
  </r>
  <r>
    <x v="17"/>
    <x v="0"/>
    <x v="0"/>
    <x v="12"/>
    <n v="4572"/>
  </r>
  <r>
    <x v="17"/>
    <x v="0"/>
    <x v="0"/>
    <x v="13"/>
    <n v="169"/>
  </r>
  <r>
    <x v="18"/>
    <x v="0"/>
    <x v="0"/>
    <x v="0"/>
    <n v="0"/>
  </r>
  <r>
    <x v="18"/>
    <x v="0"/>
    <x v="0"/>
    <x v="1"/>
    <n v="0"/>
  </r>
  <r>
    <x v="18"/>
    <x v="0"/>
    <x v="0"/>
    <x v="2"/>
    <n v="0"/>
  </r>
  <r>
    <x v="18"/>
    <x v="0"/>
    <x v="0"/>
    <x v="3"/>
    <n v="0"/>
  </r>
  <r>
    <x v="18"/>
    <x v="0"/>
    <x v="0"/>
    <x v="4"/>
    <n v="63"/>
  </r>
  <r>
    <x v="18"/>
    <x v="0"/>
    <x v="0"/>
    <x v="5"/>
    <n v="2"/>
  </r>
  <r>
    <x v="18"/>
    <x v="0"/>
    <x v="0"/>
    <x v="6"/>
    <n v="0"/>
  </r>
  <r>
    <x v="18"/>
    <x v="0"/>
    <x v="0"/>
    <x v="7"/>
    <n v="0"/>
  </r>
  <r>
    <x v="18"/>
    <x v="0"/>
    <x v="0"/>
    <x v="8"/>
    <n v="0"/>
  </r>
  <r>
    <x v="18"/>
    <x v="0"/>
    <x v="0"/>
    <x v="9"/>
    <n v="1860"/>
  </r>
  <r>
    <x v="18"/>
    <x v="0"/>
    <x v="0"/>
    <x v="10"/>
    <n v="0"/>
  </r>
  <r>
    <x v="18"/>
    <x v="0"/>
    <x v="0"/>
    <x v="11"/>
    <n v="1337"/>
  </r>
  <r>
    <x v="18"/>
    <x v="0"/>
    <x v="0"/>
    <x v="12"/>
    <n v="2278"/>
  </r>
  <r>
    <x v="18"/>
    <x v="0"/>
    <x v="0"/>
    <x v="13"/>
    <n v="663"/>
  </r>
  <r>
    <x v="19"/>
    <x v="0"/>
    <x v="0"/>
    <x v="0"/>
    <n v="0"/>
  </r>
  <r>
    <x v="19"/>
    <x v="0"/>
    <x v="0"/>
    <x v="1"/>
    <n v="0"/>
  </r>
  <r>
    <x v="19"/>
    <x v="0"/>
    <x v="0"/>
    <x v="2"/>
    <n v="6393"/>
  </r>
  <r>
    <x v="19"/>
    <x v="0"/>
    <x v="0"/>
    <x v="3"/>
    <n v="35750"/>
  </r>
  <r>
    <x v="19"/>
    <x v="0"/>
    <x v="0"/>
    <x v="4"/>
    <n v="29111"/>
  </r>
  <r>
    <x v="19"/>
    <x v="0"/>
    <x v="0"/>
    <x v="5"/>
    <n v="8542"/>
  </r>
  <r>
    <x v="19"/>
    <x v="0"/>
    <x v="0"/>
    <x v="6"/>
    <n v="0"/>
  </r>
  <r>
    <x v="19"/>
    <x v="0"/>
    <x v="0"/>
    <x v="7"/>
    <n v="18620"/>
  </r>
  <r>
    <x v="19"/>
    <x v="0"/>
    <x v="0"/>
    <x v="8"/>
    <n v="4256"/>
  </r>
  <r>
    <x v="19"/>
    <x v="0"/>
    <x v="0"/>
    <x v="9"/>
    <n v="0"/>
  </r>
  <r>
    <x v="19"/>
    <x v="0"/>
    <x v="0"/>
    <x v="10"/>
    <n v="22009"/>
  </r>
  <r>
    <x v="19"/>
    <x v="0"/>
    <x v="0"/>
    <x v="11"/>
    <n v="18738"/>
  </r>
  <r>
    <x v="19"/>
    <x v="0"/>
    <x v="0"/>
    <x v="12"/>
    <n v="51587"/>
  </r>
  <r>
    <x v="19"/>
    <x v="0"/>
    <x v="0"/>
    <x v="13"/>
    <n v="270"/>
  </r>
  <r>
    <x v="20"/>
    <x v="0"/>
    <x v="0"/>
    <x v="0"/>
    <n v="0"/>
  </r>
  <r>
    <x v="20"/>
    <x v="0"/>
    <x v="0"/>
    <x v="1"/>
    <n v="0"/>
  </r>
  <r>
    <x v="20"/>
    <x v="0"/>
    <x v="0"/>
    <x v="2"/>
    <n v="0"/>
  </r>
  <r>
    <x v="20"/>
    <x v="0"/>
    <x v="0"/>
    <x v="3"/>
    <n v="579"/>
  </r>
  <r>
    <x v="20"/>
    <x v="0"/>
    <x v="0"/>
    <x v="4"/>
    <n v="2041"/>
  </r>
  <r>
    <x v="20"/>
    <x v="0"/>
    <x v="0"/>
    <x v="5"/>
    <n v="288"/>
  </r>
  <r>
    <x v="20"/>
    <x v="0"/>
    <x v="0"/>
    <x v="6"/>
    <n v="0"/>
  </r>
  <r>
    <x v="20"/>
    <x v="0"/>
    <x v="0"/>
    <x v="7"/>
    <n v="69"/>
  </r>
  <r>
    <x v="20"/>
    <x v="0"/>
    <x v="0"/>
    <x v="8"/>
    <n v="78"/>
  </r>
  <r>
    <x v="20"/>
    <x v="0"/>
    <x v="0"/>
    <x v="9"/>
    <n v="126"/>
  </r>
  <r>
    <x v="20"/>
    <x v="0"/>
    <x v="0"/>
    <x v="10"/>
    <n v="900"/>
  </r>
  <r>
    <x v="20"/>
    <x v="0"/>
    <x v="0"/>
    <x v="11"/>
    <n v="755"/>
  </r>
  <r>
    <x v="20"/>
    <x v="0"/>
    <x v="0"/>
    <x v="12"/>
    <n v="1835"/>
  </r>
  <r>
    <x v="20"/>
    <x v="0"/>
    <x v="0"/>
    <x v="13"/>
    <n v="10"/>
  </r>
  <r>
    <x v="21"/>
    <x v="0"/>
    <x v="0"/>
    <x v="0"/>
    <n v="0"/>
  </r>
  <r>
    <x v="21"/>
    <x v="0"/>
    <x v="0"/>
    <x v="1"/>
    <n v="0"/>
  </r>
  <r>
    <x v="21"/>
    <x v="0"/>
    <x v="0"/>
    <x v="2"/>
    <n v="0"/>
  </r>
  <r>
    <x v="21"/>
    <x v="0"/>
    <x v="0"/>
    <x v="3"/>
    <n v="495"/>
  </r>
  <r>
    <x v="21"/>
    <x v="0"/>
    <x v="0"/>
    <x v="4"/>
    <n v="0"/>
  </r>
  <r>
    <x v="21"/>
    <x v="0"/>
    <x v="0"/>
    <x v="5"/>
    <n v="57"/>
  </r>
  <r>
    <x v="21"/>
    <x v="0"/>
    <x v="0"/>
    <x v="6"/>
    <n v="0"/>
  </r>
  <r>
    <x v="21"/>
    <x v="0"/>
    <x v="0"/>
    <x v="7"/>
    <n v="109"/>
  </r>
  <r>
    <x v="21"/>
    <x v="0"/>
    <x v="0"/>
    <x v="8"/>
    <n v="11"/>
  </r>
  <r>
    <x v="21"/>
    <x v="0"/>
    <x v="0"/>
    <x v="9"/>
    <n v="38"/>
  </r>
  <r>
    <x v="21"/>
    <x v="0"/>
    <x v="0"/>
    <x v="10"/>
    <n v="1296"/>
  </r>
  <r>
    <x v="21"/>
    <x v="0"/>
    <x v="0"/>
    <x v="11"/>
    <n v="368"/>
  </r>
  <r>
    <x v="21"/>
    <x v="0"/>
    <x v="0"/>
    <x v="12"/>
    <n v="878"/>
  </r>
  <r>
    <x v="21"/>
    <x v="0"/>
    <x v="0"/>
    <x v="13"/>
    <n v="21"/>
  </r>
  <r>
    <x v="22"/>
    <x v="0"/>
    <x v="0"/>
    <x v="0"/>
    <n v="0"/>
  </r>
  <r>
    <x v="22"/>
    <x v="0"/>
    <x v="0"/>
    <x v="1"/>
    <n v="0"/>
  </r>
  <r>
    <x v="22"/>
    <x v="0"/>
    <x v="0"/>
    <x v="2"/>
    <n v="0"/>
  </r>
  <r>
    <x v="22"/>
    <x v="0"/>
    <x v="0"/>
    <x v="3"/>
    <n v="820"/>
  </r>
  <r>
    <x v="22"/>
    <x v="0"/>
    <x v="0"/>
    <x v="4"/>
    <n v="85"/>
  </r>
  <r>
    <x v="22"/>
    <x v="0"/>
    <x v="0"/>
    <x v="5"/>
    <n v="58"/>
  </r>
  <r>
    <x v="22"/>
    <x v="0"/>
    <x v="0"/>
    <x v="6"/>
    <n v="0"/>
  </r>
  <r>
    <x v="22"/>
    <x v="0"/>
    <x v="0"/>
    <x v="7"/>
    <n v="0"/>
  </r>
  <r>
    <x v="22"/>
    <x v="0"/>
    <x v="0"/>
    <x v="8"/>
    <n v="82"/>
  </r>
  <r>
    <x v="22"/>
    <x v="0"/>
    <x v="0"/>
    <x v="9"/>
    <n v="1578"/>
  </r>
  <r>
    <x v="22"/>
    <x v="0"/>
    <x v="0"/>
    <x v="10"/>
    <n v="0"/>
  </r>
  <r>
    <x v="22"/>
    <x v="0"/>
    <x v="0"/>
    <x v="11"/>
    <n v="453"/>
  </r>
  <r>
    <x v="22"/>
    <x v="0"/>
    <x v="0"/>
    <x v="12"/>
    <n v="1331"/>
  </r>
  <r>
    <x v="22"/>
    <x v="0"/>
    <x v="0"/>
    <x v="13"/>
    <n v="0"/>
  </r>
  <r>
    <x v="23"/>
    <x v="0"/>
    <x v="0"/>
    <x v="0"/>
    <n v="0"/>
  </r>
  <r>
    <x v="23"/>
    <x v="0"/>
    <x v="0"/>
    <x v="1"/>
    <n v="220"/>
  </r>
  <r>
    <x v="23"/>
    <x v="0"/>
    <x v="0"/>
    <x v="2"/>
    <n v="0"/>
  </r>
  <r>
    <x v="23"/>
    <x v="0"/>
    <x v="0"/>
    <x v="3"/>
    <n v="0"/>
  </r>
  <r>
    <x v="23"/>
    <x v="0"/>
    <x v="0"/>
    <x v="4"/>
    <n v="0"/>
  </r>
  <r>
    <x v="23"/>
    <x v="0"/>
    <x v="0"/>
    <x v="5"/>
    <n v="0"/>
  </r>
  <r>
    <x v="23"/>
    <x v="0"/>
    <x v="0"/>
    <x v="6"/>
    <n v="0"/>
  </r>
  <r>
    <x v="23"/>
    <x v="0"/>
    <x v="0"/>
    <x v="7"/>
    <n v="0"/>
  </r>
  <r>
    <x v="23"/>
    <x v="0"/>
    <x v="0"/>
    <x v="8"/>
    <n v="0"/>
  </r>
  <r>
    <x v="23"/>
    <x v="0"/>
    <x v="0"/>
    <x v="9"/>
    <n v="10"/>
  </r>
  <r>
    <x v="23"/>
    <x v="0"/>
    <x v="0"/>
    <x v="10"/>
    <n v="650"/>
  </r>
  <r>
    <x v="23"/>
    <x v="0"/>
    <x v="0"/>
    <x v="11"/>
    <n v="217"/>
  </r>
  <r>
    <x v="23"/>
    <x v="0"/>
    <x v="0"/>
    <x v="12"/>
    <n v="638"/>
  </r>
  <r>
    <x v="23"/>
    <x v="0"/>
    <x v="0"/>
    <x v="13"/>
    <n v="0"/>
  </r>
  <r>
    <x v="24"/>
    <x v="0"/>
    <x v="0"/>
    <x v="0"/>
    <n v="0"/>
  </r>
  <r>
    <x v="24"/>
    <x v="0"/>
    <x v="0"/>
    <x v="1"/>
    <n v="718"/>
  </r>
  <r>
    <x v="24"/>
    <x v="0"/>
    <x v="0"/>
    <x v="2"/>
    <n v="0"/>
  </r>
  <r>
    <x v="24"/>
    <x v="0"/>
    <x v="0"/>
    <x v="3"/>
    <n v="250"/>
  </r>
  <r>
    <x v="24"/>
    <x v="0"/>
    <x v="0"/>
    <x v="4"/>
    <n v="189"/>
  </r>
  <r>
    <x v="24"/>
    <x v="0"/>
    <x v="0"/>
    <x v="5"/>
    <n v="36"/>
  </r>
  <r>
    <x v="24"/>
    <x v="0"/>
    <x v="0"/>
    <x v="6"/>
    <n v="0"/>
  </r>
  <r>
    <x v="24"/>
    <x v="0"/>
    <x v="0"/>
    <x v="7"/>
    <n v="0"/>
  </r>
  <r>
    <x v="24"/>
    <x v="0"/>
    <x v="0"/>
    <x v="8"/>
    <n v="0"/>
  </r>
  <r>
    <x v="24"/>
    <x v="0"/>
    <x v="0"/>
    <x v="9"/>
    <n v="0"/>
  </r>
  <r>
    <x v="24"/>
    <x v="0"/>
    <x v="0"/>
    <x v="10"/>
    <n v="539"/>
  </r>
  <r>
    <x v="24"/>
    <x v="0"/>
    <x v="0"/>
    <x v="11"/>
    <n v="555"/>
  </r>
  <r>
    <x v="24"/>
    <x v="0"/>
    <x v="0"/>
    <x v="12"/>
    <n v="1507"/>
  </r>
  <r>
    <x v="24"/>
    <x v="0"/>
    <x v="0"/>
    <x v="13"/>
    <n v="0"/>
  </r>
  <r>
    <x v="25"/>
    <x v="0"/>
    <x v="0"/>
    <x v="0"/>
    <n v="0"/>
  </r>
  <r>
    <x v="25"/>
    <x v="0"/>
    <x v="0"/>
    <x v="1"/>
    <n v="0"/>
  </r>
  <r>
    <x v="25"/>
    <x v="0"/>
    <x v="0"/>
    <x v="2"/>
    <n v="3836"/>
  </r>
  <r>
    <x v="25"/>
    <x v="0"/>
    <x v="0"/>
    <x v="3"/>
    <n v="2064"/>
  </r>
  <r>
    <x v="25"/>
    <x v="0"/>
    <x v="0"/>
    <x v="4"/>
    <n v="4"/>
  </r>
  <r>
    <x v="25"/>
    <x v="0"/>
    <x v="0"/>
    <x v="5"/>
    <n v="1447"/>
  </r>
  <r>
    <x v="25"/>
    <x v="0"/>
    <x v="0"/>
    <x v="6"/>
    <n v="0"/>
  </r>
  <r>
    <x v="25"/>
    <x v="0"/>
    <x v="0"/>
    <x v="7"/>
    <n v="0"/>
  </r>
  <r>
    <x v="25"/>
    <x v="0"/>
    <x v="0"/>
    <x v="8"/>
    <n v="43"/>
  </r>
  <r>
    <x v="25"/>
    <x v="0"/>
    <x v="0"/>
    <x v="9"/>
    <n v="12"/>
  </r>
  <r>
    <x v="25"/>
    <x v="0"/>
    <x v="0"/>
    <x v="10"/>
    <n v="0"/>
  </r>
  <r>
    <x v="25"/>
    <x v="0"/>
    <x v="0"/>
    <x v="11"/>
    <n v="500"/>
  </r>
  <r>
    <x v="25"/>
    <x v="0"/>
    <x v="0"/>
    <x v="12"/>
    <n v="1745"/>
  </r>
  <r>
    <x v="25"/>
    <x v="0"/>
    <x v="0"/>
    <x v="13"/>
    <n v="60"/>
  </r>
  <r>
    <x v="26"/>
    <x v="0"/>
    <x v="0"/>
    <x v="0"/>
    <n v="492"/>
  </r>
  <r>
    <x v="26"/>
    <x v="0"/>
    <x v="0"/>
    <x v="1"/>
    <n v="0"/>
  </r>
  <r>
    <x v="26"/>
    <x v="0"/>
    <x v="0"/>
    <x v="2"/>
    <n v="7270"/>
  </r>
  <r>
    <x v="26"/>
    <x v="0"/>
    <x v="0"/>
    <x v="3"/>
    <n v="19590"/>
  </r>
  <r>
    <x v="26"/>
    <x v="0"/>
    <x v="0"/>
    <x v="4"/>
    <n v="869"/>
  </r>
  <r>
    <x v="26"/>
    <x v="0"/>
    <x v="0"/>
    <x v="5"/>
    <n v="2874"/>
  </r>
  <r>
    <x v="26"/>
    <x v="0"/>
    <x v="0"/>
    <x v="6"/>
    <n v="0"/>
  </r>
  <r>
    <x v="26"/>
    <x v="0"/>
    <x v="0"/>
    <x v="7"/>
    <n v="1000"/>
  </r>
  <r>
    <x v="26"/>
    <x v="0"/>
    <x v="0"/>
    <x v="8"/>
    <n v="400"/>
  </r>
  <r>
    <x v="26"/>
    <x v="0"/>
    <x v="0"/>
    <x v="9"/>
    <n v="38"/>
  </r>
  <r>
    <x v="26"/>
    <x v="0"/>
    <x v="0"/>
    <x v="10"/>
    <n v="0"/>
  </r>
  <r>
    <x v="26"/>
    <x v="0"/>
    <x v="0"/>
    <x v="11"/>
    <n v="6233"/>
  </r>
  <r>
    <x v="26"/>
    <x v="0"/>
    <x v="0"/>
    <x v="12"/>
    <n v="18460"/>
  </r>
  <r>
    <x v="26"/>
    <x v="0"/>
    <x v="0"/>
    <x v="13"/>
    <n v="680"/>
  </r>
  <r>
    <x v="27"/>
    <x v="0"/>
    <x v="0"/>
    <x v="0"/>
    <n v="0"/>
  </r>
  <r>
    <x v="27"/>
    <x v="0"/>
    <x v="0"/>
    <x v="1"/>
    <n v="0"/>
  </r>
  <r>
    <x v="27"/>
    <x v="0"/>
    <x v="0"/>
    <x v="2"/>
    <n v="0"/>
  </r>
  <r>
    <x v="27"/>
    <x v="0"/>
    <x v="0"/>
    <x v="3"/>
    <n v="1090"/>
  </r>
  <r>
    <x v="27"/>
    <x v="0"/>
    <x v="0"/>
    <x v="4"/>
    <n v="0"/>
  </r>
  <r>
    <x v="27"/>
    <x v="0"/>
    <x v="0"/>
    <x v="5"/>
    <n v="814"/>
  </r>
  <r>
    <x v="27"/>
    <x v="0"/>
    <x v="0"/>
    <x v="6"/>
    <n v="0"/>
  </r>
  <r>
    <x v="27"/>
    <x v="0"/>
    <x v="0"/>
    <x v="7"/>
    <n v="0"/>
  </r>
  <r>
    <x v="27"/>
    <x v="0"/>
    <x v="0"/>
    <x v="8"/>
    <n v="0"/>
  </r>
  <r>
    <x v="27"/>
    <x v="0"/>
    <x v="0"/>
    <x v="9"/>
    <n v="31062"/>
  </r>
  <r>
    <x v="27"/>
    <x v="0"/>
    <x v="0"/>
    <x v="10"/>
    <n v="0"/>
  </r>
  <r>
    <x v="27"/>
    <x v="0"/>
    <x v="0"/>
    <x v="11"/>
    <n v="8633"/>
  </r>
  <r>
    <x v="27"/>
    <x v="0"/>
    <x v="0"/>
    <x v="12"/>
    <n v="22957"/>
  </r>
  <r>
    <x v="27"/>
    <x v="0"/>
    <x v="0"/>
    <x v="13"/>
    <n v="0"/>
  </r>
  <r>
    <x v="28"/>
    <x v="0"/>
    <x v="0"/>
    <x v="0"/>
    <n v="0"/>
  </r>
  <r>
    <x v="28"/>
    <x v="0"/>
    <x v="0"/>
    <x v="1"/>
    <n v="8519"/>
  </r>
  <r>
    <x v="28"/>
    <x v="0"/>
    <x v="0"/>
    <x v="2"/>
    <n v="17309"/>
  </r>
  <r>
    <x v="28"/>
    <x v="0"/>
    <x v="0"/>
    <x v="3"/>
    <n v="944"/>
  </r>
  <r>
    <x v="28"/>
    <x v="0"/>
    <x v="0"/>
    <x v="4"/>
    <n v="2326"/>
  </r>
  <r>
    <x v="28"/>
    <x v="0"/>
    <x v="0"/>
    <x v="5"/>
    <n v="3753"/>
  </r>
  <r>
    <x v="28"/>
    <x v="0"/>
    <x v="0"/>
    <x v="6"/>
    <n v="0"/>
  </r>
  <r>
    <x v="28"/>
    <x v="0"/>
    <x v="0"/>
    <x v="7"/>
    <n v="23"/>
  </r>
  <r>
    <x v="28"/>
    <x v="0"/>
    <x v="0"/>
    <x v="8"/>
    <n v="772"/>
  </r>
  <r>
    <x v="28"/>
    <x v="0"/>
    <x v="0"/>
    <x v="9"/>
    <n v="941"/>
  </r>
  <r>
    <x v="28"/>
    <x v="0"/>
    <x v="0"/>
    <x v="10"/>
    <n v="1413"/>
  </r>
  <r>
    <x v="28"/>
    <x v="0"/>
    <x v="0"/>
    <x v="11"/>
    <n v="9761"/>
  </r>
  <r>
    <x v="28"/>
    <x v="0"/>
    <x v="0"/>
    <x v="12"/>
    <n v="23715"/>
  </r>
  <r>
    <x v="28"/>
    <x v="0"/>
    <x v="0"/>
    <x v="13"/>
    <n v="0"/>
  </r>
  <r>
    <x v="29"/>
    <x v="0"/>
    <x v="0"/>
    <x v="0"/>
    <n v="0"/>
  </r>
  <r>
    <x v="29"/>
    <x v="0"/>
    <x v="0"/>
    <x v="1"/>
    <n v="0"/>
  </r>
  <r>
    <x v="29"/>
    <x v="0"/>
    <x v="0"/>
    <x v="2"/>
    <n v="1756"/>
  </r>
  <r>
    <x v="29"/>
    <x v="0"/>
    <x v="0"/>
    <x v="3"/>
    <n v="4717"/>
  </r>
  <r>
    <x v="29"/>
    <x v="0"/>
    <x v="0"/>
    <x v="4"/>
    <n v="552"/>
  </r>
  <r>
    <x v="29"/>
    <x v="0"/>
    <x v="0"/>
    <x v="5"/>
    <n v="4540"/>
  </r>
  <r>
    <x v="29"/>
    <x v="0"/>
    <x v="0"/>
    <x v="6"/>
    <n v="0"/>
  </r>
  <r>
    <x v="29"/>
    <x v="0"/>
    <x v="0"/>
    <x v="7"/>
    <n v="396"/>
  </r>
  <r>
    <x v="29"/>
    <x v="0"/>
    <x v="0"/>
    <x v="8"/>
    <n v="187"/>
  </r>
  <r>
    <x v="29"/>
    <x v="0"/>
    <x v="0"/>
    <x v="9"/>
    <n v="5684"/>
  </r>
  <r>
    <x v="29"/>
    <x v="0"/>
    <x v="0"/>
    <x v="10"/>
    <n v="0"/>
  </r>
  <r>
    <x v="29"/>
    <x v="0"/>
    <x v="0"/>
    <x v="11"/>
    <n v="3317"/>
  </r>
  <r>
    <x v="29"/>
    <x v="0"/>
    <x v="0"/>
    <x v="12"/>
    <n v="8295"/>
  </r>
  <r>
    <x v="29"/>
    <x v="0"/>
    <x v="0"/>
    <x v="13"/>
    <n v="62"/>
  </r>
  <r>
    <x v="30"/>
    <x v="0"/>
    <x v="0"/>
    <x v="0"/>
    <n v="1300"/>
  </r>
  <r>
    <x v="30"/>
    <x v="0"/>
    <x v="0"/>
    <x v="1"/>
    <n v="4094"/>
  </r>
  <r>
    <x v="30"/>
    <x v="0"/>
    <x v="0"/>
    <x v="2"/>
    <n v="1148"/>
  </r>
  <r>
    <x v="30"/>
    <x v="0"/>
    <x v="0"/>
    <x v="3"/>
    <n v="2390"/>
  </r>
  <r>
    <x v="30"/>
    <x v="0"/>
    <x v="0"/>
    <x v="4"/>
    <n v="1723"/>
  </r>
  <r>
    <x v="30"/>
    <x v="0"/>
    <x v="0"/>
    <x v="5"/>
    <n v="2894"/>
  </r>
  <r>
    <x v="30"/>
    <x v="0"/>
    <x v="0"/>
    <x v="6"/>
    <n v="0"/>
  </r>
  <r>
    <x v="30"/>
    <x v="0"/>
    <x v="0"/>
    <x v="7"/>
    <n v="1162"/>
  </r>
  <r>
    <x v="30"/>
    <x v="0"/>
    <x v="0"/>
    <x v="8"/>
    <n v="94"/>
  </r>
  <r>
    <x v="30"/>
    <x v="0"/>
    <x v="0"/>
    <x v="9"/>
    <n v="6332"/>
  </r>
  <r>
    <x v="30"/>
    <x v="0"/>
    <x v="0"/>
    <x v="10"/>
    <n v="0"/>
  </r>
  <r>
    <x v="30"/>
    <x v="0"/>
    <x v="0"/>
    <x v="11"/>
    <n v="3704"/>
  </r>
  <r>
    <x v="30"/>
    <x v="0"/>
    <x v="0"/>
    <x v="12"/>
    <n v="8522"/>
  </r>
  <r>
    <x v="30"/>
    <x v="0"/>
    <x v="0"/>
    <x v="13"/>
    <n v="0.05"/>
  </r>
  <r>
    <x v="31"/>
    <x v="0"/>
    <x v="0"/>
    <x v="0"/>
    <n v="0"/>
  </r>
  <r>
    <x v="31"/>
    <x v="0"/>
    <x v="0"/>
    <x v="1"/>
    <n v="5263"/>
  </r>
  <r>
    <x v="31"/>
    <x v="0"/>
    <x v="0"/>
    <x v="2"/>
    <n v="0"/>
  </r>
  <r>
    <x v="31"/>
    <x v="0"/>
    <x v="0"/>
    <x v="3"/>
    <n v="0"/>
  </r>
  <r>
    <x v="31"/>
    <x v="0"/>
    <x v="0"/>
    <x v="4"/>
    <n v="311"/>
  </r>
  <r>
    <x v="31"/>
    <x v="0"/>
    <x v="0"/>
    <x v="5"/>
    <n v="0"/>
  </r>
  <r>
    <x v="31"/>
    <x v="0"/>
    <x v="0"/>
    <x v="6"/>
    <n v="0"/>
  </r>
  <r>
    <x v="31"/>
    <x v="0"/>
    <x v="0"/>
    <x v="7"/>
    <n v="0"/>
  </r>
  <r>
    <x v="31"/>
    <x v="0"/>
    <x v="0"/>
    <x v="8"/>
    <n v="0"/>
  </r>
  <r>
    <x v="31"/>
    <x v="0"/>
    <x v="0"/>
    <x v="9"/>
    <n v="2370"/>
  </r>
  <r>
    <x v="31"/>
    <x v="0"/>
    <x v="0"/>
    <x v="10"/>
    <n v="620"/>
  </r>
  <r>
    <x v="31"/>
    <x v="0"/>
    <x v="0"/>
    <x v="11"/>
    <n v="2423"/>
  </r>
  <r>
    <x v="31"/>
    <x v="0"/>
    <x v="0"/>
    <x v="12"/>
    <n v="7399"/>
  </r>
  <r>
    <x v="31"/>
    <x v="0"/>
    <x v="0"/>
    <x v="13"/>
    <n v="0"/>
  </r>
  <r>
    <x v="32"/>
    <x v="0"/>
    <x v="0"/>
    <x v="0"/>
    <n v="9528"/>
  </r>
  <r>
    <x v="32"/>
    <x v="0"/>
    <x v="0"/>
    <x v="1"/>
    <n v="0"/>
  </r>
  <r>
    <x v="32"/>
    <x v="0"/>
    <x v="0"/>
    <x v="2"/>
    <n v="225"/>
  </r>
  <r>
    <x v="32"/>
    <x v="0"/>
    <x v="0"/>
    <x v="3"/>
    <n v="879"/>
  </r>
  <r>
    <x v="32"/>
    <x v="0"/>
    <x v="0"/>
    <x v="4"/>
    <n v="4181"/>
  </r>
  <r>
    <x v="32"/>
    <x v="0"/>
    <x v="0"/>
    <x v="5"/>
    <n v="5420"/>
  </r>
  <r>
    <x v="32"/>
    <x v="0"/>
    <x v="0"/>
    <x v="6"/>
    <n v="0"/>
  </r>
  <r>
    <x v="32"/>
    <x v="0"/>
    <x v="0"/>
    <x v="7"/>
    <n v="79"/>
  </r>
  <r>
    <x v="32"/>
    <x v="0"/>
    <x v="0"/>
    <x v="8"/>
    <n v="3082"/>
  </r>
  <r>
    <x v="32"/>
    <x v="0"/>
    <x v="0"/>
    <x v="9"/>
    <n v="16155"/>
  </r>
  <r>
    <x v="32"/>
    <x v="0"/>
    <x v="0"/>
    <x v="10"/>
    <n v="0"/>
  </r>
  <r>
    <x v="32"/>
    <x v="0"/>
    <x v="0"/>
    <x v="11"/>
    <n v="8754"/>
  </r>
  <r>
    <x v="32"/>
    <x v="0"/>
    <x v="0"/>
    <x v="12"/>
    <n v="24872"/>
  </r>
  <r>
    <x v="32"/>
    <x v="0"/>
    <x v="0"/>
    <x v="13"/>
    <n v="0"/>
  </r>
  <r>
    <x v="33"/>
    <x v="0"/>
    <x v="0"/>
    <x v="0"/>
    <n v="696"/>
  </r>
  <r>
    <x v="33"/>
    <x v="0"/>
    <x v="0"/>
    <x v="1"/>
    <n v="553"/>
  </r>
  <r>
    <x v="33"/>
    <x v="0"/>
    <x v="0"/>
    <x v="2"/>
    <n v="222"/>
  </r>
  <r>
    <x v="33"/>
    <x v="0"/>
    <x v="0"/>
    <x v="3"/>
    <n v="84"/>
  </r>
  <r>
    <x v="33"/>
    <x v="0"/>
    <x v="0"/>
    <x v="4"/>
    <n v="355"/>
  </r>
  <r>
    <x v="33"/>
    <x v="0"/>
    <x v="0"/>
    <x v="5"/>
    <n v="2"/>
  </r>
  <r>
    <x v="33"/>
    <x v="0"/>
    <x v="0"/>
    <x v="6"/>
    <n v="0"/>
  </r>
  <r>
    <x v="33"/>
    <x v="0"/>
    <x v="0"/>
    <x v="7"/>
    <n v="260"/>
  </r>
  <r>
    <x v="33"/>
    <x v="0"/>
    <x v="0"/>
    <x v="8"/>
    <n v="40"/>
  </r>
  <r>
    <x v="33"/>
    <x v="0"/>
    <x v="0"/>
    <x v="9"/>
    <n v="1065"/>
  </r>
  <r>
    <x v="33"/>
    <x v="0"/>
    <x v="0"/>
    <x v="10"/>
    <n v="180"/>
  </r>
  <r>
    <x v="33"/>
    <x v="0"/>
    <x v="0"/>
    <x v="11"/>
    <n v="965"/>
  </r>
  <r>
    <x v="33"/>
    <x v="0"/>
    <x v="0"/>
    <x v="12"/>
    <n v="2233"/>
  </r>
  <r>
    <x v="33"/>
    <x v="0"/>
    <x v="0"/>
    <x v="13"/>
    <n v="0"/>
  </r>
  <r>
    <x v="34"/>
    <x v="0"/>
    <x v="0"/>
    <x v="0"/>
    <n v="1940"/>
  </r>
  <r>
    <x v="34"/>
    <x v="0"/>
    <x v="0"/>
    <x v="1"/>
    <n v="568"/>
  </r>
  <r>
    <x v="34"/>
    <x v="0"/>
    <x v="0"/>
    <x v="2"/>
    <n v="440"/>
  </r>
  <r>
    <x v="34"/>
    <x v="0"/>
    <x v="0"/>
    <x v="3"/>
    <n v="1076"/>
  </r>
  <r>
    <x v="34"/>
    <x v="0"/>
    <x v="0"/>
    <x v="4"/>
    <n v="608"/>
  </r>
  <r>
    <x v="34"/>
    <x v="0"/>
    <x v="0"/>
    <x v="5"/>
    <n v="3"/>
  </r>
  <r>
    <x v="34"/>
    <x v="0"/>
    <x v="0"/>
    <x v="6"/>
    <n v="0"/>
  </r>
  <r>
    <x v="34"/>
    <x v="0"/>
    <x v="0"/>
    <x v="7"/>
    <n v="531"/>
  </r>
  <r>
    <x v="34"/>
    <x v="0"/>
    <x v="0"/>
    <x v="8"/>
    <n v="254"/>
  </r>
  <r>
    <x v="34"/>
    <x v="0"/>
    <x v="0"/>
    <x v="9"/>
    <n v="1619"/>
  </r>
  <r>
    <x v="34"/>
    <x v="0"/>
    <x v="0"/>
    <x v="10"/>
    <n v="917"/>
  </r>
  <r>
    <x v="34"/>
    <x v="0"/>
    <x v="0"/>
    <x v="11"/>
    <n v="2119"/>
  </r>
  <r>
    <x v="34"/>
    <x v="0"/>
    <x v="0"/>
    <x v="12"/>
    <n v="4119"/>
  </r>
  <r>
    <x v="34"/>
    <x v="0"/>
    <x v="0"/>
    <x v="13"/>
    <n v="120"/>
  </r>
  <r>
    <x v="35"/>
    <x v="0"/>
    <x v="0"/>
    <x v="0"/>
    <n v="126685"/>
  </r>
  <r>
    <x v="35"/>
    <x v="0"/>
    <x v="0"/>
    <x v="1"/>
    <n v="53526"/>
  </r>
  <r>
    <x v="35"/>
    <x v="0"/>
    <x v="0"/>
    <x v="2"/>
    <n v="114730"/>
  </r>
  <r>
    <x v="35"/>
    <x v="0"/>
    <x v="0"/>
    <x v="3"/>
    <n v="206148"/>
  </r>
  <r>
    <x v="35"/>
    <x v="0"/>
    <x v="0"/>
    <x v="4"/>
    <n v="89035"/>
  </r>
  <r>
    <x v="35"/>
    <x v="0"/>
    <x v="0"/>
    <x v="5"/>
    <n v="120576"/>
  </r>
  <r>
    <x v="35"/>
    <x v="0"/>
    <x v="0"/>
    <x v="6"/>
    <n v="0"/>
  </r>
  <r>
    <x v="35"/>
    <x v="0"/>
    <x v="0"/>
    <x v="7"/>
    <n v="82349"/>
  </r>
  <r>
    <x v="35"/>
    <x v="0"/>
    <x v="0"/>
    <x v="8"/>
    <n v="24091"/>
  </r>
  <r>
    <x v="35"/>
    <x v="0"/>
    <x v="0"/>
    <x v="9"/>
    <n v="151802"/>
  </r>
  <r>
    <x v="35"/>
    <x v="0"/>
    <x v="0"/>
    <x v="10"/>
    <n v="50406"/>
  </r>
  <r>
    <x v="35"/>
    <x v="0"/>
    <x v="0"/>
    <x v="11"/>
    <n v="230343"/>
  </r>
  <r>
    <x v="35"/>
    <x v="0"/>
    <x v="0"/>
    <x v="12"/>
    <n v="522043"/>
  </r>
  <r>
    <x v="35"/>
    <x v="0"/>
    <x v="0"/>
    <x v="13"/>
    <n v="4173"/>
  </r>
  <r>
    <x v="0"/>
    <x v="1"/>
    <x v="0"/>
    <x v="0"/>
    <n v="0"/>
  </r>
  <r>
    <x v="0"/>
    <x v="1"/>
    <x v="0"/>
    <x v="1"/>
    <n v="0"/>
  </r>
  <r>
    <x v="0"/>
    <x v="1"/>
    <x v="0"/>
    <x v="2"/>
    <n v="1171"/>
  </r>
  <r>
    <x v="0"/>
    <x v="1"/>
    <x v="0"/>
    <x v="3"/>
    <n v="4888"/>
  </r>
  <r>
    <x v="0"/>
    <x v="1"/>
    <x v="0"/>
    <x v="4"/>
    <n v="1481"/>
  </r>
  <r>
    <x v="0"/>
    <x v="1"/>
    <x v="0"/>
    <x v="5"/>
    <n v="1981"/>
  </r>
  <r>
    <x v="0"/>
    <x v="1"/>
    <x v="0"/>
    <x v="6"/>
    <n v="0"/>
  </r>
  <r>
    <x v="0"/>
    <x v="1"/>
    <x v="0"/>
    <x v="7"/>
    <n v="404"/>
  </r>
  <r>
    <x v="0"/>
    <x v="1"/>
    <x v="0"/>
    <x v="8"/>
    <n v="417"/>
  </r>
  <r>
    <x v="0"/>
    <x v="1"/>
    <x v="0"/>
    <x v="9"/>
    <n v="13569"/>
  </r>
  <r>
    <x v="0"/>
    <x v="1"/>
    <x v="0"/>
    <x v="10"/>
    <n v="0"/>
  </r>
  <r>
    <x v="0"/>
    <x v="1"/>
    <x v="0"/>
    <x v="11"/>
    <n v="4722"/>
  </r>
  <r>
    <x v="0"/>
    <x v="1"/>
    <x v="0"/>
    <x v="12"/>
    <n v="11386"/>
  </r>
  <r>
    <x v="0"/>
    <x v="1"/>
    <x v="0"/>
    <x v="13"/>
    <n v="315"/>
  </r>
  <r>
    <x v="1"/>
    <x v="1"/>
    <x v="0"/>
    <x v="0"/>
    <n v="0"/>
  </r>
  <r>
    <x v="1"/>
    <x v="1"/>
    <x v="0"/>
    <x v="1"/>
    <n v="1578"/>
  </r>
  <r>
    <x v="1"/>
    <x v="1"/>
    <x v="0"/>
    <x v="2"/>
    <n v="0"/>
  </r>
  <r>
    <x v="1"/>
    <x v="1"/>
    <x v="0"/>
    <x v="3"/>
    <n v="0"/>
  </r>
  <r>
    <x v="1"/>
    <x v="1"/>
    <x v="0"/>
    <x v="4"/>
    <n v="0"/>
  </r>
  <r>
    <x v="1"/>
    <x v="1"/>
    <x v="0"/>
    <x v="5"/>
    <n v="0"/>
  </r>
  <r>
    <x v="1"/>
    <x v="1"/>
    <x v="0"/>
    <x v="6"/>
    <n v="0"/>
  </r>
  <r>
    <x v="1"/>
    <x v="1"/>
    <x v="0"/>
    <x v="7"/>
    <n v="0"/>
  </r>
  <r>
    <x v="1"/>
    <x v="1"/>
    <x v="0"/>
    <x v="8"/>
    <n v="0"/>
  </r>
  <r>
    <x v="1"/>
    <x v="1"/>
    <x v="0"/>
    <x v="9"/>
    <n v="1620"/>
  </r>
  <r>
    <x v="1"/>
    <x v="1"/>
    <x v="0"/>
    <x v="10"/>
    <n v="440"/>
  </r>
  <r>
    <x v="1"/>
    <x v="1"/>
    <x v="0"/>
    <x v="11"/>
    <n v="858"/>
  </r>
  <r>
    <x v="1"/>
    <x v="1"/>
    <x v="0"/>
    <x v="12"/>
    <n v="2105"/>
  </r>
  <r>
    <x v="1"/>
    <x v="1"/>
    <x v="0"/>
    <x v="13"/>
    <n v="0"/>
  </r>
  <r>
    <x v="2"/>
    <x v="1"/>
    <x v="0"/>
    <x v="0"/>
    <n v="5926"/>
  </r>
  <r>
    <x v="2"/>
    <x v="1"/>
    <x v="0"/>
    <x v="1"/>
    <n v="0"/>
  </r>
  <r>
    <x v="2"/>
    <x v="1"/>
    <x v="0"/>
    <x v="2"/>
    <n v="470"/>
  </r>
  <r>
    <x v="2"/>
    <x v="1"/>
    <x v="0"/>
    <x v="3"/>
    <n v="6865"/>
  </r>
  <r>
    <x v="2"/>
    <x v="1"/>
    <x v="0"/>
    <x v="4"/>
    <n v="264"/>
  </r>
  <r>
    <x v="2"/>
    <x v="1"/>
    <x v="0"/>
    <x v="5"/>
    <n v="2172"/>
  </r>
  <r>
    <x v="2"/>
    <x v="1"/>
    <x v="0"/>
    <x v="6"/>
    <n v="0"/>
  </r>
  <r>
    <x v="2"/>
    <x v="1"/>
    <x v="0"/>
    <x v="7"/>
    <n v="3068"/>
  </r>
  <r>
    <x v="2"/>
    <x v="1"/>
    <x v="0"/>
    <x v="8"/>
    <n v="1210"/>
  </r>
  <r>
    <x v="2"/>
    <x v="1"/>
    <x v="0"/>
    <x v="9"/>
    <n v="116"/>
  </r>
  <r>
    <x v="2"/>
    <x v="1"/>
    <x v="0"/>
    <x v="10"/>
    <n v="1308"/>
  </r>
  <r>
    <x v="2"/>
    <x v="1"/>
    <x v="0"/>
    <x v="11"/>
    <n v="6556"/>
  </r>
  <r>
    <x v="2"/>
    <x v="1"/>
    <x v="0"/>
    <x v="12"/>
    <n v="13129"/>
  </r>
  <r>
    <x v="2"/>
    <x v="1"/>
    <x v="0"/>
    <x v="13"/>
    <n v="0"/>
  </r>
  <r>
    <x v="3"/>
    <x v="1"/>
    <x v="0"/>
    <x v="0"/>
    <n v="2000"/>
  </r>
  <r>
    <x v="3"/>
    <x v="1"/>
    <x v="0"/>
    <x v="1"/>
    <n v="4199"/>
  </r>
  <r>
    <x v="3"/>
    <x v="1"/>
    <x v="0"/>
    <x v="2"/>
    <n v="708"/>
  </r>
  <r>
    <x v="3"/>
    <x v="1"/>
    <x v="0"/>
    <x v="3"/>
    <n v="799"/>
  </r>
  <r>
    <x v="3"/>
    <x v="1"/>
    <x v="0"/>
    <x v="4"/>
    <n v="0"/>
  </r>
  <r>
    <x v="3"/>
    <x v="1"/>
    <x v="0"/>
    <x v="5"/>
    <n v="701"/>
  </r>
  <r>
    <x v="3"/>
    <x v="1"/>
    <x v="0"/>
    <x v="6"/>
    <n v="0"/>
  </r>
  <r>
    <x v="3"/>
    <x v="1"/>
    <x v="0"/>
    <x v="7"/>
    <n v="1041"/>
  </r>
  <r>
    <x v="3"/>
    <x v="1"/>
    <x v="0"/>
    <x v="8"/>
    <n v="64"/>
  </r>
  <r>
    <x v="3"/>
    <x v="1"/>
    <x v="0"/>
    <x v="9"/>
    <n v="2334"/>
  </r>
  <r>
    <x v="3"/>
    <x v="1"/>
    <x v="0"/>
    <x v="10"/>
    <n v="864"/>
  </r>
  <r>
    <x v="3"/>
    <x v="1"/>
    <x v="0"/>
    <x v="11"/>
    <n v="2781"/>
  </r>
  <r>
    <x v="3"/>
    <x v="1"/>
    <x v="0"/>
    <x v="12"/>
    <n v="7100"/>
  </r>
  <r>
    <x v="3"/>
    <x v="1"/>
    <x v="0"/>
    <x v="13"/>
    <n v="0"/>
  </r>
  <r>
    <x v="4"/>
    <x v="1"/>
    <x v="0"/>
    <x v="0"/>
    <n v="3333"/>
  </r>
  <r>
    <x v="4"/>
    <x v="1"/>
    <x v="0"/>
    <x v="1"/>
    <n v="0"/>
  </r>
  <r>
    <x v="4"/>
    <x v="1"/>
    <x v="0"/>
    <x v="2"/>
    <n v="0"/>
  </r>
  <r>
    <x v="4"/>
    <x v="1"/>
    <x v="0"/>
    <x v="3"/>
    <n v="0"/>
  </r>
  <r>
    <x v="4"/>
    <x v="1"/>
    <x v="0"/>
    <x v="4"/>
    <n v="502"/>
  </r>
  <r>
    <x v="4"/>
    <x v="1"/>
    <x v="0"/>
    <x v="5"/>
    <n v="60"/>
  </r>
  <r>
    <x v="4"/>
    <x v="1"/>
    <x v="0"/>
    <x v="6"/>
    <n v="0"/>
  </r>
  <r>
    <x v="4"/>
    <x v="1"/>
    <x v="0"/>
    <x v="7"/>
    <n v="756"/>
  </r>
  <r>
    <x v="4"/>
    <x v="1"/>
    <x v="0"/>
    <x v="8"/>
    <n v="275"/>
  </r>
  <r>
    <x v="4"/>
    <x v="1"/>
    <x v="0"/>
    <x v="9"/>
    <n v="12445"/>
  </r>
  <r>
    <x v="4"/>
    <x v="1"/>
    <x v="0"/>
    <x v="10"/>
    <n v="1383"/>
  </r>
  <r>
    <x v="4"/>
    <x v="1"/>
    <x v="0"/>
    <x v="11"/>
    <n v="4875"/>
  </r>
  <r>
    <x v="4"/>
    <x v="1"/>
    <x v="0"/>
    <x v="12"/>
    <n v="10155"/>
  </r>
  <r>
    <x v="4"/>
    <x v="1"/>
    <x v="0"/>
    <x v="13"/>
    <n v="245"/>
  </r>
  <r>
    <x v="5"/>
    <x v="1"/>
    <x v="0"/>
    <x v="0"/>
    <n v="0"/>
  </r>
  <r>
    <x v="5"/>
    <x v="1"/>
    <x v="0"/>
    <x v="1"/>
    <n v="1478"/>
  </r>
  <r>
    <x v="5"/>
    <x v="1"/>
    <x v="0"/>
    <x v="2"/>
    <n v="0"/>
  </r>
  <r>
    <x v="5"/>
    <x v="1"/>
    <x v="0"/>
    <x v="3"/>
    <n v="0"/>
  </r>
  <r>
    <x v="5"/>
    <x v="1"/>
    <x v="0"/>
    <x v="4"/>
    <n v="0"/>
  </r>
  <r>
    <x v="5"/>
    <x v="1"/>
    <x v="0"/>
    <x v="5"/>
    <n v="155"/>
  </r>
  <r>
    <x v="5"/>
    <x v="1"/>
    <x v="0"/>
    <x v="6"/>
    <n v="0"/>
  </r>
  <r>
    <x v="5"/>
    <x v="1"/>
    <x v="0"/>
    <x v="7"/>
    <n v="0"/>
  </r>
  <r>
    <x v="5"/>
    <x v="1"/>
    <x v="0"/>
    <x v="8"/>
    <n v="0"/>
  </r>
  <r>
    <x v="5"/>
    <x v="1"/>
    <x v="0"/>
    <x v="9"/>
    <n v="0"/>
  </r>
  <r>
    <x v="5"/>
    <x v="1"/>
    <x v="0"/>
    <x v="10"/>
    <n v="0"/>
  </r>
  <r>
    <x v="5"/>
    <x v="1"/>
    <x v="0"/>
    <x v="11"/>
    <n v="270"/>
  </r>
  <r>
    <x v="5"/>
    <x v="1"/>
    <x v="0"/>
    <x v="12"/>
    <n v="954"/>
  </r>
  <r>
    <x v="5"/>
    <x v="1"/>
    <x v="0"/>
    <x v="13"/>
    <n v="0"/>
  </r>
  <r>
    <x v="6"/>
    <x v="1"/>
    <x v="0"/>
    <x v="0"/>
    <n v="4040"/>
  </r>
  <r>
    <x v="6"/>
    <x v="1"/>
    <x v="0"/>
    <x v="1"/>
    <n v="8334"/>
  </r>
  <r>
    <x v="6"/>
    <x v="1"/>
    <x v="0"/>
    <x v="2"/>
    <n v="1200"/>
  </r>
  <r>
    <x v="6"/>
    <x v="1"/>
    <x v="0"/>
    <x v="3"/>
    <n v="1606"/>
  </r>
  <r>
    <x v="6"/>
    <x v="1"/>
    <x v="0"/>
    <x v="4"/>
    <n v="0"/>
  </r>
  <r>
    <x v="6"/>
    <x v="1"/>
    <x v="0"/>
    <x v="5"/>
    <n v="277"/>
  </r>
  <r>
    <x v="6"/>
    <x v="1"/>
    <x v="0"/>
    <x v="6"/>
    <n v="0"/>
  </r>
  <r>
    <x v="6"/>
    <x v="1"/>
    <x v="0"/>
    <x v="7"/>
    <n v="2067"/>
  </r>
  <r>
    <x v="6"/>
    <x v="1"/>
    <x v="0"/>
    <x v="8"/>
    <n v="850"/>
  </r>
  <r>
    <x v="6"/>
    <x v="1"/>
    <x v="0"/>
    <x v="9"/>
    <n v="1081"/>
  </r>
  <r>
    <x v="6"/>
    <x v="1"/>
    <x v="0"/>
    <x v="10"/>
    <n v="1172"/>
  </r>
  <r>
    <x v="6"/>
    <x v="1"/>
    <x v="0"/>
    <x v="11"/>
    <n v="4428"/>
  </r>
  <r>
    <x v="6"/>
    <x v="1"/>
    <x v="0"/>
    <x v="12"/>
    <n v="9982"/>
  </r>
  <r>
    <x v="6"/>
    <x v="1"/>
    <x v="0"/>
    <x v="13"/>
    <n v="0"/>
  </r>
  <r>
    <x v="7"/>
    <x v="1"/>
    <x v="0"/>
    <x v="0"/>
    <n v="10793"/>
  </r>
  <r>
    <x v="7"/>
    <x v="1"/>
    <x v="0"/>
    <x v="1"/>
    <n v="20570"/>
  </r>
  <r>
    <x v="7"/>
    <x v="1"/>
    <x v="0"/>
    <x v="2"/>
    <n v="25674"/>
  </r>
  <r>
    <x v="7"/>
    <x v="1"/>
    <x v="0"/>
    <x v="3"/>
    <n v="25048"/>
  </r>
  <r>
    <x v="7"/>
    <x v="1"/>
    <x v="0"/>
    <x v="4"/>
    <n v="7454"/>
  </r>
  <r>
    <x v="7"/>
    <x v="1"/>
    <x v="0"/>
    <x v="5"/>
    <n v="43429"/>
  </r>
  <r>
    <x v="7"/>
    <x v="1"/>
    <x v="0"/>
    <x v="6"/>
    <n v="0"/>
  </r>
  <r>
    <x v="7"/>
    <x v="1"/>
    <x v="0"/>
    <x v="7"/>
    <n v="38411"/>
  </r>
  <r>
    <x v="7"/>
    <x v="1"/>
    <x v="0"/>
    <x v="8"/>
    <n v="6915"/>
  </r>
  <r>
    <x v="7"/>
    <x v="1"/>
    <x v="0"/>
    <x v="9"/>
    <n v="3270"/>
  </r>
  <r>
    <x v="7"/>
    <x v="1"/>
    <x v="0"/>
    <x v="10"/>
    <n v="6340"/>
  </r>
  <r>
    <x v="7"/>
    <x v="1"/>
    <x v="0"/>
    <x v="11"/>
    <n v="36146"/>
  </r>
  <r>
    <x v="7"/>
    <x v="1"/>
    <x v="0"/>
    <x v="12"/>
    <n v="79893"/>
  </r>
  <r>
    <x v="7"/>
    <x v="1"/>
    <x v="0"/>
    <x v="13"/>
    <n v="559"/>
  </r>
  <r>
    <x v="8"/>
    <x v="1"/>
    <x v="0"/>
    <x v="0"/>
    <n v="0"/>
  </r>
  <r>
    <x v="8"/>
    <x v="1"/>
    <x v="0"/>
    <x v="1"/>
    <n v="0"/>
  </r>
  <r>
    <x v="8"/>
    <x v="1"/>
    <x v="0"/>
    <x v="2"/>
    <n v="4965"/>
  </r>
  <r>
    <x v="8"/>
    <x v="1"/>
    <x v="0"/>
    <x v="3"/>
    <n v="1708"/>
  </r>
  <r>
    <x v="8"/>
    <x v="1"/>
    <x v="0"/>
    <x v="4"/>
    <n v="867"/>
  </r>
  <r>
    <x v="8"/>
    <x v="1"/>
    <x v="0"/>
    <x v="5"/>
    <n v="5082"/>
  </r>
  <r>
    <x v="8"/>
    <x v="1"/>
    <x v="0"/>
    <x v="6"/>
    <n v="0"/>
  </r>
  <r>
    <x v="8"/>
    <x v="1"/>
    <x v="0"/>
    <x v="7"/>
    <n v="781"/>
  </r>
  <r>
    <x v="8"/>
    <x v="1"/>
    <x v="0"/>
    <x v="8"/>
    <n v="510"/>
  </r>
  <r>
    <x v="8"/>
    <x v="1"/>
    <x v="0"/>
    <x v="9"/>
    <n v="7"/>
  </r>
  <r>
    <x v="8"/>
    <x v="1"/>
    <x v="0"/>
    <x v="10"/>
    <n v="0"/>
  </r>
  <r>
    <x v="8"/>
    <x v="1"/>
    <x v="0"/>
    <x v="11"/>
    <n v="1915"/>
  </r>
  <r>
    <x v="8"/>
    <x v="1"/>
    <x v="0"/>
    <x v="12"/>
    <n v="5844"/>
  </r>
  <r>
    <x v="8"/>
    <x v="1"/>
    <x v="0"/>
    <x v="13"/>
    <n v="2"/>
  </r>
  <r>
    <x v="9"/>
    <x v="1"/>
    <x v="0"/>
    <x v="0"/>
    <n v="0"/>
  </r>
  <r>
    <x v="9"/>
    <x v="1"/>
    <x v="0"/>
    <x v="1"/>
    <n v="0"/>
  </r>
  <r>
    <x v="9"/>
    <x v="1"/>
    <x v="0"/>
    <x v="2"/>
    <n v="0"/>
  </r>
  <r>
    <x v="9"/>
    <x v="1"/>
    <x v="0"/>
    <x v="3"/>
    <n v="262"/>
  </r>
  <r>
    <x v="9"/>
    <x v="1"/>
    <x v="0"/>
    <x v="4"/>
    <n v="2313"/>
  </r>
  <r>
    <x v="9"/>
    <x v="1"/>
    <x v="0"/>
    <x v="5"/>
    <n v="301"/>
  </r>
  <r>
    <x v="9"/>
    <x v="1"/>
    <x v="0"/>
    <x v="6"/>
    <n v="0"/>
  </r>
  <r>
    <x v="9"/>
    <x v="1"/>
    <x v="0"/>
    <x v="7"/>
    <n v="0"/>
  </r>
  <r>
    <x v="9"/>
    <x v="1"/>
    <x v="0"/>
    <x v="8"/>
    <n v="101"/>
  </r>
  <r>
    <x v="9"/>
    <x v="1"/>
    <x v="0"/>
    <x v="9"/>
    <n v="8"/>
  </r>
  <r>
    <x v="9"/>
    <x v="1"/>
    <x v="0"/>
    <x v="10"/>
    <n v="0"/>
  </r>
  <r>
    <x v="9"/>
    <x v="1"/>
    <x v="0"/>
    <x v="11"/>
    <n v="498"/>
  </r>
  <r>
    <x v="9"/>
    <x v="1"/>
    <x v="0"/>
    <x v="12"/>
    <n v="1394"/>
  </r>
  <r>
    <x v="9"/>
    <x v="1"/>
    <x v="0"/>
    <x v="13"/>
    <n v="0"/>
  </r>
  <r>
    <x v="10"/>
    <x v="1"/>
    <x v="0"/>
    <x v="0"/>
    <n v="7573"/>
  </r>
  <r>
    <x v="10"/>
    <x v="1"/>
    <x v="0"/>
    <x v="1"/>
    <n v="1056"/>
  </r>
  <r>
    <x v="10"/>
    <x v="1"/>
    <x v="0"/>
    <x v="2"/>
    <n v="9975"/>
  </r>
  <r>
    <x v="10"/>
    <x v="1"/>
    <x v="0"/>
    <x v="3"/>
    <n v="32655"/>
  </r>
  <r>
    <x v="10"/>
    <x v="1"/>
    <x v="0"/>
    <x v="4"/>
    <n v="3289"/>
  </r>
  <r>
    <x v="10"/>
    <x v="1"/>
    <x v="0"/>
    <x v="5"/>
    <n v="23003"/>
  </r>
  <r>
    <x v="10"/>
    <x v="1"/>
    <x v="0"/>
    <x v="6"/>
    <n v="0"/>
  </r>
  <r>
    <x v="10"/>
    <x v="1"/>
    <x v="0"/>
    <x v="7"/>
    <n v="6967"/>
  </r>
  <r>
    <x v="10"/>
    <x v="1"/>
    <x v="0"/>
    <x v="8"/>
    <n v="747"/>
  </r>
  <r>
    <x v="10"/>
    <x v="1"/>
    <x v="0"/>
    <x v="9"/>
    <n v="17036"/>
  </r>
  <r>
    <x v="10"/>
    <x v="1"/>
    <x v="0"/>
    <x v="10"/>
    <n v="3300"/>
  </r>
  <r>
    <x v="10"/>
    <x v="1"/>
    <x v="0"/>
    <x v="11"/>
    <n v="18041"/>
  </r>
  <r>
    <x v="10"/>
    <x v="1"/>
    <x v="0"/>
    <x v="12"/>
    <n v="40324"/>
  </r>
  <r>
    <x v="10"/>
    <x v="1"/>
    <x v="0"/>
    <x v="13"/>
    <n v="588"/>
  </r>
  <r>
    <x v="11"/>
    <x v="1"/>
    <x v="0"/>
    <x v="0"/>
    <n v="2752"/>
  </r>
  <r>
    <x v="11"/>
    <x v="1"/>
    <x v="0"/>
    <x v="1"/>
    <n v="0"/>
  </r>
  <r>
    <x v="11"/>
    <x v="1"/>
    <x v="0"/>
    <x v="2"/>
    <n v="3295"/>
  </r>
  <r>
    <x v="11"/>
    <x v="1"/>
    <x v="0"/>
    <x v="3"/>
    <n v="1743"/>
  </r>
  <r>
    <x v="11"/>
    <x v="1"/>
    <x v="0"/>
    <x v="4"/>
    <n v="3382"/>
  </r>
  <r>
    <x v="11"/>
    <x v="1"/>
    <x v="0"/>
    <x v="5"/>
    <n v="1082"/>
  </r>
  <r>
    <x v="11"/>
    <x v="1"/>
    <x v="0"/>
    <x v="6"/>
    <n v="0"/>
  </r>
  <r>
    <x v="11"/>
    <x v="1"/>
    <x v="0"/>
    <x v="7"/>
    <n v="0"/>
  </r>
  <r>
    <x v="11"/>
    <x v="1"/>
    <x v="0"/>
    <x v="8"/>
    <n v="1919"/>
  </r>
  <r>
    <x v="11"/>
    <x v="1"/>
    <x v="0"/>
    <x v="9"/>
    <n v="3263"/>
  </r>
  <r>
    <x v="11"/>
    <x v="1"/>
    <x v="0"/>
    <x v="10"/>
    <n v="0"/>
  </r>
  <r>
    <x v="11"/>
    <x v="1"/>
    <x v="0"/>
    <x v="11"/>
    <n v="5194"/>
  </r>
  <r>
    <x v="11"/>
    <x v="1"/>
    <x v="0"/>
    <x v="12"/>
    <n v="13584"/>
  </r>
  <r>
    <x v="11"/>
    <x v="1"/>
    <x v="0"/>
    <x v="13"/>
    <n v="245"/>
  </r>
  <r>
    <x v="12"/>
    <x v="1"/>
    <x v="0"/>
    <x v="0"/>
    <n v="63130"/>
  </r>
  <r>
    <x v="12"/>
    <x v="1"/>
    <x v="0"/>
    <x v="1"/>
    <n v="0"/>
  </r>
  <r>
    <x v="12"/>
    <x v="1"/>
    <x v="0"/>
    <x v="2"/>
    <n v="3007"/>
  </r>
  <r>
    <x v="12"/>
    <x v="1"/>
    <x v="0"/>
    <x v="3"/>
    <n v="10901"/>
  </r>
  <r>
    <x v="12"/>
    <x v="1"/>
    <x v="0"/>
    <x v="4"/>
    <n v="8645"/>
  </r>
  <r>
    <x v="12"/>
    <x v="1"/>
    <x v="0"/>
    <x v="5"/>
    <n v="10312"/>
  </r>
  <r>
    <x v="12"/>
    <x v="1"/>
    <x v="0"/>
    <x v="6"/>
    <n v="0"/>
  </r>
  <r>
    <x v="12"/>
    <x v="1"/>
    <x v="0"/>
    <x v="7"/>
    <n v="6191"/>
  </r>
  <r>
    <x v="12"/>
    <x v="1"/>
    <x v="0"/>
    <x v="8"/>
    <n v="1703"/>
  </r>
  <r>
    <x v="12"/>
    <x v="1"/>
    <x v="0"/>
    <x v="9"/>
    <n v="23442"/>
  </r>
  <r>
    <x v="12"/>
    <x v="1"/>
    <x v="0"/>
    <x v="10"/>
    <n v="1979"/>
  </r>
  <r>
    <x v="12"/>
    <x v="1"/>
    <x v="0"/>
    <x v="11"/>
    <n v="29299"/>
  </r>
  <r>
    <x v="12"/>
    <x v="1"/>
    <x v="0"/>
    <x v="12"/>
    <n v="91611"/>
  </r>
  <r>
    <x v="12"/>
    <x v="1"/>
    <x v="0"/>
    <x v="13"/>
    <n v="0"/>
  </r>
  <r>
    <x v="13"/>
    <x v="1"/>
    <x v="0"/>
    <x v="0"/>
    <n v="8981"/>
  </r>
  <r>
    <x v="13"/>
    <x v="1"/>
    <x v="0"/>
    <x v="1"/>
    <n v="0"/>
  </r>
  <r>
    <x v="13"/>
    <x v="1"/>
    <x v="0"/>
    <x v="2"/>
    <n v="17926"/>
  </r>
  <r>
    <x v="13"/>
    <x v="1"/>
    <x v="0"/>
    <x v="3"/>
    <n v="29050"/>
  </r>
  <r>
    <x v="13"/>
    <x v="1"/>
    <x v="0"/>
    <x v="4"/>
    <n v="938"/>
  </r>
  <r>
    <x v="13"/>
    <x v="1"/>
    <x v="0"/>
    <x v="5"/>
    <n v="8503"/>
  </r>
  <r>
    <x v="13"/>
    <x v="1"/>
    <x v="0"/>
    <x v="6"/>
    <n v="0"/>
  </r>
  <r>
    <x v="13"/>
    <x v="1"/>
    <x v="0"/>
    <x v="7"/>
    <n v="9000"/>
  </r>
  <r>
    <x v="13"/>
    <x v="1"/>
    <x v="0"/>
    <x v="8"/>
    <n v="1377"/>
  </r>
  <r>
    <x v="13"/>
    <x v="1"/>
    <x v="0"/>
    <x v="9"/>
    <n v="1122"/>
  </r>
  <r>
    <x v="13"/>
    <x v="1"/>
    <x v="0"/>
    <x v="10"/>
    <n v="2744"/>
  </r>
  <r>
    <x v="13"/>
    <x v="1"/>
    <x v="0"/>
    <x v="11"/>
    <n v="20871"/>
  </r>
  <r>
    <x v="13"/>
    <x v="1"/>
    <x v="0"/>
    <x v="12"/>
    <n v="59576"/>
  </r>
  <r>
    <x v="13"/>
    <x v="1"/>
    <x v="0"/>
    <x v="13"/>
    <n v="0"/>
  </r>
  <r>
    <x v="14"/>
    <x v="1"/>
    <x v="0"/>
    <x v="0"/>
    <n v="0"/>
  </r>
  <r>
    <x v="14"/>
    <x v="1"/>
    <x v="0"/>
    <x v="1"/>
    <n v="4456"/>
  </r>
  <r>
    <x v="14"/>
    <x v="1"/>
    <x v="0"/>
    <x v="2"/>
    <n v="0"/>
  </r>
  <r>
    <x v="14"/>
    <x v="1"/>
    <x v="0"/>
    <x v="3"/>
    <n v="4768"/>
  </r>
  <r>
    <x v="14"/>
    <x v="1"/>
    <x v="0"/>
    <x v="4"/>
    <n v="698"/>
  </r>
  <r>
    <x v="14"/>
    <x v="1"/>
    <x v="0"/>
    <x v="5"/>
    <n v="1775"/>
  </r>
  <r>
    <x v="14"/>
    <x v="1"/>
    <x v="0"/>
    <x v="6"/>
    <n v="0"/>
  </r>
  <r>
    <x v="14"/>
    <x v="1"/>
    <x v="0"/>
    <x v="7"/>
    <n v="2444"/>
  </r>
  <r>
    <x v="14"/>
    <x v="1"/>
    <x v="0"/>
    <x v="8"/>
    <n v="52"/>
  </r>
  <r>
    <x v="14"/>
    <x v="1"/>
    <x v="0"/>
    <x v="9"/>
    <n v="224"/>
  </r>
  <r>
    <x v="14"/>
    <x v="1"/>
    <x v="0"/>
    <x v="10"/>
    <n v="3018"/>
  </r>
  <r>
    <x v="14"/>
    <x v="1"/>
    <x v="0"/>
    <x v="11"/>
    <n v="3599"/>
  </r>
  <r>
    <x v="14"/>
    <x v="1"/>
    <x v="0"/>
    <x v="12"/>
    <n v="9813"/>
  </r>
  <r>
    <x v="14"/>
    <x v="1"/>
    <x v="0"/>
    <x v="13"/>
    <n v="135"/>
  </r>
  <r>
    <x v="15"/>
    <x v="1"/>
    <x v="0"/>
    <x v="0"/>
    <n v="0"/>
  </r>
  <r>
    <x v="15"/>
    <x v="1"/>
    <x v="0"/>
    <x v="1"/>
    <n v="0"/>
  </r>
  <r>
    <x v="15"/>
    <x v="1"/>
    <x v="0"/>
    <x v="2"/>
    <n v="325"/>
  </r>
  <r>
    <x v="15"/>
    <x v="1"/>
    <x v="0"/>
    <x v="3"/>
    <n v="496"/>
  </r>
  <r>
    <x v="15"/>
    <x v="1"/>
    <x v="0"/>
    <x v="4"/>
    <n v="949"/>
  </r>
  <r>
    <x v="15"/>
    <x v="1"/>
    <x v="0"/>
    <x v="5"/>
    <n v="384"/>
  </r>
  <r>
    <x v="15"/>
    <x v="1"/>
    <x v="0"/>
    <x v="6"/>
    <n v="0"/>
  </r>
  <r>
    <x v="15"/>
    <x v="1"/>
    <x v="0"/>
    <x v="7"/>
    <n v="44"/>
  </r>
  <r>
    <x v="15"/>
    <x v="1"/>
    <x v="0"/>
    <x v="8"/>
    <n v="26"/>
  </r>
  <r>
    <x v="15"/>
    <x v="1"/>
    <x v="0"/>
    <x v="9"/>
    <n v="2112"/>
  </r>
  <r>
    <x v="15"/>
    <x v="1"/>
    <x v="0"/>
    <x v="10"/>
    <n v="0"/>
  </r>
  <r>
    <x v="15"/>
    <x v="1"/>
    <x v="0"/>
    <x v="11"/>
    <n v="1160"/>
  </r>
  <r>
    <x v="15"/>
    <x v="1"/>
    <x v="0"/>
    <x v="12"/>
    <n v="2950"/>
  </r>
  <r>
    <x v="15"/>
    <x v="1"/>
    <x v="0"/>
    <x v="13"/>
    <n v="42"/>
  </r>
  <r>
    <x v="16"/>
    <x v="1"/>
    <x v="0"/>
    <x v="0"/>
    <n v="1887"/>
  </r>
  <r>
    <x v="16"/>
    <x v="1"/>
    <x v="0"/>
    <x v="1"/>
    <n v="1007"/>
  </r>
  <r>
    <x v="16"/>
    <x v="1"/>
    <x v="0"/>
    <x v="2"/>
    <n v="0"/>
  </r>
  <r>
    <x v="16"/>
    <x v="1"/>
    <x v="0"/>
    <x v="3"/>
    <n v="4124"/>
  </r>
  <r>
    <x v="16"/>
    <x v="1"/>
    <x v="0"/>
    <x v="4"/>
    <n v="410"/>
  </r>
  <r>
    <x v="16"/>
    <x v="1"/>
    <x v="0"/>
    <x v="5"/>
    <n v="328"/>
  </r>
  <r>
    <x v="16"/>
    <x v="1"/>
    <x v="0"/>
    <x v="6"/>
    <n v="0"/>
  </r>
  <r>
    <x v="16"/>
    <x v="1"/>
    <x v="0"/>
    <x v="7"/>
    <n v="29"/>
  </r>
  <r>
    <x v="16"/>
    <x v="1"/>
    <x v="0"/>
    <x v="8"/>
    <n v="246"/>
  </r>
  <r>
    <x v="16"/>
    <x v="1"/>
    <x v="0"/>
    <x v="9"/>
    <n v="57"/>
  </r>
  <r>
    <x v="16"/>
    <x v="1"/>
    <x v="0"/>
    <x v="10"/>
    <n v="0"/>
  </r>
  <r>
    <x v="16"/>
    <x v="1"/>
    <x v="0"/>
    <x v="11"/>
    <n v="2857"/>
  </r>
  <r>
    <x v="16"/>
    <x v="1"/>
    <x v="0"/>
    <x v="12"/>
    <n v="6106"/>
  </r>
  <r>
    <x v="16"/>
    <x v="1"/>
    <x v="0"/>
    <x v="13"/>
    <n v="88"/>
  </r>
  <r>
    <x v="17"/>
    <x v="1"/>
    <x v="0"/>
    <x v="0"/>
    <n v="0"/>
  </r>
  <r>
    <x v="17"/>
    <x v="1"/>
    <x v="0"/>
    <x v="1"/>
    <n v="346"/>
  </r>
  <r>
    <x v="17"/>
    <x v="1"/>
    <x v="0"/>
    <x v="2"/>
    <n v="855"/>
  </r>
  <r>
    <x v="17"/>
    <x v="1"/>
    <x v="0"/>
    <x v="3"/>
    <n v="4270"/>
  </r>
  <r>
    <x v="17"/>
    <x v="1"/>
    <x v="0"/>
    <x v="4"/>
    <n v="938"/>
  </r>
  <r>
    <x v="17"/>
    <x v="1"/>
    <x v="0"/>
    <x v="5"/>
    <n v="2400"/>
  </r>
  <r>
    <x v="17"/>
    <x v="1"/>
    <x v="0"/>
    <x v="6"/>
    <n v="0"/>
  </r>
  <r>
    <x v="17"/>
    <x v="1"/>
    <x v="0"/>
    <x v="7"/>
    <n v="0"/>
  </r>
  <r>
    <x v="17"/>
    <x v="1"/>
    <x v="0"/>
    <x v="8"/>
    <n v="7"/>
  </r>
  <r>
    <x v="17"/>
    <x v="1"/>
    <x v="0"/>
    <x v="9"/>
    <n v="242"/>
  </r>
  <r>
    <x v="17"/>
    <x v="1"/>
    <x v="0"/>
    <x v="10"/>
    <n v="292"/>
  </r>
  <r>
    <x v="17"/>
    <x v="1"/>
    <x v="0"/>
    <x v="11"/>
    <n v="1804"/>
  </r>
  <r>
    <x v="17"/>
    <x v="1"/>
    <x v="0"/>
    <x v="12"/>
    <n v="4662"/>
  </r>
  <r>
    <x v="17"/>
    <x v="1"/>
    <x v="0"/>
    <x v="13"/>
    <n v="318"/>
  </r>
  <r>
    <x v="18"/>
    <x v="1"/>
    <x v="0"/>
    <x v="0"/>
    <n v="0"/>
  </r>
  <r>
    <x v="18"/>
    <x v="1"/>
    <x v="0"/>
    <x v="1"/>
    <n v="0"/>
  </r>
  <r>
    <x v="18"/>
    <x v="1"/>
    <x v="0"/>
    <x v="2"/>
    <n v="0"/>
  </r>
  <r>
    <x v="18"/>
    <x v="1"/>
    <x v="0"/>
    <x v="3"/>
    <n v="0"/>
  </r>
  <r>
    <x v="18"/>
    <x v="1"/>
    <x v="0"/>
    <x v="4"/>
    <n v="11"/>
  </r>
  <r>
    <x v="18"/>
    <x v="1"/>
    <x v="0"/>
    <x v="5"/>
    <n v="2"/>
  </r>
  <r>
    <x v="18"/>
    <x v="1"/>
    <x v="0"/>
    <x v="6"/>
    <n v="0"/>
  </r>
  <r>
    <x v="18"/>
    <x v="1"/>
    <x v="0"/>
    <x v="7"/>
    <n v="0"/>
  </r>
  <r>
    <x v="18"/>
    <x v="1"/>
    <x v="0"/>
    <x v="8"/>
    <n v="0"/>
  </r>
  <r>
    <x v="18"/>
    <x v="1"/>
    <x v="0"/>
    <x v="9"/>
    <n v="1972"/>
  </r>
  <r>
    <x v="18"/>
    <x v="1"/>
    <x v="0"/>
    <x v="10"/>
    <n v="0"/>
  </r>
  <r>
    <x v="18"/>
    <x v="1"/>
    <x v="0"/>
    <x v="11"/>
    <n v="1622"/>
  </r>
  <r>
    <x v="18"/>
    <x v="1"/>
    <x v="0"/>
    <x v="12"/>
    <n v="2327"/>
  </r>
  <r>
    <x v="18"/>
    <x v="1"/>
    <x v="0"/>
    <x v="13"/>
    <n v="661"/>
  </r>
  <r>
    <x v="19"/>
    <x v="1"/>
    <x v="0"/>
    <x v="0"/>
    <n v="0"/>
  </r>
  <r>
    <x v="19"/>
    <x v="1"/>
    <x v="0"/>
    <x v="1"/>
    <n v="0"/>
  </r>
  <r>
    <x v="19"/>
    <x v="1"/>
    <x v="0"/>
    <x v="2"/>
    <n v="8800"/>
  </r>
  <r>
    <x v="19"/>
    <x v="1"/>
    <x v="0"/>
    <x v="3"/>
    <n v="51500"/>
  </r>
  <r>
    <x v="19"/>
    <x v="1"/>
    <x v="0"/>
    <x v="4"/>
    <n v="9400"/>
  </r>
  <r>
    <x v="19"/>
    <x v="1"/>
    <x v="0"/>
    <x v="5"/>
    <n v="8750"/>
  </r>
  <r>
    <x v="19"/>
    <x v="1"/>
    <x v="0"/>
    <x v="6"/>
    <n v="0"/>
  </r>
  <r>
    <x v="19"/>
    <x v="1"/>
    <x v="0"/>
    <x v="7"/>
    <n v="19100"/>
  </r>
  <r>
    <x v="19"/>
    <x v="1"/>
    <x v="0"/>
    <x v="8"/>
    <n v="3700"/>
  </r>
  <r>
    <x v="19"/>
    <x v="1"/>
    <x v="0"/>
    <x v="9"/>
    <n v="0"/>
  </r>
  <r>
    <x v="19"/>
    <x v="1"/>
    <x v="0"/>
    <x v="10"/>
    <n v="22150"/>
  </r>
  <r>
    <x v="19"/>
    <x v="1"/>
    <x v="0"/>
    <x v="11"/>
    <n v="18785"/>
  </r>
  <r>
    <x v="19"/>
    <x v="1"/>
    <x v="0"/>
    <x v="12"/>
    <n v="59648"/>
  </r>
  <r>
    <x v="19"/>
    <x v="1"/>
    <x v="0"/>
    <x v="13"/>
    <n v="780"/>
  </r>
  <r>
    <x v="20"/>
    <x v="1"/>
    <x v="0"/>
    <x v="0"/>
    <n v="0"/>
  </r>
  <r>
    <x v="20"/>
    <x v="1"/>
    <x v="0"/>
    <x v="1"/>
    <n v="0"/>
  </r>
  <r>
    <x v="20"/>
    <x v="1"/>
    <x v="0"/>
    <x v="2"/>
    <n v="0"/>
  </r>
  <r>
    <x v="20"/>
    <x v="1"/>
    <x v="0"/>
    <x v="3"/>
    <n v="553"/>
  </r>
  <r>
    <x v="20"/>
    <x v="1"/>
    <x v="0"/>
    <x v="4"/>
    <n v="1779"/>
  </r>
  <r>
    <x v="20"/>
    <x v="1"/>
    <x v="0"/>
    <x v="5"/>
    <n v="290"/>
  </r>
  <r>
    <x v="20"/>
    <x v="1"/>
    <x v="0"/>
    <x v="6"/>
    <n v="0"/>
  </r>
  <r>
    <x v="20"/>
    <x v="1"/>
    <x v="0"/>
    <x v="7"/>
    <n v="69"/>
  </r>
  <r>
    <x v="20"/>
    <x v="1"/>
    <x v="0"/>
    <x v="8"/>
    <n v="77"/>
  </r>
  <r>
    <x v="20"/>
    <x v="1"/>
    <x v="0"/>
    <x v="9"/>
    <n v="126"/>
  </r>
  <r>
    <x v="20"/>
    <x v="1"/>
    <x v="0"/>
    <x v="10"/>
    <n v="0"/>
  </r>
  <r>
    <x v="20"/>
    <x v="1"/>
    <x v="0"/>
    <x v="11"/>
    <n v="784"/>
  </r>
  <r>
    <x v="20"/>
    <x v="1"/>
    <x v="0"/>
    <x v="12"/>
    <n v="1748"/>
  </r>
  <r>
    <x v="20"/>
    <x v="1"/>
    <x v="0"/>
    <x v="13"/>
    <n v="900"/>
  </r>
  <r>
    <x v="21"/>
    <x v="1"/>
    <x v="0"/>
    <x v="0"/>
    <n v="0"/>
  </r>
  <r>
    <x v="21"/>
    <x v="1"/>
    <x v="0"/>
    <x v="1"/>
    <n v="0"/>
  </r>
  <r>
    <x v="21"/>
    <x v="1"/>
    <x v="0"/>
    <x v="2"/>
    <n v="0"/>
  </r>
  <r>
    <x v="21"/>
    <x v="1"/>
    <x v="0"/>
    <x v="3"/>
    <n v="495"/>
  </r>
  <r>
    <x v="21"/>
    <x v="1"/>
    <x v="0"/>
    <x v="4"/>
    <n v="0"/>
  </r>
  <r>
    <x v="21"/>
    <x v="1"/>
    <x v="0"/>
    <x v="5"/>
    <n v="60"/>
  </r>
  <r>
    <x v="21"/>
    <x v="1"/>
    <x v="0"/>
    <x v="6"/>
    <n v="0"/>
  </r>
  <r>
    <x v="21"/>
    <x v="1"/>
    <x v="0"/>
    <x v="7"/>
    <n v="116"/>
  </r>
  <r>
    <x v="21"/>
    <x v="1"/>
    <x v="0"/>
    <x v="8"/>
    <n v="11"/>
  </r>
  <r>
    <x v="21"/>
    <x v="1"/>
    <x v="0"/>
    <x v="9"/>
    <n v="44"/>
  </r>
  <r>
    <x v="21"/>
    <x v="1"/>
    <x v="0"/>
    <x v="10"/>
    <n v="1290"/>
  </r>
  <r>
    <x v="21"/>
    <x v="1"/>
    <x v="0"/>
    <x v="11"/>
    <n v="339"/>
  </r>
  <r>
    <x v="21"/>
    <x v="1"/>
    <x v="0"/>
    <x v="12"/>
    <n v="1087"/>
  </r>
  <r>
    <x v="21"/>
    <x v="1"/>
    <x v="0"/>
    <x v="13"/>
    <n v="21"/>
  </r>
  <r>
    <x v="22"/>
    <x v="1"/>
    <x v="0"/>
    <x v="0"/>
    <n v="0"/>
  </r>
  <r>
    <x v="22"/>
    <x v="1"/>
    <x v="0"/>
    <x v="1"/>
    <n v="0"/>
  </r>
  <r>
    <x v="22"/>
    <x v="1"/>
    <x v="0"/>
    <x v="2"/>
    <n v="0"/>
  </r>
  <r>
    <x v="22"/>
    <x v="1"/>
    <x v="0"/>
    <x v="3"/>
    <n v="1031"/>
  </r>
  <r>
    <x v="22"/>
    <x v="1"/>
    <x v="0"/>
    <x v="4"/>
    <n v="113"/>
  </r>
  <r>
    <x v="22"/>
    <x v="1"/>
    <x v="0"/>
    <x v="5"/>
    <n v="70"/>
  </r>
  <r>
    <x v="22"/>
    <x v="1"/>
    <x v="0"/>
    <x v="6"/>
    <n v="0"/>
  </r>
  <r>
    <x v="22"/>
    <x v="1"/>
    <x v="0"/>
    <x v="7"/>
    <n v="0"/>
  </r>
  <r>
    <x v="22"/>
    <x v="1"/>
    <x v="0"/>
    <x v="8"/>
    <n v="113"/>
  </r>
  <r>
    <x v="22"/>
    <x v="1"/>
    <x v="0"/>
    <x v="9"/>
    <n v="1556"/>
  </r>
  <r>
    <x v="22"/>
    <x v="1"/>
    <x v="0"/>
    <x v="10"/>
    <n v="0"/>
  </r>
  <r>
    <x v="22"/>
    <x v="1"/>
    <x v="0"/>
    <x v="11"/>
    <n v="438"/>
  </r>
  <r>
    <x v="22"/>
    <x v="1"/>
    <x v="0"/>
    <x v="12"/>
    <n v="1225"/>
  </r>
  <r>
    <x v="22"/>
    <x v="1"/>
    <x v="0"/>
    <x v="13"/>
    <n v="0"/>
  </r>
  <r>
    <x v="23"/>
    <x v="1"/>
    <x v="0"/>
    <x v="0"/>
    <n v="0"/>
  </r>
  <r>
    <x v="23"/>
    <x v="1"/>
    <x v="0"/>
    <x v="1"/>
    <n v="220"/>
  </r>
  <r>
    <x v="23"/>
    <x v="1"/>
    <x v="0"/>
    <x v="2"/>
    <n v="0"/>
  </r>
  <r>
    <x v="23"/>
    <x v="1"/>
    <x v="0"/>
    <x v="3"/>
    <n v="0"/>
  </r>
  <r>
    <x v="23"/>
    <x v="1"/>
    <x v="0"/>
    <x v="4"/>
    <n v="0"/>
  </r>
  <r>
    <x v="23"/>
    <x v="1"/>
    <x v="0"/>
    <x v="5"/>
    <n v="0"/>
  </r>
  <r>
    <x v="23"/>
    <x v="1"/>
    <x v="0"/>
    <x v="6"/>
    <n v="0"/>
  </r>
  <r>
    <x v="23"/>
    <x v="1"/>
    <x v="0"/>
    <x v="7"/>
    <n v="0"/>
  </r>
  <r>
    <x v="23"/>
    <x v="1"/>
    <x v="0"/>
    <x v="8"/>
    <n v="0"/>
  </r>
  <r>
    <x v="23"/>
    <x v="1"/>
    <x v="0"/>
    <x v="9"/>
    <n v="10"/>
  </r>
  <r>
    <x v="23"/>
    <x v="1"/>
    <x v="0"/>
    <x v="10"/>
    <n v="650"/>
  </r>
  <r>
    <x v="23"/>
    <x v="1"/>
    <x v="0"/>
    <x v="11"/>
    <n v="225"/>
  </r>
  <r>
    <x v="23"/>
    <x v="1"/>
    <x v="0"/>
    <x v="12"/>
    <n v="583"/>
  </r>
  <r>
    <x v="23"/>
    <x v="1"/>
    <x v="0"/>
    <x v="13"/>
    <n v="0"/>
  </r>
  <r>
    <x v="24"/>
    <x v="1"/>
    <x v="0"/>
    <x v="0"/>
    <n v="0"/>
  </r>
  <r>
    <x v="24"/>
    <x v="1"/>
    <x v="0"/>
    <x v="1"/>
    <n v="718"/>
  </r>
  <r>
    <x v="24"/>
    <x v="1"/>
    <x v="0"/>
    <x v="2"/>
    <n v="0"/>
  </r>
  <r>
    <x v="24"/>
    <x v="1"/>
    <x v="0"/>
    <x v="3"/>
    <n v="250"/>
  </r>
  <r>
    <x v="24"/>
    <x v="1"/>
    <x v="0"/>
    <x v="4"/>
    <n v="189"/>
  </r>
  <r>
    <x v="24"/>
    <x v="1"/>
    <x v="0"/>
    <x v="5"/>
    <n v="36"/>
  </r>
  <r>
    <x v="24"/>
    <x v="1"/>
    <x v="0"/>
    <x v="6"/>
    <n v="0"/>
  </r>
  <r>
    <x v="24"/>
    <x v="1"/>
    <x v="0"/>
    <x v="7"/>
    <n v="0"/>
  </r>
  <r>
    <x v="24"/>
    <x v="1"/>
    <x v="0"/>
    <x v="8"/>
    <n v="0"/>
  </r>
  <r>
    <x v="24"/>
    <x v="1"/>
    <x v="0"/>
    <x v="9"/>
    <n v="0"/>
  </r>
  <r>
    <x v="24"/>
    <x v="1"/>
    <x v="0"/>
    <x v="10"/>
    <n v="539"/>
  </r>
  <r>
    <x v="24"/>
    <x v="1"/>
    <x v="0"/>
    <x v="11"/>
    <n v="530"/>
  </r>
  <r>
    <x v="24"/>
    <x v="1"/>
    <x v="0"/>
    <x v="12"/>
    <n v="1439"/>
  </r>
  <r>
    <x v="24"/>
    <x v="1"/>
    <x v="0"/>
    <x v="13"/>
    <n v="0"/>
  </r>
  <r>
    <x v="25"/>
    <x v="1"/>
    <x v="0"/>
    <x v="0"/>
    <n v="0"/>
  </r>
  <r>
    <x v="25"/>
    <x v="1"/>
    <x v="0"/>
    <x v="1"/>
    <n v="0"/>
  </r>
  <r>
    <x v="25"/>
    <x v="1"/>
    <x v="0"/>
    <x v="2"/>
    <n v="3836"/>
  </r>
  <r>
    <x v="25"/>
    <x v="1"/>
    <x v="0"/>
    <x v="3"/>
    <n v="2064"/>
  </r>
  <r>
    <x v="25"/>
    <x v="1"/>
    <x v="0"/>
    <x v="4"/>
    <n v="4"/>
  </r>
  <r>
    <x v="25"/>
    <x v="1"/>
    <x v="0"/>
    <x v="5"/>
    <n v="1447"/>
  </r>
  <r>
    <x v="25"/>
    <x v="1"/>
    <x v="0"/>
    <x v="6"/>
    <n v="0"/>
  </r>
  <r>
    <x v="25"/>
    <x v="1"/>
    <x v="0"/>
    <x v="7"/>
    <n v="0"/>
  </r>
  <r>
    <x v="25"/>
    <x v="1"/>
    <x v="0"/>
    <x v="8"/>
    <n v="43"/>
  </r>
  <r>
    <x v="25"/>
    <x v="1"/>
    <x v="0"/>
    <x v="9"/>
    <n v="12"/>
  </r>
  <r>
    <x v="25"/>
    <x v="1"/>
    <x v="0"/>
    <x v="10"/>
    <n v="0"/>
  </r>
  <r>
    <x v="25"/>
    <x v="1"/>
    <x v="0"/>
    <x v="11"/>
    <n v="538"/>
  </r>
  <r>
    <x v="25"/>
    <x v="1"/>
    <x v="0"/>
    <x v="12"/>
    <n v="1737"/>
  </r>
  <r>
    <x v="25"/>
    <x v="1"/>
    <x v="0"/>
    <x v="13"/>
    <n v="60"/>
  </r>
  <r>
    <x v="26"/>
    <x v="1"/>
    <x v="0"/>
    <x v="0"/>
    <n v="486"/>
  </r>
  <r>
    <x v="26"/>
    <x v="1"/>
    <x v="0"/>
    <x v="1"/>
    <n v="0"/>
  </r>
  <r>
    <x v="26"/>
    <x v="1"/>
    <x v="0"/>
    <x v="2"/>
    <n v="5658"/>
  </r>
  <r>
    <x v="26"/>
    <x v="1"/>
    <x v="0"/>
    <x v="3"/>
    <n v="19914"/>
  </r>
  <r>
    <x v="26"/>
    <x v="1"/>
    <x v="0"/>
    <x v="4"/>
    <n v="0"/>
  </r>
  <r>
    <x v="26"/>
    <x v="1"/>
    <x v="0"/>
    <x v="5"/>
    <n v="3641"/>
  </r>
  <r>
    <x v="26"/>
    <x v="1"/>
    <x v="0"/>
    <x v="6"/>
    <n v="0"/>
  </r>
  <r>
    <x v="26"/>
    <x v="1"/>
    <x v="0"/>
    <x v="7"/>
    <n v="1429"/>
  </r>
  <r>
    <x v="26"/>
    <x v="1"/>
    <x v="0"/>
    <x v="8"/>
    <n v="398"/>
  </r>
  <r>
    <x v="26"/>
    <x v="1"/>
    <x v="0"/>
    <x v="9"/>
    <n v="38"/>
  </r>
  <r>
    <x v="26"/>
    <x v="1"/>
    <x v="0"/>
    <x v="10"/>
    <n v="0"/>
  </r>
  <r>
    <x v="26"/>
    <x v="1"/>
    <x v="0"/>
    <x v="11"/>
    <n v="8892"/>
  </r>
  <r>
    <x v="26"/>
    <x v="1"/>
    <x v="0"/>
    <x v="12"/>
    <n v="17761"/>
  </r>
  <r>
    <x v="26"/>
    <x v="1"/>
    <x v="0"/>
    <x v="13"/>
    <n v="674"/>
  </r>
  <r>
    <x v="27"/>
    <x v="1"/>
    <x v="0"/>
    <x v="0"/>
    <n v="0"/>
  </r>
  <r>
    <x v="27"/>
    <x v="1"/>
    <x v="0"/>
    <x v="1"/>
    <n v="0"/>
  </r>
  <r>
    <x v="27"/>
    <x v="1"/>
    <x v="0"/>
    <x v="2"/>
    <n v="0"/>
  </r>
  <r>
    <x v="27"/>
    <x v="1"/>
    <x v="0"/>
    <x v="3"/>
    <n v="1600"/>
  </r>
  <r>
    <x v="27"/>
    <x v="1"/>
    <x v="0"/>
    <x v="4"/>
    <n v="0"/>
  </r>
  <r>
    <x v="27"/>
    <x v="1"/>
    <x v="0"/>
    <x v="5"/>
    <n v="860"/>
  </r>
  <r>
    <x v="27"/>
    <x v="1"/>
    <x v="0"/>
    <x v="6"/>
    <n v="0"/>
  </r>
  <r>
    <x v="27"/>
    <x v="1"/>
    <x v="0"/>
    <x v="7"/>
    <n v="0"/>
  </r>
  <r>
    <x v="27"/>
    <x v="1"/>
    <x v="0"/>
    <x v="8"/>
    <n v="32"/>
  </r>
  <r>
    <x v="27"/>
    <x v="1"/>
    <x v="0"/>
    <x v="9"/>
    <n v="31200"/>
  </r>
  <r>
    <x v="27"/>
    <x v="1"/>
    <x v="0"/>
    <x v="10"/>
    <n v="0"/>
  </r>
  <r>
    <x v="27"/>
    <x v="1"/>
    <x v="0"/>
    <x v="11"/>
    <n v="9527"/>
  </r>
  <r>
    <x v="27"/>
    <x v="1"/>
    <x v="0"/>
    <x v="12"/>
    <n v="22530"/>
  </r>
  <r>
    <x v="27"/>
    <x v="1"/>
    <x v="0"/>
    <x v="13"/>
    <n v="0"/>
  </r>
  <r>
    <x v="28"/>
    <x v="1"/>
    <x v="0"/>
    <x v="0"/>
    <n v="0"/>
  </r>
  <r>
    <x v="28"/>
    <x v="1"/>
    <x v="0"/>
    <x v="1"/>
    <n v="8525"/>
  </r>
  <r>
    <x v="28"/>
    <x v="1"/>
    <x v="0"/>
    <x v="2"/>
    <n v="17016"/>
  </r>
  <r>
    <x v="28"/>
    <x v="1"/>
    <x v="0"/>
    <x v="3"/>
    <n v="1354"/>
  </r>
  <r>
    <x v="28"/>
    <x v="1"/>
    <x v="0"/>
    <x v="4"/>
    <n v="2337"/>
  </r>
  <r>
    <x v="28"/>
    <x v="1"/>
    <x v="0"/>
    <x v="5"/>
    <n v="5186"/>
  </r>
  <r>
    <x v="28"/>
    <x v="1"/>
    <x v="0"/>
    <x v="6"/>
    <n v="0"/>
  </r>
  <r>
    <x v="28"/>
    <x v="1"/>
    <x v="0"/>
    <x v="7"/>
    <n v="87"/>
  </r>
  <r>
    <x v="28"/>
    <x v="1"/>
    <x v="0"/>
    <x v="8"/>
    <n v="612"/>
  </r>
  <r>
    <x v="28"/>
    <x v="1"/>
    <x v="0"/>
    <x v="9"/>
    <n v="942"/>
  </r>
  <r>
    <x v="28"/>
    <x v="1"/>
    <x v="0"/>
    <x v="10"/>
    <n v="1413"/>
  </r>
  <r>
    <x v="28"/>
    <x v="1"/>
    <x v="0"/>
    <x v="11"/>
    <n v="10143"/>
  </r>
  <r>
    <x v="28"/>
    <x v="1"/>
    <x v="0"/>
    <x v="12"/>
    <n v="23069"/>
  </r>
  <r>
    <x v="28"/>
    <x v="1"/>
    <x v="0"/>
    <x v="13"/>
    <n v="202"/>
  </r>
  <r>
    <x v="29"/>
    <x v="1"/>
    <x v="0"/>
    <x v="0"/>
    <n v="0"/>
  </r>
  <r>
    <x v="29"/>
    <x v="1"/>
    <x v="0"/>
    <x v="1"/>
    <n v="0"/>
  </r>
  <r>
    <x v="29"/>
    <x v="1"/>
    <x v="0"/>
    <x v="2"/>
    <n v="1756"/>
  </r>
  <r>
    <x v="29"/>
    <x v="1"/>
    <x v="0"/>
    <x v="3"/>
    <n v="4698"/>
  </r>
  <r>
    <x v="29"/>
    <x v="1"/>
    <x v="0"/>
    <x v="4"/>
    <n v="65"/>
  </r>
  <r>
    <x v="29"/>
    <x v="1"/>
    <x v="0"/>
    <x v="5"/>
    <n v="4826"/>
  </r>
  <r>
    <x v="29"/>
    <x v="1"/>
    <x v="0"/>
    <x v="6"/>
    <n v="0"/>
  </r>
  <r>
    <x v="29"/>
    <x v="1"/>
    <x v="0"/>
    <x v="7"/>
    <n v="429"/>
  </r>
  <r>
    <x v="29"/>
    <x v="1"/>
    <x v="0"/>
    <x v="8"/>
    <n v="613"/>
  </r>
  <r>
    <x v="29"/>
    <x v="1"/>
    <x v="0"/>
    <x v="9"/>
    <n v="6146"/>
  </r>
  <r>
    <x v="29"/>
    <x v="1"/>
    <x v="0"/>
    <x v="10"/>
    <n v="0"/>
  </r>
  <r>
    <x v="29"/>
    <x v="1"/>
    <x v="0"/>
    <x v="11"/>
    <n v="3419"/>
  </r>
  <r>
    <x v="29"/>
    <x v="1"/>
    <x v="0"/>
    <x v="12"/>
    <n v="8618"/>
  </r>
  <r>
    <x v="29"/>
    <x v="1"/>
    <x v="0"/>
    <x v="13"/>
    <n v="0"/>
  </r>
  <r>
    <x v="30"/>
    <x v="1"/>
    <x v="0"/>
    <x v="0"/>
    <n v="1300"/>
  </r>
  <r>
    <x v="30"/>
    <x v="1"/>
    <x v="0"/>
    <x v="1"/>
    <n v="3777"/>
  </r>
  <r>
    <x v="30"/>
    <x v="1"/>
    <x v="0"/>
    <x v="2"/>
    <n v="1148"/>
  </r>
  <r>
    <x v="30"/>
    <x v="1"/>
    <x v="0"/>
    <x v="3"/>
    <n v="1850"/>
  </r>
  <r>
    <x v="30"/>
    <x v="1"/>
    <x v="0"/>
    <x v="4"/>
    <n v="1721"/>
  </r>
  <r>
    <x v="30"/>
    <x v="1"/>
    <x v="0"/>
    <x v="5"/>
    <n v="2923"/>
  </r>
  <r>
    <x v="30"/>
    <x v="1"/>
    <x v="0"/>
    <x v="6"/>
    <n v="0"/>
  </r>
  <r>
    <x v="30"/>
    <x v="1"/>
    <x v="0"/>
    <x v="7"/>
    <n v="1249"/>
  </r>
  <r>
    <x v="30"/>
    <x v="1"/>
    <x v="0"/>
    <x v="8"/>
    <n v="112"/>
  </r>
  <r>
    <x v="30"/>
    <x v="1"/>
    <x v="0"/>
    <x v="9"/>
    <n v="6339"/>
  </r>
  <r>
    <x v="30"/>
    <x v="1"/>
    <x v="0"/>
    <x v="10"/>
    <n v="0"/>
  </r>
  <r>
    <x v="30"/>
    <x v="1"/>
    <x v="0"/>
    <x v="11"/>
    <n v="3799"/>
  </r>
  <r>
    <x v="30"/>
    <x v="1"/>
    <x v="0"/>
    <x v="12"/>
    <n v="8488"/>
  </r>
  <r>
    <x v="30"/>
    <x v="1"/>
    <x v="0"/>
    <x v="13"/>
    <n v="0"/>
  </r>
  <r>
    <x v="31"/>
    <x v="1"/>
    <x v="0"/>
    <x v="0"/>
    <n v="0"/>
  </r>
  <r>
    <x v="31"/>
    <x v="1"/>
    <x v="0"/>
    <x v="1"/>
    <n v="5238"/>
  </r>
  <r>
    <x v="31"/>
    <x v="1"/>
    <x v="0"/>
    <x v="2"/>
    <n v="0"/>
  </r>
  <r>
    <x v="31"/>
    <x v="1"/>
    <x v="0"/>
    <x v="3"/>
    <n v="311"/>
  </r>
  <r>
    <x v="31"/>
    <x v="1"/>
    <x v="0"/>
    <x v="4"/>
    <n v="0"/>
  </r>
  <r>
    <x v="31"/>
    <x v="1"/>
    <x v="0"/>
    <x v="5"/>
    <n v="0"/>
  </r>
  <r>
    <x v="31"/>
    <x v="1"/>
    <x v="0"/>
    <x v="6"/>
    <n v="0"/>
  </r>
  <r>
    <x v="31"/>
    <x v="1"/>
    <x v="0"/>
    <x v="7"/>
    <n v="0"/>
  </r>
  <r>
    <x v="31"/>
    <x v="1"/>
    <x v="0"/>
    <x v="8"/>
    <n v="0"/>
  </r>
  <r>
    <x v="31"/>
    <x v="1"/>
    <x v="0"/>
    <x v="9"/>
    <n v="2389"/>
  </r>
  <r>
    <x v="31"/>
    <x v="1"/>
    <x v="0"/>
    <x v="10"/>
    <n v="620"/>
  </r>
  <r>
    <x v="31"/>
    <x v="1"/>
    <x v="0"/>
    <x v="11"/>
    <n v="2486"/>
  </r>
  <r>
    <x v="31"/>
    <x v="1"/>
    <x v="0"/>
    <x v="12"/>
    <n v="6879"/>
  </r>
  <r>
    <x v="31"/>
    <x v="1"/>
    <x v="0"/>
    <x v="13"/>
    <n v="0"/>
  </r>
  <r>
    <x v="32"/>
    <x v="1"/>
    <x v="0"/>
    <x v="0"/>
    <n v="9714"/>
  </r>
  <r>
    <x v="32"/>
    <x v="1"/>
    <x v="0"/>
    <x v="1"/>
    <n v="0"/>
  </r>
  <r>
    <x v="32"/>
    <x v="1"/>
    <x v="0"/>
    <x v="2"/>
    <n v="225"/>
  </r>
  <r>
    <x v="32"/>
    <x v="1"/>
    <x v="0"/>
    <x v="3"/>
    <n v="879"/>
  </r>
  <r>
    <x v="32"/>
    <x v="1"/>
    <x v="0"/>
    <x v="4"/>
    <n v="3397"/>
  </r>
  <r>
    <x v="32"/>
    <x v="1"/>
    <x v="0"/>
    <x v="5"/>
    <n v="6029"/>
  </r>
  <r>
    <x v="32"/>
    <x v="1"/>
    <x v="0"/>
    <x v="6"/>
    <n v="0"/>
  </r>
  <r>
    <x v="32"/>
    <x v="1"/>
    <x v="0"/>
    <x v="7"/>
    <n v="104"/>
  </r>
  <r>
    <x v="32"/>
    <x v="1"/>
    <x v="0"/>
    <x v="8"/>
    <n v="2978"/>
  </r>
  <r>
    <x v="32"/>
    <x v="1"/>
    <x v="0"/>
    <x v="9"/>
    <n v="16184"/>
  </r>
  <r>
    <x v="32"/>
    <x v="1"/>
    <x v="0"/>
    <x v="10"/>
    <n v="0"/>
  </r>
  <r>
    <x v="32"/>
    <x v="1"/>
    <x v="0"/>
    <x v="11"/>
    <n v="9242"/>
  </r>
  <r>
    <x v="32"/>
    <x v="1"/>
    <x v="0"/>
    <x v="12"/>
    <n v="23395"/>
  </r>
  <r>
    <x v="32"/>
    <x v="1"/>
    <x v="0"/>
    <x v="13"/>
    <n v="441"/>
  </r>
  <r>
    <x v="33"/>
    <x v="1"/>
    <x v="0"/>
    <x v="0"/>
    <n v="696"/>
  </r>
  <r>
    <x v="33"/>
    <x v="1"/>
    <x v="0"/>
    <x v="1"/>
    <n v="921"/>
  </r>
  <r>
    <x v="33"/>
    <x v="1"/>
    <x v="0"/>
    <x v="2"/>
    <n v="0"/>
  </r>
  <r>
    <x v="33"/>
    <x v="1"/>
    <x v="0"/>
    <x v="3"/>
    <n v="549"/>
  </r>
  <r>
    <x v="33"/>
    <x v="1"/>
    <x v="0"/>
    <x v="4"/>
    <n v="0"/>
  </r>
  <r>
    <x v="33"/>
    <x v="1"/>
    <x v="0"/>
    <x v="5"/>
    <n v="3"/>
  </r>
  <r>
    <x v="33"/>
    <x v="1"/>
    <x v="0"/>
    <x v="6"/>
    <n v="0"/>
  </r>
  <r>
    <x v="33"/>
    <x v="1"/>
    <x v="0"/>
    <x v="7"/>
    <n v="263"/>
  </r>
  <r>
    <x v="33"/>
    <x v="1"/>
    <x v="0"/>
    <x v="8"/>
    <n v="17"/>
  </r>
  <r>
    <x v="33"/>
    <x v="1"/>
    <x v="0"/>
    <x v="9"/>
    <n v="1053"/>
  </r>
  <r>
    <x v="33"/>
    <x v="1"/>
    <x v="0"/>
    <x v="10"/>
    <n v="180"/>
  </r>
  <r>
    <x v="33"/>
    <x v="1"/>
    <x v="0"/>
    <x v="11"/>
    <n v="960"/>
  </r>
  <r>
    <x v="33"/>
    <x v="1"/>
    <x v="0"/>
    <x v="12"/>
    <n v="2086"/>
  </r>
  <r>
    <x v="33"/>
    <x v="1"/>
    <x v="0"/>
    <x v="13"/>
    <n v="40"/>
  </r>
  <r>
    <x v="34"/>
    <x v="1"/>
    <x v="0"/>
    <x v="0"/>
    <n v="1940"/>
  </r>
  <r>
    <x v="34"/>
    <x v="1"/>
    <x v="0"/>
    <x v="1"/>
    <n v="568"/>
  </r>
  <r>
    <x v="34"/>
    <x v="1"/>
    <x v="0"/>
    <x v="2"/>
    <n v="440"/>
  </r>
  <r>
    <x v="34"/>
    <x v="1"/>
    <x v="0"/>
    <x v="3"/>
    <n v="1093"/>
  </r>
  <r>
    <x v="34"/>
    <x v="1"/>
    <x v="0"/>
    <x v="4"/>
    <n v="617"/>
  </r>
  <r>
    <x v="34"/>
    <x v="1"/>
    <x v="0"/>
    <x v="5"/>
    <n v="3"/>
  </r>
  <r>
    <x v="34"/>
    <x v="1"/>
    <x v="0"/>
    <x v="6"/>
    <n v="0"/>
  </r>
  <r>
    <x v="34"/>
    <x v="1"/>
    <x v="0"/>
    <x v="7"/>
    <n v="532"/>
  </r>
  <r>
    <x v="34"/>
    <x v="1"/>
    <x v="0"/>
    <x v="8"/>
    <n v="259"/>
  </r>
  <r>
    <x v="34"/>
    <x v="1"/>
    <x v="0"/>
    <x v="9"/>
    <n v="1617"/>
  </r>
  <r>
    <x v="34"/>
    <x v="1"/>
    <x v="0"/>
    <x v="10"/>
    <n v="916"/>
  </r>
  <r>
    <x v="34"/>
    <x v="1"/>
    <x v="0"/>
    <x v="11"/>
    <n v="2231"/>
  </r>
  <r>
    <x v="34"/>
    <x v="1"/>
    <x v="0"/>
    <x v="12"/>
    <n v="4145"/>
  </r>
  <r>
    <x v="34"/>
    <x v="1"/>
    <x v="0"/>
    <x v="13"/>
    <n v="110"/>
  </r>
  <r>
    <x v="35"/>
    <x v="1"/>
    <x v="0"/>
    <x v="0"/>
    <n v="124551"/>
  </r>
  <r>
    <x v="35"/>
    <x v="1"/>
    <x v="0"/>
    <x v="1"/>
    <n v="62991"/>
  </r>
  <r>
    <x v="35"/>
    <x v="1"/>
    <x v="0"/>
    <x v="2"/>
    <n v="108450"/>
  </r>
  <r>
    <x v="35"/>
    <x v="1"/>
    <x v="0"/>
    <x v="3"/>
    <n v="217324"/>
  </r>
  <r>
    <x v="35"/>
    <x v="1"/>
    <x v="0"/>
    <x v="4"/>
    <n v="51762"/>
  </r>
  <r>
    <x v="35"/>
    <x v="1"/>
    <x v="0"/>
    <x v="5"/>
    <n v="136071"/>
  </r>
  <r>
    <x v="35"/>
    <x v="1"/>
    <x v="0"/>
    <x v="6"/>
    <n v="0"/>
  </r>
  <r>
    <x v="35"/>
    <x v="1"/>
    <x v="0"/>
    <x v="7"/>
    <n v="94582"/>
  </r>
  <r>
    <x v="35"/>
    <x v="1"/>
    <x v="0"/>
    <x v="8"/>
    <n v="25383"/>
  </r>
  <r>
    <x v="35"/>
    <x v="1"/>
    <x v="0"/>
    <x v="9"/>
    <n v="151575"/>
  </r>
  <r>
    <x v="35"/>
    <x v="1"/>
    <x v="0"/>
    <x v="10"/>
    <n v="50598"/>
  </r>
  <r>
    <x v="35"/>
    <x v="1"/>
    <x v="0"/>
    <x v="11"/>
    <n v="240673"/>
  </r>
  <r>
    <x v="35"/>
    <x v="1"/>
    <x v="0"/>
    <x v="12"/>
    <n v="528093"/>
  </r>
  <r>
    <x v="35"/>
    <x v="1"/>
    <x v="0"/>
    <x v="13"/>
    <n v="6425"/>
  </r>
  <r>
    <x v="0"/>
    <x v="2"/>
    <x v="0"/>
    <x v="0"/>
    <n v="0"/>
  </r>
  <r>
    <x v="0"/>
    <x v="2"/>
    <x v="0"/>
    <x v="1"/>
    <n v="0"/>
  </r>
  <r>
    <x v="0"/>
    <x v="2"/>
    <x v="0"/>
    <x v="2"/>
    <n v="1171"/>
  </r>
  <r>
    <x v="0"/>
    <x v="2"/>
    <x v="0"/>
    <x v="3"/>
    <n v="4820"/>
  </r>
  <r>
    <x v="0"/>
    <x v="2"/>
    <x v="0"/>
    <x v="4"/>
    <n v="1068"/>
  </r>
  <r>
    <x v="0"/>
    <x v="2"/>
    <x v="0"/>
    <x v="5"/>
    <n v="2489"/>
  </r>
  <r>
    <x v="0"/>
    <x v="2"/>
    <x v="0"/>
    <x v="6"/>
    <n v="0"/>
  </r>
  <r>
    <x v="0"/>
    <x v="2"/>
    <x v="0"/>
    <x v="7"/>
    <n v="732"/>
  </r>
  <r>
    <x v="0"/>
    <x v="2"/>
    <x v="0"/>
    <x v="8"/>
    <n v="596"/>
  </r>
  <r>
    <x v="0"/>
    <x v="2"/>
    <x v="0"/>
    <x v="9"/>
    <n v="13656"/>
  </r>
  <r>
    <x v="0"/>
    <x v="2"/>
    <x v="0"/>
    <x v="10"/>
    <n v="0"/>
  </r>
  <r>
    <x v="0"/>
    <x v="2"/>
    <x v="0"/>
    <x v="11"/>
    <n v="4664"/>
  </r>
  <r>
    <x v="0"/>
    <x v="2"/>
    <x v="0"/>
    <x v="12"/>
    <n v="11728"/>
  </r>
  <r>
    <x v="0"/>
    <x v="2"/>
    <x v="0"/>
    <x v="13"/>
    <n v="114"/>
  </r>
  <r>
    <x v="1"/>
    <x v="2"/>
    <x v="0"/>
    <x v="0"/>
    <n v="0"/>
  </r>
  <r>
    <x v="1"/>
    <x v="2"/>
    <x v="0"/>
    <x v="1"/>
    <n v="1876"/>
  </r>
  <r>
    <x v="1"/>
    <x v="2"/>
    <x v="0"/>
    <x v="2"/>
    <n v="0"/>
  </r>
  <r>
    <x v="1"/>
    <x v="2"/>
    <x v="0"/>
    <x v="3"/>
    <n v="0"/>
  </r>
  <r>
    <x v="1"/>
    <x v="2"/>
    <x v="0"/>
    <x v="4"/>
    <n v="0"/>
  </r>
  <r>
    <x v="1"/>
    <x v="2"/>
    <x v="0"/>
    <x v="5"/>
    <n v="0"/>
  </r>
  <r>
    <x v="1"/>
    <x v="2"/>
    <x v="0"/>
    <x v="6"/>
    <n v="0"/>
  </r>
  <r>
    <x v="1"/>
    <x v="2"/>
    <x v="0"/>
    <x v="7"/>
    <n v="0"/>
  </r>
  <r>
    <x v="1"/>
    <x v="2"/>
    <x v="0"/>
    <x v="8"/>
    <n v="0"/>
  </r>
  <r>
    <x v="1"/>
    <x v="2"/>
    <x v="0"/>
    <x v="9"/>
    <n v="1656"/>
  </r>
  <r>
    <x v="1"/>
    <x v="2"/>
    <x v="0"/>
    <x v="10"/>
    <n v="440"/>
  </r>
  <r>
    <x v="1"/>
    <x v="2"/>
    <x v="0"/>
    <x v="11"/>
    <n v="868"/>
  </r>
  <r>
    <x v="1"/>
    <x v="2"/>
    <x v="0"/>
    <x v="12"/>
    <n v="2142"/>
  </r>
  <r>
    <x v="1"/>
    <x v="2"/>
    <x v="0"/>
    <x v="13"/>
    <n v="0"/>
  </r>
  <r>
    <x v="2"/>
    <x v="2"/>
    <x v="0"/>
    <x v="0"/>
    <n v="5926"/>
  </r>
  <r>
    <x v="2"/>
    <x v="2"/>
    <x v="0"/>
    <x v="1"/>
    <n v="0"/>
  </r>
  <r>
    <x v="2"/>
    <x v="2"/>
    <x v="0"/>
    <x v="2"/>
    <n v="0"/>
  </r>
  <r>
    <x v="2"/>
    <x v="2"/>
    <x v="0"/>
    <x v="3"/>
    <n v="6546"/>
  </r>
  <r>
    <x v="2"/>
    <x v="2"/>
    <x v="0"/>
    <x v="4"/>
    <n v="160"/>
  </r>
  <r>
    <x v="2"/>
    <x v="2"/>
    <x v="0"/>
    <x v="5"/>
    <n v="1580"/>
  </r>
  <r>
    <x v="2"/>
    <x v="2"/>
    <x v="0"/>
    <x v="6"/>
    <n v="712"/>
  </r>
  <r>
    <x v="2"/>
    <x v="2"/>
    <x v="0"/>
    <x v="7"/>
    <n v="3087"/>
  </r>
  <r>
    <x v="2"/>
    <x v="2"/>
    <x v="0"/>
    <x v="8"/>
    <n v="823"/>
  </r>
  <r>
    <x v="2"/>
    <x v="2"/>
    <x v="0"/>
    <x v="9"/>
    <n v="122"/>
  </r>
  <r>
    <x v="2"/>
    <x v="2"/>
    <x v="0"/>
    <x v="10"/>
    <n v="1308"/>
  </r>
  <r>
    <x v="2"/>
    <x v="2"/>
    <x v="0"/>
    <x v="11"/>
    <n v="6012"/>
  </r>
  <r>
    <x v="2"/>
    <x v="2"/>
    <x v="0"/>
    <x v="12"/>
    <n v="13147"/>
  </r>
  <r>
    <x v="2"/>
    <x v="2"/>
    <x v="0"/>
    <x v="13"/>
    <n v="372"/>
  </r>
  <r>
    <x v="3"/>
    <x v="2"/>
    <x v="0"/>
    <x v="0"/>
    <n v="2000"/>
  </r>
  <r>
    <x v="3"/>
    <x v="2"/>
    <x v="0"/>
    <x v="1"/>
    <n v="4199"/>
  </r>
  <r>
    <x v="3"/>
    <x v="2"/>
    <x v="0"/>
    <x v="2"/>
    <n v="708"/>
  </r>
  <r>
    <x v="3"/>
    <x v="2"/>
    <x v="0"/>
    <x v="3"/>
    <n v="775"/>
  </r>
  <r>
    <x v="3"/>
    <x v="2"/>
    <x v="0"/>
    <x v="4"/>
    <n v="0"/>
  </r>
  <r>
    <x v="3"/>
    <x v="2"/>
    <x v="0"/>
    <x v="5"/>
    <n v="701"/>
  </r>
  <r>
    <x v="3"/>
    <x v="2"/>
    <x v="0"/>
    <x v="6"/>
    <n v="0"/>
  </r>
  <r>
    <x v="3"/>
    <x v="2"/>
    <x v="0"/>
    <x v="7"/>
    <n v="1043"/>
  </r>
  <r>
    <x v="3"/>
    <x v="2"/>
    <x v="0"/>
    <x v="8"/>
    <n v="69"/>
  </r>
  <r>
    <x v="3"/>
    <x v="2"/>
    <x v="0"/>
    <x v="9"/>
    <n v="2207"/>
  </r>
  <r>
    <x v="3"/>
    <x v="2"/>
    <x v="0"/>
    <x v="10"/>
    <n v="997"/>
  </r>
  <r>
    <x v="3"/>
    <x v="2"/>
    <x v="0"/>
    <x v="11"/>
    <n v="2662"/>
  </r>
  <r>
    <x v="3"/>
    <x v="2"/>
    <x v="0"/>
    <x v="12"/>
    <n v="7105"/>
  </r>
  <r>
    <x v="3"/>
    <x v="2"/>
    <x v="0"/>
    <x v="13"/>
    <n v="0"/>
  </r>
  <r>
    <x v="4"/>
    <x v="2"/>
    <x v="0"/>
    <x v="0"/>
    <n v="3333"/>
  </r>
  <r>
    <x v="4"/>
    <x v="2"/>
    <x v="0"/>
    <x v="1"/>
    <n v="0"/>
  </r>
  <r>
    <x v="4"/>
    <x v="2"/>
    <x v="0"/>
    <x v="2"/>
    <n v="0"/>
  </r>
  <r>
    <x v="4"/>
    <x v="2"/>
    <x v="0"/>
    <x v="3"/>
    <n v="0"/>
  </r>
  <r>
    <x v="4"/>
    <x v="2"/>
    <x v="0"/>
    <x v="4"/>
    <n v="501"/>
  </r>
  <r>
    <x v="4"/>
    <x v="2"/>
    <x v="0"/>
    <x v="5"/>
    <n v="60"/>
  </r>
  <r>
    <x v="4"/>
    <x v="2"/>
    <x v="0"/>
    <x v="6"/>
    <n v="0"/>
  </r>
  <r>
    <x v="4"/>
    <x v="2"/>
    <x v="0"/>
    <x v="7"/>
    <n v="1061"/>
  </r>
  <r>
    <x v="4"/>
    <x v="2"/>
    <x v="0"/>
    <x v="8"/>
    <n v="248"/>
  </r>
  <r>
    <x v="4"/>
    <x v="2"/>
    <x v="0"/>
    <x v="9"/>
    <n v="12362"/>
  </r>
  <r>
    <x v="4"/>
    <x v="2"/>
    <x v="0"/>
    <x v="10"/>
    <n v="1383"/>
  </r>
  <r>
    <x v="4"/>
    <x v="2"/>
    <x v="0"/>
    <x v="11"/>
    <n v="4547"/>
  </r>
  <r>
    <x v="4"/>
    <x v="2"/>
    <x v="0"/>
    <x v="12"/>
    <n v="10178"/>
  </r>
  <r>
    <x v="4"/>
    <x v="2"/>
    <x v="0"/>
    <x v="13"/>
    <n v="244"/>
  </r>
  <r>
    <x v="5"/>
    <x v="2"/>
    <x v="0"/>
    <x v="0"/>
    <n v="0"/>
  </r>
  <r>
    <x v="5"/>
    <x v="2"/>
    <x v="0"/>
    <x v="1"/>
    <n v="0"/>
  </r>
  <r>
    <x v="5"/>
    <x v="2"/>
    <x v="0"/>
    <x v="2"/>
    <n v="0"/>
  </r>
  <r>
    <x v="5"/>
    <x v="2"/>
    <x v="0"/>
    <x v="3"/>
    <n v="0"/>
  </r>
  <r>
    <x v="5"/>
    <x v="2"/>
    <x v="0"/>
    <x v="4"/>
    <n v="1478"/>
  </r>
  <r>
    <x v="5"/>
    <x v="2"/>
    <x v="0"/>
    <x v="5"/>
    <n v="155"/>
  </r>
  <r>
    <x v="5"/>
    <x v="2"/>
    <x v="0"/>
    <x v="6"/>
    <n v="0"/>
  </r>
  <r>
    <x v="5"/>
    <x v="2"/>
    <x v="0"/>
    <x v="7"/>
    <n v="0"/>
  </r>
  <r>
    <x v="5"/>
    <x v="2"/>
    <x v="0"/>
    <x v="8"/>
    <n v="0"/>
  </r>
  <r>
    <x v="5"/>
    <x v="2"/>
    <x v="0"/>
    <x v="9"/>
    <n v="0"/>
  </r>
  <r>
    <x v="5"/>
    <x v="2"/>
    <x v="0"/>
    <x v="10"/>
    <n v="0"/>
  </r>
  <r>
    <x v="5"/>
    <x v="2"/>
    <x v="0"/>
    <x v="11"/>
    <n v="285"/>
  </r>
  <r>
    <x v="5"/>
    <x v="2"/>
    <x v="0"/>
    <x v="12"/>
    <n v="966"/>
  </r>
  <r>
    <x v="5"/>
    <x v="2"/>
    <x v="0"/>
    <x v="13"/>
    <n v="98"/>
  </r>
  <r>
    <x v="6"/>
    <x v="2"/>
    <x v="0"/>
    <x v="0"/>
    <n v="4040"/>
  </r>
  <r>
    <x v="6"/>
    <x v="2"/>
    <x v="0"/>
    <x v="1"/>
    <n v="7929"/>
  </r>
  <r>
    <x v="6"/>
    <x v="2"/>
    <x v="0"/>
    <x v="2"/>
    <n v="1200"/>
  </r>
  <r>
    <x v="6"/>
    <x v="2"/>
    <x v="0"/>
    <x v="3"/>
    <n v="1606"/>
  </r>
  <r>
    <x v="6"/>
    <x v="2"/>
    <x v="0"/>
    <x v="4"/>
    <n v="0"/>
  </r>
  <r>
    <x v="6"/>
    <x v="2"/>
    <x v="0"/>
    <x v="5"/>
    <n v="277"/>
  </r>
  <r>
    <x v="6"/>
    <x v="2"/>
    <x v="0"/>
    <x v="6"/>
    <n v="0"/>
  </r>
  <r>
    <x v="6"/>
    <x v="2"/>
    <x v="0"/>
    <x v="7"/>
    <n v="2027"/>
  </r>
  <r>
    <x v="6"/>
    <x v="2"/>
    <x v="0"/>
    <x v="8"/>
    <n v="850"/>
  </r>
  <r>
    <x v="6"/>
    <x v="2"/>
    <x v="0"/>
    <x v="9"/>
    <n v="1087"/>
  </r>
  <r>
    <x v="6"/>
    <x v="2"/>
    <x v="0"/>
    <x v="10"/>
    <n v="1172"/>
  </r>
  <r>
    <x v="6"/>
    <x v="2"/>
    <x v="0"/>
    <x v="11"/>
    <n v="4446"/>
  </r>
  <r>
    <x v="6"/>
    <x v="2"/>
    <x v="0"/>
    <x v="12"/>
    <n v="10512"/>
  </r>
  <r>
    <x v="6"/>
    <x v="2"/>
    <x v="0"/>
    <x v="13"/>
    <n v="0"/>
  </r>
  <r>
    <x v="7"/>
    <x v="2"/>
    <x v="0"/>
    <x v="0"/>
    <n v="10793"/>
  </r>
  <r>
    <x v="7"/>
    <x v="2"/>
    <x v="0"/>
    <x v="1"/>
    <n v="20863"/>
  </r>
  <r>
    <x v="7"/>
    <x v="2"/>
    <x v="0"/>
    <x v="2"/>
    <n v="26818"/>
  </r>
  <r>
    <x v="7"/>
    <x v="2"/>
    <x v="0"/>
    <x v="3"/>
    <n v="28596"/>
  </r>
  <r>
    <x v="7"/>
    <x v="2"/>
    <x v="0"/>
    <x v="4"/>
    <n v="7897"/>
  </r>
  <r>
    <x v="7"/>
    <x v="2"/>
    <x v="0"/>
    <x v="5"/>
    <n v="45004"/>
  </r>
  <r>
    <x v="7"/>
    <x v="2"/>
    <x v="0"/>
    <x v="6"/>
    <n v="4122"/>
  </r>
  <r>
    <x v="7"/>
    <x v="2"/>
    <x v="0"/>
    <x v="7"/>
    <n v="39791"/>
  </r>
  <r>
    <x v="7"/>
    <x v="2"/>
    <x v="0"/>
    <x v="8"/>
    <n v="6908"/>
  </r>
  <r>
    <x v="7"/>
    <x v="2"/>
    <x v="0"/>
    <x v="9"/>
    <n v="4130"/>
  </r>
  <r>
    <x v="7"/>
    <x v="2"/>
    <x v="0"/>
    <x v="10"/>
    <n v="6345"/>
  </r>
  <r>
    <x v="7"/>
    <x v="2"/>
    <x v="0"/>
    <x v="11"/>
    <n v="36670"/>
  </r>
  <r>
    <x v="7"/>
    <x v="2"/>
    <x v="0"/>
    <x v="12"/>
    <n v="81945"/>
  </r>
  <r>
    <x v="7"/>
    <x v="2"/>
    <x v="0"/>
    <x v="13"/>
    <n v="1844"/>
  </r>
  <r>
    <x v="8"/>
    <x v="2"/>
    <x v="0"/>
    <x v="0"/>
    <n v="0"/>
  </r>
  <r>
    <x v="8"/>
    <x v="2"/>
    <x v="0"/>
    <x v="1"/>
    <n v="0"/>
  </r>
  <r>
    <x v="8"/>
    <x v="2"/>
    <x v="0"/>
    <x v="2"/>
    <n v="4550"/>
  </r>
  <r>
    <x v="8"/>
    <x v="2"/>
    <x v="0"/>
    <x v="3"/>
    <n v="2431"/>
  </r>
  <r>
    <x v="8"/>
    <x v="2"/>
    <x v="0"/>
    <x v="4"/>
    <n v="883"/>
  </r>
  <r>
    <x v="8"/>
    <x v="2"/>
    <x v="0"/>
    <x v="5"/>
    <n v="3978"/>
  </r>
  <r>
    <x v="8"/>
    <x v="2"/>
    <x v="0"/>
    <x v="6"/>
    <n v="1271"/>
  </r>
  <r>
    <x v="8"/>
    <x v="2"/>
    <x v="0"/>
    <x v="7"/>
    <n v="851"/>
  </r>
  <r>
    <x v="8"/>
    <x v="2"/>
    <x v="0"/>
    <x v="8"/>
    <n v="1178"/>
  </r>
  <r>
    <x v="8"/>
    <x v="2"/>
    <x v="0"/>
    <x v="9"/>
    <n v="8"/>
  </r>
  <r>
    <x v="8"/>
    <x v="2"/>
    <x v="0"/>
    <x v="10"/>
    <n v="0"/>
  </r>
  <r>
    <x v="8"/>
    <x v="2"/>
    <x v="0"/>
    <x v="11"/>
    <n v="2213"/>
  </r>
  <r>
    <x v="8"/>
    <x v="2"/>
    <x v="0"/>
    <x v="12"/>
    <n v="6115"/>
  </r>
  <r>
    <x v="8"/>
    <x v="2"/>
    <x v="0"/>
    <x v="13"/>
    <n v="376"/>
  </r>
  <r>
    <x v="9"/>
    <x v="2"/>
    <x v="0"/>
    <x v="0"/>
    <n v="0"/>
  </r>
  <r>
    <x v="9"/>
    <x v="2"/>
    <x v="0"/>
    <x v="1"/>
    <n v="0"/>
  </r>
  <r>
    <x v="9"/>
    <x v="2"/>
    <x v="0"/>
    <x v="2"/>
    <n v="0"/>
  </r>
  <r>
    <x v="9"/>
    <x v="2"/>
    <x v="0"/>
    <x v="3"/>
    <n v="204"/>
  </r>
  <r>
    <x v="9"/>
    <x v="2"/>
    <x v="0"/>
    <x v="4"/>
    <n v="2240"/>
  </r>
  <r>
    <x v="9"/>
    <x v="2"/>
    <x v="0"/>
    <x v="5"/>
    <n v="375"/>
  </r>
  <r>
    <x v="9"/>
    <x v="2"/>
    <x v="0"/>
    <x v="6"/>
    <n v="0"/>
  </r>
  <r>
    <x v="9"/>
    <x v="2"/>
    <x v="0"/>
    <x v="7"/>
    <n v="1"/>
  </r>
  <r>
    <x v="9"/>
    <x v="2"/>
    <x v="0"/>
    <x v="8"/>
    <n v="82"/>
  </r>
  <r>
    <x v="9"/>
    <x v="2"/>
    <x v="0"/>
    <x v="9"/>
    <n v="8"/>
  </r>
  <r>
    <x v="9"/>
    <x v="2"/>
    <x v="0"/>
    <x v="10"/>
    <n v="0"/>
  </r>
  <r>
    <x v="9"/>
    <x v="2"/>
    <x v="0"/>
    <x v="11"/>
    <n v="493"/>
  </r>
  <r>
    <x v="9"/>
    <x v="2"/>
    <x v="0"/>
    <x v="12"/>
    <n v="1538"/>
  </r>
  <r>
    <x v="9"/>
    <x v="2"/>
    <x v="0"/>
    <x v="13"/>
    <n v="31"/>
  </r>
  <r>
    <x v="10"/>
    <x v="2"/>
    <x v="0"/>
    <x v="0"/>
    <n v="7573"/>
  </r>
  <r>
    <x v="10"/>
    <x v="2"/>
    <x v="0"/>
    <x v="1"/>
    <n v="1056"/>
  </r>
  <r>
    <x v="10"/>
    <x v="2"/>
    <x v="0"/>
    <x v="2"/>
    <n v="8949"/>
  </r>
  <r>
    <x v="10"/>
    <x v="2"/>
    <x v="0"/>
    <x v="3"/>
    <n v="32323"/>
  </r>
  <r>
    <x v="10"/>
    <x v="2"/>
    <x v="0"/>
    <x v="4"/>
    <n v="3425"/>
  </r>
  <r>
    <x v="10"/>
    <x v="2"/>
    <x v="0"/>
    <x v="5"/>
    <n v="23057"/>
  </r>
  <r>
    <x v="10"/>
    <x v="2"/>
    <x v="0"/>
    <x v="6"/>
    <n v="0"/>
  </r>
  <r>
    <x v="10"/>
    <x v="2"/>
    <x v="0"/>
    <x v="7"/>
    <n v="4674"/>
  </r>
  <r>
    <x v="10"/>
    <x v="2"/>
    <x v="0"/>
    <x v="8"/>
    <n v="744"/>
  </r>
  <r>
    <x v="10"/>
    <x v="2"/>
    <x v="0"/>
    <x v="9"/>
    <n v="17025"/>
  </r>
  <r>
    <x v="10"/>
    <x v="2"/>
    <x v="0"/>
    <x v="10"/>
    <n v="3329"/>
  </r>
  <r>
    <x v="10"/>
    <x v="2"/>
    <x v="0"/>
    <x v="11"/>
    <n v="18054"/>
  </r>
  <r>
    <x v="10"/>
    <x v="2"/>
    <x v="0"/>
    <x v="12"/>
    <n v="40144"/>
  </r>
  <r>
    <x v="10"/>
    <x v="2"/>
    <x v="0"/>
    <x v="13"/>
    <n v="3127"/>
  </r>
  <r>
    <x v="11"/>
    <x v="2"/>
    <x v="0"/>
    <x v="0"/>
    <n v="2782"/>
  </r>
  <r>
    <x v="11"/>
    <x v="2"/>
    <x v="0"/>
    <x v="1"/>
    <n v="0"/>
  </r>
  <r>
    <x v="11"/>
    <x v="2"/>
    <x v="0"/>
    <x v="2"/>
    <n v="2854"/>
  </r>
  <r>
    <x v="11"/>
    <x v="2"/>
    <x v="0"/>
    <x v="3"/>
    <n v="1795"/>
  </r>
  <r>
    <x v="11"/>
    <x v="2"/>
    <x v="0"/>
    <x v="4"/>
    <n v="3067"/>
  </r>
  <r>
    <x v="11"/>
    <x v="2"/>
    <x v="0"/>
    <x v="5"/>
    <n v="1432"/>
  </r>
  <r>
    <x v="11"/>
    <x v="2"/>
    <x v="0"/>
    <x v="6"/>
    <n v="0"/>
  </r>
  <r>
    <x v="11"/>
    <x v="2"/>
    <x v="0"/>
    <x v="7"/>
    <n v="0"/>
  </r>
  <r>
    <x v="11"/>
    <x v="2"/>
    <x v="0"/>
    <x v="8"/>
    <n v="1663"/>
  </r>
  <r>
    <x v="11"/>
    <x v="2"/>
    <x v="0"/>
    <x v="9"/>
    <n v="3207"/>
  </r>
  <r>
    <x v="11"/>
    <x v="2"/>
    <x v="0"/>
    <x v="10"/>
    <n v="0"/>
  </r>
  <r>
    <x v="11"/>
    <x v="2"/>
    <x v="0"/>
    <x v="11"/>
    <n v="5534"/>
  </r>
  <r>
    <x v="11"/>
    <x v="2"/>
    <x v="0"/>
    <x v="12"/>
    <n v="15177"/>
  </r>
  <r>
    <x v="11"/>
    <x v="2"/>
    <x v="0"/>
    <x v="13"/>
    <n v="211"/>
  </r>
  <r>
    <x v="12"/>
    <x v="2"/>
    <x v="0"/>
    <x v="0"/>
    <n v="63130"/>
  </r>
  <r>
    <x v="12"/>
    <x v="2"/>
    <x v="0"/>
    <x v="1"/>
    <n v="0"/>
  </r>
  <r>
    <x v="12"/>
    <x v="2"/>
    <x v="0"/>
    <x v="2"/>
    <n v="2997"/>
  </r>
  <r>
    <x v="12"/>
    <x v="2"/>
    <x v="0"/>
    <x v="3"/>
    <n v="11679"/>
  </r>
  <r>
    <x v="12"/>
    <x v="2"/>
    <x v="0"/>
    <x v="4"/>
    <n v="7130"/>
  </r>
  <r>
    <x v="12"/>
    <x v="2"/>
    <x v="0"/>
    <x v="5"/>
    <n v="11762"/>
  </r>
  <r>
    <x v="12"/>
    <x v="2"/>
    <x v="0"/>
    <x v="6"/>
    <n v="0"/>
  </r>
  <r>
    <x v="12"/>
    <x v="2"/>
    <x v="0"/>
    <x v="7"/>
    <n v="6772"/>
  </r>
  <r>
    <x v="12"/>
    <x v="2"/>
    <x v="0"/>
    <x v="8"/>
    <n v="1046"/>
  </r>
  <r>
    <x v="12"/>
    <x v="2"/>
    <x v="0"/>
    <x v="9"/>
    <n v="23751"/>
  </r>
  <r>
    <x v="12"/>
    <x v="2"/>
    <x v="0"/>
    <x v="10"/>
    <n v="0"/>
  </r>
  <r>
    <x v="12"/>
    <x v="2"/>
    <x v="0"/>
    <x v="11"/>
    <n v="30584"/>
  </r>
  <r>
    <x v="12"/>
    <x v="2"/>
    <x v="0"/>
    <x v="12"/>
    <n v="88571"/>
  </r>
  <r>
    <x v="12"/>
    <x v="2"/>
    <x v="0"/>
    <x v="13"/>
    <n v="2609"/>
  </r>
  <r>
    <x v="13"/>
    <x v="2"/>
    <x v="0"/>
    <x v="0"/>
    <n v="9230"/>
  </r>
  <r>
    <x v="13"/>
    <x v="2"/>
    <x v="0"/>
    <x v="1"/>
    <n v="0"/>
  </r>
  <r>
    <x v="13"/>
    <x v="2"/>
    <x v="0"/>
    <x v="2"/>
    <n v="15450"/>
  </r>
  <r>
    <x v="13"/>
    <x v="2"/>
    <x v="0"/>
    <x v="3"/>
    <n v="30600"/>
  </r>
  <r>
    <x v="13"/>
    <x v="2"/>
    <x v="0"/>
    <x v="4"/>
    <n v="880"/>
  </r>
  <r>
    <x v="13"/>
    <x v="2"/>
    <x v="0"/>
    <x v="5"/>
    <n v="10000"/>
  </r>
  <r>
    <x v="13"/>
    <x v="2"/>
    <x v="0"/>
    <x v="6"/>
    <n v="5000"/>
  </r>
  <r>
    <x v="13"/>
    <x v="2"/>
    <x v="0"/>
    <x v="7"/>
    <n v="11500"/>
  </r>
  <r>
    <x v="13"/>
    <x v="2"/>
    <x v="0"/>
    <x v="8"/>
    <n v="1377"/>
  </r>
  <r>
    <x v="13"/>
    <x v="2"/>
    <x v="0"/>
    <x v="9"/>
    <n v="3920"/>
  </r>
  <r>
    <x v="13"/>
    <x v="2"/>
    <x v="0"/>
    <x v="10"/>
    <n v="0"/>
  </r>
  <r>
    <x v="13"/>
    <x v="2"/>
    <x v="0"/>
    <x v="11"/>
    <n v="22590"/>
  </r>
  <r>
    <x v="13"/>
    <x v="2"/>
    <x v="0"/>
    <x v="12"/>
    <n v="69392"/>
  </r>
  <r>
    <x v="13"/>
    <x v="2"/>
    <x v="0"/>
    <x v="13"/>
    <n v="0"/>
  </r>
  <r>
    <x v="14"/>
    <x v="2"/>
    <x v="0"/>
    <x v="0"/>
    <n v="0"/>
  </r>
  <r>
    <x v="14"/>
    <x v="2"/>
    <x v="0"/>
    <x v="1"/>
    <n v="4456"/>
  </r>
  <r>
    <x v="14"/>
    <x v="2"/>
    <x v="0"/>
    <x v="2"/>
    <n v="0"/>
  </r>
  <r>
    <x v="14"/>
    <x v="2"/>
    <x v="0"/>
    <x v="3"/>
    <n v="5613"/>
  </r>
  <r>
    <x v="14"/>
    <x v="2"/>
    <x v="0"/>
    <x v="4"/>
    <n v="2451"/>
  </r>
  <r>
    <x v="14"/>
    <x v="2"/>
    <x v="0"/>
    <x v="5"/>
    <n v="2092"/>
  </r>
  <r>
    <x v="14"/>
    <x v="2"/>
    <x v="0"/>
    <x v="6"/>
    <n v="0"/>
  </r>
  <r>
    <x v="14"/>
    <x v="2"/>
    <x v="0"/>
    <x v="7"/>
    <n v="2605"/>
  </r>
  <r>
    <x v="14"/>
    <x v="2"/>
    <x v="0"/>
    <x v="8"/>
    <n v="52"/>
  </r>
  <r>
    <x v="14"/>
    <x v="2"/>
    <x v="0"/>
    <x v="9"/>
    <n v="3393"/>
  </r>
  <r>
    <x v="14"/>
    <x v="2"/>
    <x v="0"/>
    <x v="10"/>
    <n v="0"/>
  </r>
  <r>
    <x v="14"/>
    <x v="2"/>
    <x v="0"/>
    <x v="11"/>
    <n v="3314"/>
  </r>
  <r>
    <x v="14"/>
    <x v="2"/>
    <x v="0"/>
    <x v="12"/>
    <n v="9207"/>
  </r>
  <r>
    <x v="14"/>
    <x v="2"/>
    <x v="0"/>
    <x v="13"/>
    <n v="235"/>
  </r>
  <r>
    <x v="15"/>
    <x v="2"/>
    <x v="0"/>
    <x v="0"/>
    <n v="0"/>
  </r>
  <r>
    <x v="15"/>
    <x v="2"/>
    <x v="0"/>
    <x v="1"/>
    <n v="0"/>
  </r>
  <r>
    <x v="15"/>
    <x v="2"/>
    <x v="0"/>
    <x v="2"/>
    <n v="325"/>
  </r>
  <r>
    <x v="15"/>
    <x v="2"/>
    <x v="0"/>
    <x v="3"/>
    <n v="731"/>
  </r>
  <r>
    <x v="15"/>
    <x v="2"/>
    <x v="0"/>
    <x v="4"/>
    <n v="949"/>
  </r>
  <r>
    <x v="15"/>
    <x v="2"/>
    <x v="0"/>
    <x v="5"/>
    <n v="429"/>
  </r>
  <r>
    <x v="15"/>
    <x v="2"/>
    <x v="0"/>
    <x v="6"/>
    <n v="0"/>
  </r>
  <r>
    <x v="15"/>
    <x v="2"/>
    <x v="0"/>
    <x v="7"/>
    <n v="48"/>
  </r>
  <r>
    <x v="15"/>
    <x v="2"/>
    <x v="0"/>
    <x v="8"/>
    <n v="54"/>
  </r>
  <r>
    <x v="15"/>
    <x v="2"/>
    <x v="0"/>
    <x v="9"/>
    <n v="2112"/>
  </r>
  <r>
    <x v="15"/>
    <x v="2"/>
    <x v="0"/>
    <x v="10"/>
    <n v="0"/>
  </r>
  <r>
    <x v="15"/>
    <x v="2"/>
    <x v="0"/>
    <x v="11"/>
    <n v="1155"/>
  </r>
  <r>
    <x v="15"/>
    <x v="2"/>
    <x v="0"/>
    <x v="12"/>
    <n v="2869"/>
  </r>
  <r>
    <x v="15"/>
    <x v="2"/>
    <x v="0"/>
    <x v="13"/>
    <n v="22"/>
  </r>
  <r>
    <x v="16"/>
    <x v="2"/>
    <x v="0"/>
    <x v="0"/>
    <n v="1887"/>
  </r>
  <r>
    <x v="16"/>
    <x v="2"/>
    <x v="0"/>
    <x v="1"/>
    <n v="1049"/>
  </r>
  <r>
    <x v="16"/>
    <x v="2"/>
    <x v="0"/>
    <x v="2"/>
    <n v="292"/>
  </r>
  <r>
    <x v="16"/>
    <x v="2"/>
    <x v="0"/>
    <x v="3"/>
    <n v="3860"/>
  </r>
  <r>
    <x v="16"/>
    <x v="2"/>
    <x v="0"/>
    <x v="4"/>
    <n v="410"/>
  </r>
  <r>
    <x v="16"/>
    <x v="2"/>
    <x v="0"/>
    <x v="5"/>
    <n v="328"/>
  </r>
  <r>
    <x v="16"/>
    <x v="2"/>
    <x v="0"/>
    <x v="6"/>
    <n v="0"/>
  </r>
  <r>
    <x v="16"/>
    <x v="2"/>
    <x v="0"/>
    <x v="7"/>
    <n v="49"/>
  </r>
  <r>
    <x v="16"/>
    <x v="2"/>
    <x v="0"/>
    <x v="8"/>
    <n v="276"/>
  </r>
  <r>
    <x v="16"/>
    <x v="2"/>
    <x v="0"/>
    <x v="9"/>
    <n v="57"/>
  </r>
  <r>
    <x v="16"/>
    <x v="2"/>
    <x v="0"/>
    <x v="10"/>
    <n v="0"/>
  </r>
  <r>
    <x v="16"/>
    <x v="2"/>
    <x v="0"/>
    <x v="11"/>
    <n v="2994"/>
  </r>
  <r>
    <x v="16"/>
    <x v="2"/>
    <x v="0"/>
    <x v="12"/>
    <n v="6437"/>
  </r>
  <r>
    <x v="16"/>
    <x v="2"/>
    <x v="0"/>
    <x v="13"/>
    <n v="28"/>
  </r>
  <r>
    <x v="17"/>
    <x v="2"/>
    <x v="0"/>
    <x v="0"/>
    <n v="0"/>
  </r>
  <r>
    <x v="17"/>
    <x v="2"/>
    <x v="0"/>
    <x v="1"/>
    <n v="0"/>
  </r>
  <r>
    <x v="17"/>
    <x v="2"/>
    <x v="0"/>
    <x v="2"/>
    <n v="855"/>
  </r>
  <r>
    <x v="17"/>
    <x v="2"/>
    <x v="0"/>
    <x v="3"/>
    <n v="4215"/>
  </r>
  <r>
    <x v="17"/>
    <x v="2"/>
    <x v="0"/>
    <x v="4"/>
    <n v="1144"/>
  </r>
  <r>
    <x v="17"/>
    <x v="2"/>
    <x v="0"/>
    <x v="5"/>
    <n v="2740"/>
  </r>
  <r>
    <x v="17"/>
    <x v="2"/>
    <x v="0"/>
    <x v="6"/>
    <n v="0"/>
  </r>
  <r>
    <x v="17"/>
    <x v="2"/>
    <x v="0"/>
    <x v="7"/>
    <n v="0"/>
  </r>
  <r>
    <x v="17"/>
    <x v="2"/>
    <x v="0"/>
    <x v="8"/>
    <n v="0"/>
  </r>
  <r>
    <x v="17"/>
    <x v="2"/>
    <x v="0"/>
    <x v="9"/>
    <n v="238"/>
  </r>
  <r>
    <x v="17"/>
    <x v="2"/>
    <x v="0"/>
    <x v="10"/>
    <n v="292"/>
  </r>
  <r>
    <x v="17"/>
    <x v="2"/>
    <x v="0"/>
    <x v="11"/>
    <n v="1798"/>
  </r>
  <r>
    <x v="17"/>
    <x v="2"/>
    <x v="0"/>
    <x v="12"/>
    <n v="4737"/>
  </r>
  <r>
    <x v="17"/>
    <x v="2"/>
    <x v="0"/>
    <x v="13"/>
    <n v="624"/>
  </r>
  <r>
    <x v="18"/>
    <x v="2"/>
    <x v="0"/>
    <x v="0"/>
    <n v="0"/>
  </r>
  <r>
    <x v="18"/>
    <x v="2"/>
    <x v="0"/>
    <x v="1"/>
    <n v="0"/>
  </r>
  <r>
    <x v="18"/>
    <x v="2"/>
    <x v="0"/>
    <x v="2"/>
    <n v="0"/>
  </r>
  <r>
    <x v="18"/>
    <x v="2"/>
    <x v="0"/>
    <x v="3"/>
    <n v="0"/>
  </r>
  <r>
    <x v="18"/>
    <x v="2"/>
    <x v="0"/>
    <x v="4"/>
    <n v="11"/>
  </r>
  <r>
    <x v="18"/>
    <x v="2"/>
    <x v="0"/>
    <x v="5"/>
    <n v="2"/>
  </r>
  <r>
    <x v="18"/>
    <x v="2"/>
    <x v="0"/>
    <x v="6"/>
    <n v="0"/>
  </r>
  <r>
    <x v="18"/>
    <x v="2"/>
    <x v="0"/>
    <x v="7"/>
    <n v="0"/>
  </r>
  <r>
    <x v="18"/>
    <x v="2"/>
    <x v="0"/>
    <x v="8"/>
    <n v="0"/>
  </r>
  <r>
    <x v="18"/>
    <x v="2"/>
    <x v="0"/>
    <x v="9"/>
    <n v="1973"/>
  </r>
  <r>
    <x v="18"/>
    <x v="2"/>
    <x v="0"/>
    <x v="10"/>
    <n v="0"/>
  </r>
  <r>
    <x v="18"/>
    <x v="2"/>
    <x v="0"/>
    <x v="11"/>
    <n v="1692"/>
  </r>
  <r>
    <x v="18"/>
    <x v="2"/>
    <x v="0"/>
    <x v="12"/>
    <n v="2320"/>
  </r>
  <r>
    <x v="18"/>
    <x v="2"/>
    <x v="0"/>
    <x v="13"/>
    <n v="661"/>
  </r>
  <r>
    <x v="19"/>
    <x v="2"/>
    <x v="0"/>
    <x v="0"/>
    <n v="0"/>
  </r>
  <r>
    <x v="19"/>
    <x v="2"/>
    <x v="0"/>
    <x v="1"/>
    <n v="0"/>
  </r>
  <r>
    <x v="19"/>
    <x v="2"/>
    <x v="0"/>
    <x v="2"/>
    <n v="6357"/>
  </r>
  <r>
    <x v="19"/>
    <x v="2"/>
    <x v="0"/>
    <x v="3"/>
    <n v="40289"/>
  </r>
  <r>
    <x v="19"/>
    <x v="2"/>
    <x v="0"/>
    <x v="4"/>
    <n v="22221"/>
  </r>
  <r>
    <x v="19"/>
    <x v="2"/>
    <x v="0"/>
    <x v="5"/>
    <n v="9416"/>
  </r>
  <r>
    <x v="19"/>
    <x v="2"/>
    <x v="0"/>
    <x v="6"/>
    <n v="0"/>
  </r>
  <r>
    <x v="19"/>
    <x v="2"/>
    <x v="0"/>
    <x v="7"/>
    <n v="19288"/>
  </r>
  <r>
    <x v="19"/>
    <x v="2"/>
    <x v="0"/>
    <x v="8"/>
    <n v="3971"/>
  </r>
  <r>
    <x v="19"/>
    <x v="2"/>
    <x v="0"/>
    <x v="9"/>
    <n v="21774"/>
  </r>
  <r>
    <x v="19"/>
    <x v="2"/>
    <x v="0"/>
    <x v="10"/>
    <n v="4753"/>
  </r>
  <r>
    <x v="19"/>
    <x v="2"/>
    <x v="0"/>
    <x v="11"/>
    <n v="18656"/>
  </r>
  <r>
    <x v="19"/>
    <x v="2"/>
    <x v="0"/>
    <x v="12"/>
    <n v="53748"/>
  </r>
  <r>
    <x v="19"/>
    <x v="2"/>
    <x v="0"/>
    <x v="13"/>
    <n v="5186"/>
  </r>
  <r>
    <x v="20"/>
    <x v="2"/>
    <x v="0"/>
    <x v="0"/>
    <n v="0"/>
  </r>
  <r>
    <x v="20"/>
    <x v="2"/>
    <x v="0"/>
    <x v="1"/>
    <n v="0"/>
  </r>
  <r>
    <x v="20"/>
    <x v="2"/>
    <x v="0"/>
    <x v="2"/>
    <n v="0"/>
  </r>
  <r>
    <x v="20"/>
    <x v="2"/>
    <x v="0"/>
    <x v="3"/>
    <n v="615"/>
  </r>
  <r>
    <x v="20"/>
    <x v="2"/>
    <x v="0"/>
    <x v="4"/>
    <n v="1119"/>
  </r>
  <r>
    <x v="20"/>
    <x v="2"/>
    <x v="0"/>
    <x v="5"/>
    <n v="438"/>
  </r>
  <r>
    <x v="20"/>
    <x v="2"/>
    <x v="0"/>
    <x v="6"/>
    <n v="0"/>
  </r>
  <r>
    <x v="20"/>
    <x v="2"/>
    <x v="0"/>
    <x v="7"/>
    <n v="73"/>
  </r>
  <r>
    <x v="20"/>
    <x v="2"/>
    <x v="0"/>
    <x v="8"/>
    <n v="78"/>
  </r>
  <r>
    <x v="20"/>
    <x v="2"/>
    <x v="0"/>
    <x v="9"/>
    <n v="126"/>
  </r>
  <r>
    <x v="20"/>
    <x v="2"/>
    <x v="0"/>
    <x v="10"/>
    <n v="900"/>
  </r>
  <r>
    <x v="20"/>
    <x v="2"/>
    <x v="0"/>
    <x v="11"/>
    <n v="813"/>
  </r>
  <r>
    <x v="20"/>
    <x v="2"/>
    <x v="0"/>
    <x v="12"/>
    <n v="1979"/>
  </r>
  <r>
    <x v="20"/>
    <x v="2"/>
    <x v="0"/>
    <x v="13"/>
    <n v="32"/>
  </r>
  <r>
    <x v="21"/>
    <x v="2"/>
    <x v="0"/>
    <x v="0"/>
    <n v="0"/>
  </r>
  <r>
    <x v="21"/>
    <x v="2"/>
    <x v="0"/>
    <x v="1"/>
    <n v="0"/>
  </r>
  <r>
    <x v="21"/>
    <x v="2"/>
    <x v="0"/>
    <x v="2"/>
    <n v="0"/>
  </r>
  <r>
    <x v="21"/>
    <x v="2"/>
    <x v="0"/>
    <x v="3"/>
    <n v="495"/>
  </r>
  <r>
    <x v="21"/>
    <x v="2"/>
    <x v="0"/>
    <x v="4"/>
    <n v="0"/>
  </r>
  <r>
    <x v="21"/>
    <x v="2"/>
    <x v="0"/>
    <x v="5"/>
    <n v="120"/>
  </r>
  <r>
    <x v="21"/>
    <x v="2"/>
    <x v="0"/>
    <x v="6"/>
    <n v="0"/>
  </r>
  <r>
    <x v="21"/>
    <x v="2"/>
    <x v="0"/>
    <x v="7"/>
    <n v="121"/>
  </r>
  <r>
    <x v="21"/>
    <x v="2"/>
    <x v="0"/>
    <x v="8"/>
    <n v="11"/>
  </r>
  <r>
    <x v="21"/>
    <x v="2"/>
    <x v="0"/>
    <x v="9"/>
    <n v="32"/>
  </r>
  <r>
    <x v="21"/>
    <x v="2"/>
    <x v="0"/>
    <x v="10"/>
    <n v="1290"/>
  </r>
  <r>
    <x v="21"/>
    <x v="2"/>
    <x v="0"/>
    <x v="11"/>
    <n v="394"/>
  </r>
  <r>
    <x v="21"/>
    <x v="2"/>
    <x v="0"/>
    <x v="12"/>
    <n v="1025"/>
  </r>
  <r>
    <x v="21"/>
    <x v="2"/>
    <x v="0"/>
    <x v="13"/>
    <n v="21"/>
  </r>
  <r>
    <x v="22"/>
    <x v="2"/>
    <x v="0"/>
    <x v="0"/>
    <n v="0"/>
  </r>
  <r>
    <x v="22"/>
    <x v="2"/>
    <x v="0"/>
    <x v="1"/>
    <n v="0"/>
  </r>
  <r>
    <x v="22"/>
    <x v="2"/>
    <x v="0"/>
    <x v="2"/>
    <n v="0"/>
  </r>
  <r>
    <x v="22"/>
    <x v="2"/>
    <x v="0"/>
    <x v="3"/>
    <n v="1031"/>
  </r>
  <r>
    <x v="22"/>
    <x v="2"/>
    <x v="0"/>
    <x v="4"/>
    <n v="118"/>
  </r>
  <r>
    <x v="22"/>
    <x v="2"/>
    <x v="0"/>
    <x v="5"/>
    <n v="71"/>
  </r>
  <r>
    <x v="22"/>
    <x v="2"/>
    <x v="0"/>
    <x v="6"/>
    <n v="0"/>
  </r>
  <r>
    <x v="22"/>
    <x v="2"/>
    <x v="0"/>
    <x v="7"/>
    <n v="0"/>
  </r>
  <r>
    <x v="22"/>
    <x v="2"/>
    <x v="0"/>
    <x v="8"/>
    <n v="136"/>
  </r>
  <r>
    <x v="22"/>
    <x v="2"/>
    <x v="0"/>
    <x v="9"/>
    <n v="1578"/>
  </r>
  <r>
    <x v="22"/>
    <x v="2"/>
    <x v="0"/>
    <x v="10"/>
    <n v="0"/>
  </r>
  <r>
    <x v="22"/>
    <x v="2"/>
    <x v="0"/>
    <x v="11"/>
    <n v="449"/>
  </r>
  <r>
    <x v="22"/>
    <x v="2"/>
    <x v="0"/>
    <x v="12"/>
    <n v="1300"/>
  </r>
  <r>
    <x v="22"/>
    <x v="2"/>
    <x v="0"/>
    <x v="13"/>
    <n v="0"/>
  </r>
  <r>
    <x v="23"/>
    <x v="2"/>
    <x v="0"/>
    <x v="0"/>
    <n v="0"/>
  </r>
  <r>
    <x v="23"/>
    <x v="2"/>
    <x v="0"/>
    <x v="1"/>
    <n v="220"/>
  </r>
  <r>
    <x v="23"/>
    <x v="2"/>
    <x v="0"/>
    <x v="2"/>
    <n v="0"/>
  </r>
  <r>
    <x v="23"/>
    <x v="2"/>
    <x v="0"/>
    <x v="3"/>
    <n v="0"/>
  </r>
  <r>
    <x v="23"/>
    <x v="2"/>
    <x v="0"/>
    <x v="4"/>
    <n v="0"/>
  </r>
  <r>
    <x v="23"/>
    <x v="2"/>
    <x v="0"/>
    <x v="5"/>
    <n v="0"/>
  </r>
  <r>
    <x v="23"/>
    <x v="2"/>
    <x v="0"/>
    <x v="6"/>
    <n v="0"/>
  </r>
  <r>
    <x v="23"/>
    <x v="2"/>
    <x v="0"/>
    <x v="7"/>
    <n v="0"/>
  </r>
  <r>
    <x v="23"/>
    <x v="2"/>
    <x v="0"/>
    <x v="8"/>
    <n v="0"/>
  </r>
  <r>
    <x v="23"/>
    <x v="2"/>
    <x v="0"/>
    <x v="9"/>
    <n v="660"/>
  </r>
  <r>
    <x v="23"/>
    <x v="2"/>
    <x v="0"/>
    <x v="10"/>
    <n v="0"/>
  </r>
  <r>
    <x v="23"/>
    <x v="2"/>
    <x v="0"/>
    <x v="11"/>
    <n v="174"/>
  </r>
  <r>
    <x v="23"/>
    <x v="2"/>
    <x v="0"/>
    <x v="12"/>
    <n v="576"/>
  </r>
  <r>
    <x v="23"/>
    <x v="2"/>
    <x v="0"/>
    <x v="13"/>
    <n v="0"/>
  </r>
  <r>
    <x v="24"/>
    <x v="2"/>
    <x v="0"/>
    <x v="0"/>
    <n v="0"/>
  </r>
  <r>
    <x v="24"/>
    <x v="2"/>
    <x v="0"/>
    <x v="1"/>
    <n v="718"/>
  </r>
  <r>
    <x v="24"/>
    <x v="2"/>
    <x v="0"/>
    <x v="2"/>
    <n v="0"/>
  </r>
  <r>
    <x v="24"/>
    <x v="2"/>
    <x v="0"/>
    <x v="3"/>
    <n v="250"/>
  </r>
  <r>
    <x v="24"/>
    <x v="2"/>
    <x v="0"/>
    <x v="4"/>
    <n v="189"/>
  </r>
  <r>
    <x v="24"/>
    <x v="2"/>
    <x v="0"/>
    <x v="5"/>
    <n v="36"/>
  </r>
  <r>
    <x v="24"/>
    <x v="2"/>
    <x v="0"/>
    <x v="6"/>
    <n v="0"/>
  </r>
  <r>
    <x v="24"/>
    <x v="2"/>
    <x v="0"/>
    <x v="7"/>
    <n v="17"/>
  </r>
  <r>
    <x v="24"/>
    <x v="2"/>
    <x v="0"/>
    <x v="8"/>
    <n v="4"/>
  </r>
  <r>
    <x v="24"/>
    <x v="2"/>
    <x v="0"/>
    <x v="9"/>
    <n v="676"/>
  </r>
  <r>
    <x v="24"/>
    <x v="2"/>
    <x v="0"/>
    <x v="10"/>
    <n v="0"/>
  </r>
  <r>
    <x v="24"/>
    <x v="2"/>
    <x v="0"/>
    <x v="11"/>
    <n v="487"/>
  </r>
  <r>
    <x v="24"/>
    <x v="2"/>
    <x v="0"/>
    <x v="12"/>
    <n v="1457"/>
  </r>
  <r>
    <x v="24"/>
    <x v="2"/>
    <x v="0"/>
    <x v="13"/>
    <n v="0"/>
  </r>
  <r>
    <x v="26"/>
    <x v="2"/>
    <x v="0"/>
    <x v="0"/>
    <n v="486"/>
  </r>
  <r>
    <x v="26"/>
    <x v="2"/>
    <x v="0"/>
    <x v="1"/>
    <n v="0"/>
  </r>
  <r>
    <x v="26"/>
    <x v="2"/>
    <x v="0"/>
    <x v="2"/>
    <n v="4608"/>
  </r>
  <r>
    <x v="26"/>
    <x v="2"/>
    <x v="0"/>
    <x v="3"/>
    <n v="19297"/>
  </r>
  <r>
    <x v="26"/>
    <x v="2"/>
    <x v="0"/>
    <x v="4"/>
    <n v="0"/>
  </r>
  <r>
    <x v="26"/>
    <x v="2"/>
    <x v="0"/>
    <x v="5"/>
    <n v="3479"/>
  </r>
  <r>
    <x v="26"/>
    <x v="2"/>
    <x v="0"/>
    <x v="6"/>
    <n v="638"/>
  </r>
  <r>
    <x v="26"/>
    <x v="2"/>
    <x v="0"/>
    <x v="7"/>
    <n v="2039"/>
  </r>
  <r>
    <x v="26"/>
    <x v="2"/>
    <x v="0"/>
    <x v="8"/>
    <n v="486"/>
  </r>
  <r>
    <x v="26"/>
    <x v="2"/>
    <x v="0"/>
    <x v="9"/>
    <n v="38"/>
  </r>
  <r>
    <x v="26"/>
    <x v="2"/>
    <x v="0"/>
    <x v="10"/>
    <n v="0"/>
  </r>
  <r>
    <x v="26"/>
    <x v="2"/>
    <x v="0"/>
    <x v="11"/>
    <n v="9115"/>
  </r>
  <r>
    <x v="26"/>
    <x v="2"/>
    <x v="0"/>
    <x v="12"/>
    <n v="18243"/>
  </r>
  <r>
    <x v="26"/>
    <x v="2"/>
    <x v="0"/>
    <x v="13"/>
    <n v="678"/>
  </r>
  <r>
    <x v="27"/>
    <x v="2"/>
    <x v="0"/>
    <x v="0"/>
    <n v="0"/>
  </r>
  <r>
    <x v="27"/>
    <x v="2"/>
    <x v="0"/>
    <x v="1"/>
    <n v="0"/>
  </r>
  <r>
    <x v="27"/>
    <x v="2"/>
    <x v="0"/>
    <x v="2"/>
    <n v="0"/>
  </r>
  <r>
    <x v="27"/>
    <x v="2"/>
    <x v="0"/>
    <x v="3"/>
    <n v="445"/>
  </r>
  <r>
    <x v="27"/>
    <x v="2"/>
    <x v="0"/>
    <x v="4"/>
    <n v="0"/>
  </r>
  <r>
    <x v="27"/>
    <x v="2"/>
    <x v="0"/>
    <x v="5"/>
    <n v="869"/>
  </r>
  <r>
    <x v="27"/>
    <x v="2"/>
    <x v="0"/>
    <x v="6"/>
    <n v="0"/>
  </r>
  <r>
    <x v="27"/>
    <x v="2"/>
    <x v="0"/>
    <x v="7"/>
    <n v="0"/>
  </r>
  <r>
    <x v="27"/>
    <x v="2"/>
    <x v="0"/>
    <x v="8"/>
    <n v="2"/>
  </r>
  <r>
    <x v="27"/>
    <x v="2"/>
    <x v="0"/>
    <x v="9"/>
    <n v="30767"/>
  </r>
  <r>
    <x v="27"/>
    <x v="2"/>
    <x v="0"/>
    <x v="10"/>
    <n v="0"/>
  </r>
  <r>
    <x v="27"/>
    <x v="2"/>
    <x v="0"/>
    <x v="11"/>
    <n v="9156"/>
  </r>
  <r>
    <x v="27"/>
    <x v="2"/>
    <x v="0"/>
    <x v="12"/>
    <n v="24485"/>
  </r>
  <r>
    <x v="27"/>
    <x v="2"/>
    <x v="0"/>
    <x v="13"/>
    <n v="0"/>
  </r>
  <r>
    <x v="28"/>
    <x v="2"/>
    <x v="0"/>
    <x v="0"/>
    <n v="0"/>
  </r>
  <r>
    <x v="28"/>
    <x v="2"/>
    <x v="0"/>
    <x v="1"/>
    <n v="8576"/>
  </r>
  <r>
    <x v="28"/>
    <x v="2"/>
    <x v="0"/>
    <x v="2"/>
    <n v="17906"/>
  </r>
  <r>
    <x v="28"/>
    <x v="2"/>
    <x v="0"/>
    <x v="3"/>
    <n v="1384"/>
  </r>
  <r>
    <x v="28"/>
    <x v="2"/>
    <x v="0"/>
    <x v="4"/>
    <n v="332"/>
  </r>
  <r>
    <x v="28"/>
    <x v="2"/>
    <x v="0"/>
    <x v="5"/>
    <n v="5697"/>
  </r>
  <r>
    <x v="28"/>
    <x v="2"/>
    <x v="0"/>
    <x v="6"/>
    <n v="0"/>
  </r>
  <r>
    <x v="28"/>
    <x v="2"/>
    <x v="0"/>
    <x v="7"/>
    <n v="186"/>
  </r>
  <r>
    <x v="28"/>
    <x v="2"/>
    <x v="0"/>
    <x v="8"/>
    <n v="933"/>
  </r>
  <r>
    <x v="28"/>
    <x v="2"/>
    <x v="0"/>
    <x v="9"/>
    <n v="967"/>
  </r>
  <r>
    <x v="28"/>
    <x v="2"/>
    <x v="0"/>
    <x v="10"/>
    <n v="1394"/>
  </r>
  <r>
    <x v="28"/>
    <x v="2"/>
    <x v="0"/>
    <x v="11"/>
    <n v="10509"/>
  </r>
  <r>
    <x v="28"/>
    <x v="2"/>
    <x v="0"/>
    <x v="12"/>
    <n v="23779"/>
  </r>
  <r>
    <x v="28"/>
    <x v="2"/>
    <x v="0"/>
    <x v="13"/>
    <n v="903"/>
  </r>
  <r>
    <x v="29"/>
    <x v="2"/>
    <x v="0"/>
    <x v="0"/>
    <n v="0"/>
  </r>
  <r>
    <x v="29"/>
    <x v="2"/>
    <x v="0"/>
    <x v="1"/>
    <n v="0"/>
  </r>
  <r>
    <x v="29"/>
    <x v="2"/>
    <x v="0"/>
    <x v="2"/>
    <n v="1756"/>
  </r>
  <r>
    <x v="29"/>
    <x v="2"/>
    <x v="0"/>
    <x v="3"/>
    <n v="4657"/>
  </r>
  <r>
    <x v="29"/>
    <x v="2"/>
    <x v="0"/>
    <x v="4"/>
    <n v="42"/>
  </r>
  <r>
    <x v="29"/>
    <x v="2"/>
    <x v="0"/>
    <x v="5"/>
    <n v="5046"/>
  </r>
  <r>
    <x v="29"/>
    <x v="2"/>
    <x v="0"/>
    <x v="6"/>
    <n v="0"/>
  </r>
  <r>
    <x v="29"/>
    <x v="2"/>
    <x v="0"/>
    <x v="7"/>
    <n v="439"/>
  </r>
  <r>
    <x v="29"/>
    <x v="2"/>
    <x v="0"/>
    <x v="8"/>
    <n v="615"/>
  </r>
  <r>
    <x v="29"/>
    <x v="2"/>
    <x v="0"/>
    <x v="9"/>
    <n v="6945"/>
  </r>
  <r>
    <x v="29"/>
    <x v="2"/>
    <x v="0"/>
    <x v="10"/>
    <n v="0"/>
  </r>
  <r>
    <x v="29"/>
    <x v="2"/>
    <x v="0"/>
    <x v="11"/>
    <n v="3458"/>
  </r>
  <r>
    <x v="29"/>
    <x v="2"/>
    <x v="0"/>
    <x v="12"/>
    <n v="8139"/>
  </r>
  <r>
    <x v="29"/>
    <x v="2"/>
    <x v="0"/>
    <x v="13"/>
    <n v="0"/>
  </r>
  <r>
    <x v="30"/>
    <x v="2"/>
    <x v="0"/>
    <x v="0"/>
    <n v="1300"/>
  </r>
  <r>
    <x v="30"/>
    <x v="2"/>
    <x v="0"/>
    <x v="1"/>
    <n v="3448"/>
  </r>
  <r>
    <x v="30"/>
    <x v="2"/>
    <x v="0"/>
    <x v="2"/>
    <n v="1148"/>
  </r>
  <r>
    <x v="30"/>
    <x v="2"/>
    <x v="0"/>
    <x v="3"/>
    <n v="1881"/>
  </r>
  <r>
    <x v="30"/>
    <x v="2"/>
    <x v="0"/>
    <x v="4"/>
    <n v="1708"/>
  </r>
  <r>
    <x v="30"/>
    <x v="2"/>
    <x v="0"/>
    <x v="5"/>
    <n v="2965"/>
  </r>
  <r>
    <x v="30"/>
    <x v="2"/>
    <x v="0"/>
    <x v="6"/>
    <n v="0"/>
  </r>
  <r>
    <x v="30"/>
    <x v="2"/>
    <x v="0"/>
    <x v="7"/>
    <n v="1301"/>
  </r>
  <r>
    <x v="30"/>
    <x v="2"/>
    <x v="0"/>
    <x v="8"/>
    <n v="118"/>
  </r>
  <r>
    <x v="30"/>
    <x v="2"/>
    <x v="0"/>
    <x v="9"/>
    <n v="6405"/>
  </r>
  <r>
    <x v="30"/>
    <x v="2"/>
    <x v="0"/>
    <x v="10"/>
    <n v="0"/>
  </r>
  <r>
    <x v="30"/>
    <x v="2"/>
    <x v="0"/>
    <x v="11"/>
    <n v="3785"/>
  </r>
  <r>
    <x v="30"/>
    <x v="2"/>
    <x v="0"/>
    <x v="12"/>
    <n v="8752"/>
  </r>
  <r>
    <x v="30"/>
    <x v="2"/>
    <x v="0"/>
    <x v="13"/>
    <n v="0"/>
  </r>
  <r>
    <x v="31"/>
    <x v="2"/>
    <x v="0"/>
    <x v="0"/>
    <n v="0"/>
  </r>
  <r>
    <x v="31"/>
    <x v="2"/>
    <x v="0"/>
    <x v="1"/>
    <n v="5283"/>
  </r>
  <r>
    <x v="31"/>
    <x v="2"/>
    <x v="0"/>
    <x v="2"/>
    <n v="0"/>
  </r>
  <r>
    <x v="31"/>
    <x v="2"/>
    <x v="0"/>
    <x v="3"/>
    <n v="311"/>
  </r>
  <r>
    <x v="31"/>
    <x v="2"/>
    <x v="0"/>
    <x v="4"/>
    <n v="0"/>
  </r>
  <r>
    <x v="31"/>
    <x v="2"/>
    <x v="0"/>
    <x v="5"/>
    <n v="0"/>
  </r>
  <r>
    <x v="31"/>
    <x v="2"/>
    <x v="0"/>
    <x v="6"/>
    <n v="0"/>
  </r>
  <r>
    <x v="31"/>
    <x v="2"/>
    <x v="0"/>
    <x v="7"/>
    <n v="0"/>
  </r>
  <r>
    <x v="31"/>
    <x v="2"/>
    <x v="0"/>
    <x v="8"/>
    <n v="0"/>
  </r>
  <r>
    <x v="31"/>
    <x v="2"/>
    <x v="0"/>
    <x v="9"/>
    <n v="2395"/>
  </r>
  <r>
    <x v="31"/>
    <x v="2"/>
    <x v="0"/>
    <x v="10"/>
    <n v="620"/>
  </r>
  <r>
    <x v="31"/>
    <x v="2"/>
    <x v="0"/>
    <x v="11"/>
    <n v="2414"/>
  </r>
  <r>
    <x v="31"/>
    <x v="2"/>
    <x v="0"/>
    <x v="12"/>
    <n v="6958"/>
  </r>
  <r>
    <x v="31"/>
    <x v="2"/>
    <x v="0"/>
    <x v="13"/>
    <n v="0"/>
  </r>
  <r>
    <x v="32"/>
    <x v="2"/>
    <x v="0"/>
    <x v="0"/>
    <n v="9714"/>
  </r>
  <r>
    <x v="32"/>
    <x v="2"/>
    <x v="0"/>
    <x v="1"/>
    <n v="0"/>
  </r>
  <r>
    <x v="32"/>
    <x v="2"/>
    <x v="0"/>
    <x v="2"/>
    <n v="225"/>
  </r>
  <r>
    <x v="32"/>
    <x v="2"/>
    <x v="0"/>
    <x v="3"/>
    <n v="879"/>
  </r>
  <r>
    <x v="32"/>
    <x v="2"/>
    <x v="0"/>
    <x v="4"/>
    <n v="3397"/>
  </r>
  <r>
    <x v="32"/>
    <x v="2"/>
    <x v="0"/>
    <x v="5"/>
    <n v="6029"/>
  </r>
  <r>
    <x v="32"/>
    <x v="2"/>
    <x v="0"/>
    <x v="6"/>
    <n v="0"/>
  </r>
  <r>
    <x v="32"/>
    <x v="2"/>
    <x v="0"/>
    <x v="7"/>
    <n v="0"/>
  </r>
  <r>
    <x v="32"/>
    <x v="2"/>
    <x v="0"/>
    <x v="8"/>
    <n v="2978"/>
  </r>
  <r>
    <x v="32"/>
    <x v="2"/>
    <x v="0"/>
    <x v="9"/>
    <n v="16184"/>
  </r>
  <r>
    <x v="32"/>
    <x v="2"/>
    <x v="0"/>
    <x v="10"/>
    <n v="0"/>
  </r>
  <r>
    <x v="32"/>
    <x v="2"/>
    <x v="0"/>
    <x v="11"/>
    <n v="8722"/>
  </r>
  <r>
    <x v="32"/>
    <x v="2"/>
    <x v="0"/>
    <x v="12"/>
    <n v="26576"/>
  </r>
  <r>
    <x v="32"/>
    <x v="2"/>
    <x v="0"/>
    <x v="13"/>
    <n v="0"/>
  </r>
  <r>
    <x v="33"/>
    <x v="2"/>
    <x v="0"/>
    <x v="0"/>
    <n v="696"/>
  </r>
  <r>
    <x v="33"/>
    <x v="2"/>
    <x v="0"/>
    <x v="1"/>
    <n v="924"/>
  </r>
  <r>
    <x v="33"/>
    <x v="2"/>
    <x v="0"/>
    <x v="2"/>
    <n v="0"/>
  </r>
  <r>
    <x v="33"/>
    <x v="2"/>
    <x v="0"/>
    <x v="3"/>
    <n v="455"/>
  </r>
  <r>
    <x v="33"/>
    <x v="2"/>
    <x v="0"/>
    <x v="4"/>
    <n v="0"/>
  </r>
  <r>
    <x v="33"/>
    <x v="2"/>
    <x v="0"/>
    <x v="5"/>
    <n v="3"/>
  </r>
  <r>
    <x v="33"/>
    <x v="2"/>
    <x v="0"/>
    <x v="6"/>
    <n v="0"/>
  </r>
  <r>
    <x v="33"/>
    <x v="2"/>
    <x v="0"/>
    <x v="7"/>
    <n v="271"/>
  </r>
  <r>
    <x v="33"/>
    <x v="2"/>
    <x v="0"/>
    <x v="8"/>
    <n v="41"/>
  </r>
  <r>
    <x v="33"/>
    <x v="2"/>
    <x v="0"/>
    <x v="9"/>
    <n v="1117"/>
  </r>
  <r>
    <x v="33"/>
    <x v="2"/>
    <x v="0"/>
    <x v="10"/>
    <n v="180"/>
  </r>
  <r>
    <x v="33"/>
    <x v="2"/>
    <x v="0"/>
    <x v="11"/>
    <n v="929"/>
  </r>
  <r>
    <x v="33"/>
    <x v="2"/>
    <x v="0"/>
    <x v="12"/>
    <n v="2144"/>
  </r>
  <r>
    <x v="33"/>
    <x v="2"/>
    <x v="0"/>
    <x v="13"/>
    <n v="115"/>
  </r>
  <r>
    <x v="34"/>
    <x v="2"/>
    <x v="0"/>
    <x v="0"/>
    <n v="1940"/>
  </r>
  <r>
    <x v="34"/>
    <x v="2"/>
    <x v="0"/>
    <x v="1"/>
    <n v="458"/>
  </r>
  <r>
    <x v="34"/>
    <x v="2"/>
    <x v="0"/>
    <x v="2"/>
    <n v="220"/>
  </r>
  <r>
    <x v="34"/>
    <x v="2"/>
    <x v="0"/>
    <x v="3"/>
    <n v="1121"/>
  </r>
  <r>
    <x v="34"/>
    <x v="2"/>
    <x v="0"/>
    <x v="4"/>
    <n v="677"/>
  </r>
  <r>
    <x v="34"/>
    <x v="2"/>
    <x v="0"/>
    <x v="5"/>
    <n v="3"/>
  </r>
  <r>
    <x v="34"/>
    <x v="2"/>
    <x v="0"/>
    <x v="6"/>
    <n v="0"/>
  </r>
  <r>
    <x v="34"/>
    <x v="2"/>
    <x v="0"/>
    <x v="7"/>
    <n v="530"/>
  </r>
  <r>
    <x v="34"/>
    <x v="2"/>
    <x v="0"/>
    <x v="8"/>
    <n v="329"/>
  </r>
  <r>
    <x v="34"/>
    <x v="2"/>
    <x v="0"/>
    <x v="9"/>
    <n v="1803"/>
  </r>
  <r>
    <x v="34"/>
    <x v="2"/>
    <x v="0"/>
    <x v="10"/>
    <n v="734"/>
  </r>
  <r>
    <x v="34"/>
    <x v="2"/>
    <x v="0"/>
    <x v="11"/>
    <n v="2285"/>
  </r>
  <r>
    <x v="34"/>
    <x v="2"/>
    <x v="0"/>
    <x v="12"/>
    <n v="4360"/>
  </r>
  <r>
    <x v="34"/>
    <x v="2"/>
    <x v="0"/>
    <x v="13"/>
    <n v="33"/>
  </r>
  <r>
    <x v="36"/>
    <x v="2"/>
    <x v="0"/>
    <x v="0"/>
    <n v="0"/>
  </r>
  <r>
    <x v="36"/>
    <x v="2"/>
    <x v="0"/>
    <x v="1"/>
    <n v="9755"/>
  </r>
  <r>
    <x v="36"/>
    <x v="2"/>
    <x v="0"/>
    <x v="2"/>
    <n v="8229"/>
  </r>
  <r>
    <x v="36"/>
    <x v="2"/>
    <x v="0"/>
    <x v="3"/>
    <n v="25569"/>
  </r>
  <r>
    <x v="36"/>
    <x v="2"/>
    <x v="0"/>
    <x v="4"/>
    <n v="371"/>
  </r>
  <r>
    <x v="36"/>
    <x v="2"/>
    <x v="0"/>
    <x v="5"/>
    <n v="5751"/>
  </r>
  <r>
    <x v="36"/>
    <x v="2"/>
    <x v="0"/>
    <x v="6"/>
    <n v="0"/>
  </r>
  <r>
    <x v="36"/>
    <x v="2"/>
    <x v="0"/>
    <x v="7"/>
    <n v="833"/>
  </r>
  <r>
    <x v="36"/>
    <x v="2"/>
    <x v="0"/>
    <x v="8"/>
    <n v="489"/>
  </r>
  <r>
    <x v="36"/>
    <x v="2"/>
    <x v="0"/>
    <x v="9"/>
    <n v="26682"/>
  </r>
  <r>
    <x v="36"/>
    <x v="2"/>
    <x v="0"/>
    <x v="10"/>
    <n v="0"/>
  </r>
  <r>
    <x v="36"/>
    <x v="2"/>
    <x v="0"/>
    <x v="11"/>
    <n v="17796"/>
  </r>
  <r>
    <x v="36"/>
    <x v="2"/>
    <x v="0"/>
    <x v="12"/>
    <n v="44341"/>
  </r>
  <r>
    <x v="36"/>
    <x v="2"/>
    <x v="0"/>
    <x v="13"/>
    <n v="821"/>
  </r>
  <r>
    <x v="35"/>
    <x v="2"/>
    <x v="0"/>
    <x v="0"/>
    <n v="124830"/>
  </r>
  <r>
    <x v="35"/>
    <x v="2"/>
    <x v="0"/>
    <x v="1"/>
    <n v="70809"/>
  </r>
  <r>
    <x v="35"/>
    <x v="2"/>
    <x v="0"/>
    <x v="2"/>
    <n v="106617"/>
  </r>
  <r>
    <x v="35"/>
    <x v="2"/>
    <x v="0"/>
    <x v="3"/>
    <n v="234472"/>
  </r>
  <r>
    <x v="35"/>
    <x v="2"/>
    <x v="0"/>
    <x v="4"/>
    <n v="63867"/>
  </r>
  <r>
    <x v="35"/>
    <x v="2"/>
    <x v="0"/>
    <x v="5"/>
    <n v="146384"/>
  </r>
  <r>
    <x v="35"/>
    <x v="2"/>
    <x v="0"/>
    <x v="6"/>
    <n v="11743"/>
  </r>
  <r>
    <x v="35"/>
    <x v="2"/>
    <x v="0"/>
    <x v="7"/>
    <n v="99338"/>
  </r>
  <r>
    <x v="35"/>
    <x v="2"/>
    <x v="0"/>
    <x v="8"/>
    <n v="26156"/>
  </r>
  <r>
    <x v="35"/>
    <x v="2"/>
    <x v="0"/>
    <x v="9"/>
    <n v="209059"/>
  </r>
  <r>
    <x v="35"/>
    <x v="2"/>
    <x v="0"/>
    <x v="10"/>
    <n v="25137"/>
  </r>
  <r>
    <x v="35"/>
    <x v="2"/>
    <x v="0"/>
    <x v="11"/>
    <n v="264721"/>
  </r>
  <r>
    <x v="35"/>
    <x v="2"/>
    <x v="0"/>
    <x v="12"/>
    <n v="586133"/>
  </r>
  <r>
    <x v="35"/>
    <x v="2"/>
    <x v="0"/>
    <x v="13"/>
    <n v="18381"/>
  </r>
  <r>
    <x v="37"/>
    <x v="2"/>
    <x v="0"/>
    <x v="0"/>
    <n v="121497"/>
  </r>
  <r>
    <x v="37"/>
    <x v="2"/>
    <x v="0"/>
    <x v="1"/>
    <n v="52958"/>
  </r>
  <r>
    <x v="37"/>
    <x v="2"/>
    <x v="0"/>
    <x v="2"/>
    <n v="98389"/>
  </r>
  <r>
    <x v="37"/>
    <x v="2"/>
    <x v="0"/>
    <x v="3"/>
    <n v="207897"/>
  </r>
  <r>
    <x v="37"/>
    <x v="2"/>
    <x v="0"/>
    <x v="4"/>
    <n v="62796"/>
  </r>
  <r>
    <x v="37"/>
    <x v="2"/>
    <x v="0"/>
    <x v="5"/>
    <n v="139666"/>
  </r>
  <r>
    <x v="37"/>
    <x v="2"/>
    <x v="0"/>
    <x v="6"/>
    <n v="11743"/>
  </r>
  <r>
    <x v="37"/>
    <x v="2"/>
    <x v="0"/>
    <x v="7"/>
    <n v="97428"/>
  </r>
  <r>
    <x v="37"/>
    <x v="2"/>
    <x v="0"/>
    <x v="8"/>
    <n v="25414"/>
  </r>
  <r>
    <x v="37"/>
    <x v="2"/>
    <x v="0"/>
    <x v="9"/>
    <n v="131889"/>
  </r>
  <r>
    <x v="37"/>
    <x v="2"/>
    <x v="0"/>
    <x v="10"/>
    <n v="22694"/>
  </r>
  <r>
    <x v="37"/>
    <x v="2"/>
    <x v="0"/>
    <x v="11"/>
    <n v="0"/>
  </r>
  <r>
    <x v="37"/>
    <x v="2"/>
    <x v="0"/>
    <x v="12"/>
    <n v="0"/>
  </r>
  <r>
    <x v="37"/>
    <x v="2"/>
    <x v="0"/>
    <x v="13"/>
    <n v="16655"/>
  </r>
  <r>
    <x v="38"/>
    <x v="3"/>
    <x v="0"/>
    <x v="0"/>
    <n v="0"/>
  </r>
  <r>
    <x v="38"/>
    <x v="3"/>
    <x v="0"/>
    <x v="1"/>
    <n v="0"/>
  </r>
  <r>
    <x v="38"/>
    <x v="3"/>
    <x v="0"/>
    <x v="2"/>
    <n v="0"/>
  </r>
  <r>
    <x v="38"/>
    <x v="3"/>
    <x v="0"/>
    <x v="3"/>
    <n v="0"/>
  </r>
  <r>
    <x v="38"/>
    <x v="3"/>
    <x v="0"/>
    <x v="4"/>
    <n v="97"/>
  </r>
  <r>
    <x v="38"/>
    <x v="3"/>
    <x v="0"/>
    <x v="5"/>
    <n v="0"/>
  </r>
  <r>
    <x v="38"/>
    <x v="3"/>
    <x v="0"/>
    <x v="6"/>
    <n v="0"/>
  </r>
  <r>
    <x v="38"/>
    <x v="3"/>
    <x v="0"/>
    <x v="7"/>
    <n v="0"/>
  </r>
  <r>
    <x v="38"/>
    <x v="3"/>
    <x v="0"/>
    <x v="8"/>
    <n v="0"/>
  </r>
  <r>
    <x v="38"/>
    <x v="3"/>
    <x v="0"/>
    <x v="9"/>
    <n v="1835"/>
  </r>
  <r>
    <x v="38"/>
    <x v="3"/>
    <x v="0"/>
    <x v="10"/>
    <n v="0"/>
  </r>
  <r>
    <x v="38"/>
    <x v="3"/>
    <x v="0"/>
    <x v="11"/>
    <n v="408"/>
  </r>
  <r>
    <x v="38"/>
    <x v="3"/>
    <x v="0"/>
    <x v="12"/>
    <n v="1420"/>
  </r>
  <r>
    <x v="38"/>
    <x v="3"/>
    <x v="0"/>
    <x v="13"/>
    <n v="0"/>
  </r>
  <r>
    <x v="0"/>
    <x v="3"/>
    <x v="0"/>
    <x v="0"/>
    <n v="0"/>
  </r>
  <r>
    <x v="0"/>
    <x v="3"/>
    <x v="0"/>
    <x v="1"/>
    <n v="0"/>
  </r>
  <r>
    <x v="0"/>
    <x v="3"/>
    <x v="0"/>
    <x v="2"/>
    <n v="598"/>
  </r>
  <r>
    <x v="0"/>
    <x v="3"/>
    <x v="0"/>
    <x v="3"/>
    <n v="4841"/>
  </r>
  <r>
    <x v="0"/>
    <x v="3"/>
    <x v="0"/>
    <x v="4"/>
    <n v="1016"/>
  </r>
  <r>
    <x v="0"/>
    <x v="3"/>
    <x v="0"/>
    <x v="5"/>
    <n v="2730"/>
  </r>
  <r>
    <x v="0"/>
    <x v="3"/>
    <x v="0"/>
    <x v="6"/>
    <n v="0"/>
  </r>
  <r>
    <x v="0"/>
    <x v="3"/>
    <x v="0"/>
    <x v="7"/>
    <n v="1031"/>
  </r>
  <r>
    <x v="0"/>
    <x v="3"/>
    <x v="0"/>
    <x v="8"/>
    <n v="572"/>
  </r>
  <r>
    <x v="0"/>
    <x v="3"/>
    <x v="0"/>
    <x v="9"/>
    <n v="14116"/>
  </r>
  <r>
    <x v="0"/>
    <x v="3"/>
    <x v="0"/>
    <x v="10"/>
    <n v="0"/>
  </r>
  <r>
    <x v="0"/>
    <x v="3"/>
    <x v="0"/>
    <x v="11"/>
    <n v="4730"/>
  </r>
  <r>
    <x v="0"/>
    <x v="3"/>
    <x v="0"/>
    <x v="12"/>
    <n v="11919"/>
  </r>
  <r>
    <x v="0"/>
    <x v="3"/>
    <x v="0"/>
    <x v="13"/>
    <n v="128"/>
  </r>
  <r>
    <x v="1"/>
    <x v="3"/>
    <x v="0"/>
    <x v="0"/>
    <n v="0"/>
  </r>
  <r>
    <x v="1"/>
    <x v="3"/>
    <x v="0"/>
    <x v="1"/>
    <n v="1888"/>
  </r>
  <r>
    <x v="1"/>
    <x v="3"/>
    <x v="0"/>
    <x v="2"/>
    <n v="0"/>
  </r>
  <r>
    <x v="1"/>
    <x v="3"/>
    <x v="0"/>
    <x v="3"/>
    <n v="0"/>
  </r>
  <r>
    <x v="1"/>
    <x v="3"/>
    <x v="0"/>
    <x v="4"/>
    <n v="0"/>
  </r>
  <r>
    <x v="1"/>
    <x v="3"/>
    <x v="0"/>
    <x v="5"/>
    <n v="0"/>
  </r>
  <r>
    <x v="1"/>
    <x v="3"/>
    <x v="0"/>
    <x v="6"/>
    <n v="0"/>
  </r>
  <r>
    <x v="1"/>
    <x v="3"/>
    <x v="0"/>
    <x v="7"/>
    <n v="0"/>
  </r>
  <r>
    <x v="1"/>
    <x v="3"/>
    <x v="0"/>
    <x v="8"/>
    <n v="0"/>
  </r>
  <r>
    <x v="1"/>
    <x v="3"/>
    <x v="0"/>
    <x v="9"/>
    <n v="1656"/>
  </r>
  <r>
    <x v="1"/>
    <x v="3"/>
    <x v="0"/>
    <x v="10"/>
    <n v="440"/>
  </r>
  <r>
    <x v="1"/>
    <x v="3"/>
    <x v="0"/>
    <x v="11"/>
    <n v="873"/>
  </r>
  <r>
    <x v="1"/>
    <x v="3"/>
    <x v="0"/>
    <x v="12"/>
    <n v="2237"/>
  </r>
  <r>
    <x v="1"/>
    <x v="3"/>
    <x v="0"/>
    <x v="13"/>
    <n v="0"/>
  </r>
  <r>
    <x v="2"/>
    <x v="3"/>
    <x v="0"/>
    <x v="0"/>
    <n v="5919"/>
  </r>
  <r>
    <x v="2"/>
    <x v="3"/>
    <x v="0"/>
    <x v="1"/>
    <n v="0"/>
  </r>
  <r>
    <x v="2"/>
    <x v="3"/>
    <x v="0"/>
    <x v="2"/>
    <n v="0"/>
  </r>
  <r>
    <x v="2"/>
    <x v="3"/>
    <x v="0"/>
    <x v="3"/>
    <n v="6688"/>
  </r>
  <r>
    <x v="2"/>
    <x v="3"/>
    <x v="0"/>
    <x v="4"/>
    <n v="158"/>
  </r>
  <r>
    <x v="2"/>
    <x v="3"/>
    <x v="0"/>
    <x v="5"/>
    <n v="1929"/>
  </r>
  <r>
    <x v="2"/>
    <x v="3"/>
    <x v="0"/>
    <x v="6"/>
    <n v="878"/>
  </r>
  <r>
    <x v="2"/>
    <x v="3"/>
    <x v="0"/>
    <x v="7"/>
    <n v="3380"/>
  </r>
  <r>
    <x v="2"/>
    <x v="3"/>
    <x v="0"/>
    <x v="8"/>
    <n v="806"/>
  </r>
  <r>
    <x v="2"/>
    <x v="3"/>
    <x v="0"/>
    <x v="9"/>
    <n v="122"/>
  </r>
  <r>
    <x v="2"/>
    <x v="3"/>
    <x v="0"/>
    <x v="10"/>
    <n v="1308"/>
  </r>
  <r>
    <x v="2"/>
    <x v="3"/>
    <x v="0"/>
    <x v="11"/>
    <n v="6699"/>
  </r>
  <r>
    <x v="2"/>
    <x v="3"/>
    <x v="0"/>
    <x v="12"/>
    <n v="13270"/>
  </r>
  <r>
    <x v="2"/>
    <x v="3"/>
    <x v="0"/>
    <x v="13"/>
    <n v="391"/>
  </r>
  <r>
    <x v="3"/>
    <x v="3"/>
    <x v="0"/>
    <x v="0"/>
    <n v="2000"/>
  </r>
  <r>
    <x v="3"/>
    <x v="3"/>
    <x v="0"/>
    <x v="1"/>
    <n v="4119"/>
  </r>
  <r>
    <x v="3"/>
    <x v="3"/>
    <x v="0"/>
    <x v="2"/>
    <n v="362"/>
  </r>
  <r>
    <x v="3"/>
    <x v="3"/>
    <x v="0"/>
    <x v="3"/>
    <n v="563"/>
  </r>
  <r>
    <x v="3"/>
    <x v="3"/>
    <x v="0"/>
    <x v="4"/>
    <n v="0"/>
  </r>
  <r>
    <x v="3"/>
    <x v="3"/>
    <x v="0"/>
    <x v="5"/>
    <n v="701"/>
  </r>
  <r>
    <x v="3"/>
    <x v="3"/>
    <x v="0"/>
    <x v="6"/>
    <n v="0"/>
  </r>
  <r>
    <x v="3"/>
    <x v="3"/>
    <x v="0"/>
    <x v="7"/>
    <n v="1046"/>
  </r>
  <r>
    <x v="3"/>
    <x v="3"/>
    <x v="0"/>
    <x v="8"/>
    <n v="77"/>
  </r>
  <r>
    <x v="3"/>
    <x v="3"/>
    <x v="0"/>
    <x v="9"/>
    <n v="2207"/>
  </r>
  <r>
    <x v="3"/>
    <x v="3"/>
    <x v="0"/>
    <x v="10"/>
    <n v="997"/>
  </r>
  <r>
    <x v="3"/>
    <x v="3"/>
    <x v="0"/>
    <x v="11"/>
    <n v="2739"/>
  </r>
  <r>
    <x v="3"/>
    <x v="3"/>
    <x v="0"/>
    <x v="12"/>
    <n v="7690"/>
  </r>
  <r>
    <x v="3"/>
    <x v="3"/>
    <x v="0"/>
    <x v="13"/>
    <n v="0"/>
  </r>
  <r>
    <x v="4"/>
    <x v="3"/>
    <x v="0"/>
    <x v="0"/>
    <n v="3333"/>
  </r>
  <r>
    <x v="4"/>
    <x v="3"/>
    <x v="0"/>
    <x v="1"/>
    <n v="0"/>
  </r>
  <r>
    <x v="4"/>
    <x v="3"/>
    <x v="0"/>
    <x v="2"/>
    <n v="0"/>
  </r>
  <r>
    <x v="4"/>
    <x v="3"/>
    <x v="0"/>
    <x v="3"/>
    <n v="0"/>
  </r>
  <r>
    <x v="4"/>
    <x v="3"/>
    <x v="0"/>
    <x v="4"/>
    <n v="0"/>
  </r>
  <r>
    <x v="4"/>
    <x v="3"/>
    <x v="0"/>
    <x v="5"/>
    <n v="60"/>
  </r>
  <r>
    <x v="4"/>
    <x v="3"/>
    <x v="0"/>
    <x v="6"/>
    <n v="0"/>
  </r>
  <r>
    <x v="4"/>
    <x v="3"/>
    <x v="0"/>
    <x v="7"/>
    <n v="1394"/>
  </r>
  <r>
    <x v="4"/>
    <x v="3"/>
    <x v="0"/>
    <x v="8"/>
    <n v="247"/>
  </r>
  <r>
    <x v="4"/>
    <x v="3"/>
    <x v="0"/>
    <x v="9"/>
    <n v="12160"/>
  </r>
  <r>
    <x v="4"/>
    <x v="3"/>
    <x v="0"/>
    <x v="10"/>
    <n v="0"/>
  </r>
  <r>
    <x v="4"/>
    <x v="3"/>
    <x v="0"/>
    <x v="11"/>
    <n v="4245"/>
  </r>
  <r>
    <x v="4"/>
    <x v="3"/>
    <x v="0"/>
    <x v="12"/>
    <n v="9946"/>
  </r>
  <r>
    <x v="4"/>
    <x v="3"/>
    <x v="0"/>
    <x v="13"/>
    <n v="422"/>
  </r>
  <r>
    <x v="5"/>
    <x v="3"/>
    <x v="0"/>
    <x v="0"/>
    <n v="0"/>
  </r>
  <r>
    <x v="5"/>
    <x v="3"/>
    <x v="0"/>
    <x v="1"/>
    <n v="0"/>
  </r>
  <r>
    <x v="5"/>
    <x v="3"/>
    <x v="0"/>
    <x v="2"/>
    <n v="0"/>
  </r>
  <r>
    <x v="5"/>
    <x v="3"/>
    <x v="0"/>
    <x v="3"/>
    <n v="0"/>
  </r>
  <r>
    <x v="5"/>
    <x v="3"/>
    <x v="0"/>
    <x v="4"/>
    <n v="1478"/>
  </r>
  <r>
    <x v="5"/>
    <x v="3"/>
    <x v="0"/>
    <x v="5"/>
    <n v="155"/>
  </r>
  <r>
    <x v="5"/>
    <x v="3"/>
    <x v="0"/>
    <x v="6"/>
    <n v="0"/>
  </r>
  <r>
    <x v="5"/>
    <x v="3"/>
    <x v="0"/>
    <x v="7"/>
    <n v="0"/>
  </r>
  <r>
    <x v="5"/>
    <x v="3"/>
    <x v="0"/>
    <x v="8"/>
    <n v="0"/>
  </r>
  <r>
    <x v="5"/>
    <x v="3"/>
    <x v="0"/>
    <x v="9"/>
    <n v="0"/>
  </r>
  <r>
    <x v="5"/>
    <x v="3"/>
    <x v="0"/>
    <x v="10"/>
    <n v="0"/>
  </r>
  <r>
    <x v="5"/>
    <x v="3"/>
    <x v="0"/>
    <x v="11"/>
    <n v="300"/>
  </r>
  <r>
    <x v="5"/>
    <x v="3"/>
    <x v="0"/>
    <x v="12"/>
    <n v="1025"/>
  </r>
  <r>
    <x v="5"/>
    <x v="3"/>
    <x v="0"/>
    <x v="13"/>
    <n v="124"/>
  </r>
  <r>
    <x v="6"/>
    <x v="3"/>
    <x v="0"/>
    <x v="0"/>
    <n v="4040"/>
  </r>
  <r>
    <x v="6"/>
    <x v="3"/>
    <x v="0"/>
    <x v="1"/>
    <n v="8492"/>
  </r>
  <r>
    <x v="6"/>
    <x v="3"/>
    <x v="0"/>
    <x v="2"/>
    <n v="1200"/>
  </r>
  <r>
    <x v="6"/>
    <x v="3"/>
    <x v="0"/>
    <x v="3"/>
    <n v="1606"/>
  </r>
  <r>
    <x v="6"/>
    <x v="3"/>
    <x v="0"/>
    <x v="4"/>
    <n v="0"/>
  </r>
  <r>
    <x v="6"/>
    <x v="3"/>
    <x v="0"/>
    <x v="5"/>
    <n v="308"/>
  </r>
  <r>
    <x v="6"/>
    <x v="3"/>
    <x v="0"/>
    <x v="6"/>
    <n v="0"/>
  </r>
  <r>
    <x v="6"/>
    <x v="3"/>
    <x v="0"/>
    <x v="7"/>
    <n v="2040"/>
  </r>
  <r>
    <x v="6"/>
    <x v="3"/>
    <x v="0"/>
    <x v="8"/>
    <n v="800"/>
  </r>
  <r>
    <x v="6"/>
    <x v="3"/>
    <x v="0"/>
    <x v="9"/>
    <n v="1087"/>
  </r>
  <r>
    <x v="6"/>
    <x v="3"/>
    <x v="0"/>
    <x v="10"/>
    <n v="1172"/>
  </r>
  <r>
    <x v="6"/>
    <x v="3"/>
    <x v="0"/>
    <x v="11"/>
    <n v="4360"/>
  </r>
  <r>
    <x v="6"/>
    <x v="3"/>
    <x v="0"/>
    <x v="12"/>
    <n v="10900"/>
  </r>
  <r>
    <x v="6"/>
    <x v="3"/>
    <x v="0"/>
    <x v="13"/>
    <n v="100"/>
  </r>
  <r>
    <x v="7"/>
    <x v="3"/>
    <x v="0"/>
    <x v="0"/>
    <n v="9509"/>
  </r>
  <r>
    <x v="7"/>
    <x v="3"/>
    <x v="0"/>
    <x v="1"/>
    <n v="20804"/>
  </r>
  <r>
    <x v="7"/>
    <x v="3"/>
    <x v="0"/>
    <x v="2"/>
    <n v="25010"/>
  </r>
  <r>
    <x v="7"/>
    <x v="3"/>
    <x v="0"/>
    <x v="3"/>
    <n v="30582"/>
  </r>
  <r>
    <x v="7"/>
    <x v="3"/>
    <x v="0"/>
    <x v="4"/>
    <n v="5181"/>
  </r>
  <r>
    <x v="7"/>
    <x v="3"/>
    <x v="0"/>
    <x v="5"/>
    <n v="49701"/>
  </r>
  <r>
    <x v="7"/>
    <x v="3"/>
    <x v="0"/>
    <x v="6"/>
    <n v="5371"/>
  </r>
  <r>
    <x v="7"/>
    <x v="3"/>
    <x v="0"/>
    <x v="7"/>
    <n v="42020"/>
  </r>
  <r>
    <x v="7"/>
    <x v="3"/>
    <x v="0"/>
    <x v="8"/>
    <n v="7250"/>
  </r>
  <r>
    <x v="7"/>
    <x v="3"/>
    <x v="0"/>
    <x v="9"/>
    <n v="4333"/>
  </r>
  <r>
    <x v="7"/>
    <x v="3"/>
    <x v="0"/>
    <x v="10"/>
    <n v="6282"/>
  </r>
  <r>
    <x v="7"/>
    <x v="3"/>
    <x v="0"/>
    <x v="11"/>
    <n v="35085"/>
  </r>
  <r>
    <x v="7"/>
    <x v="3"/>
    <x v="0"/>
    <x v="12"/>
    <n v="78710"/>
  </r>
  <r>
    <x v="7"/>
    <x v="3"/>
    <x v="0"/>
    <x v="13"/>
    <n v="2186"/>
  </r>
  <r>
    <x v="8"/>
    <x v="3"/>
    <x v="0"/>
    <x v="0"/>
    <n v="0"/>
  </r>
  <r>
    <x v="8"/>
    <x v="3"/>
    <x v="0"/>
    <x v="1"/>
    <n v="0"/>
  </r>
  <r>
    <x v="8"/>
    <x v="3"/>
    <x v="0"/>
    <x v="2"/>
    <n v="4300"/>
  </r>
  <r>
    <x v="8"/>
    <x v="3"/>
    <x v="0"/>
    <x v="3"/>
    <n v="2262"/>
  </r>
  <r>
    <x v="8"/>
    <x v="3"/>
    <x v="0"/>
    <x v="4"/>
    <n v="1048"/>
  </r>
  <r>
    <x v="8"/>
    <x v="3"/>
    <x v="0"/>
    <x v="5"/>
    <n v="4233"/>
  </r>
  <r>
    <x v="8"/>
    <x v="3"/>
    <x v="0"/>
    <x v="6"/>
    <n v="1264"/>
  </r>
  <r>
    <x v="8"/>
    <x v="3"/>
    <x v="0"/>
    <x v="7"/>
    <n v="908"/>
  </r>
  <r>
    <x v="8"/>
    <x v="3"/>
    <x v="0"/>
    <x v="8"/>
    <n v="1349"/>
  </r>
  <r>
    <x v="8"/>
    <x v="3"/>
    <x v="0"/>
    <x v="9"/>
    <n v="6"/>
  </r>
  <r>
    <x v="8"/>
    <x v="3"/>
    <x v="0"/>
    <x v="10"/>
    <n v="0"/>
  </r>
  <r>
    <x v="8"/>
    <x v="3"/>
    <x v="0"/>
    <x v="11"/>
    <n v="2264"/>
  </r>
  <r>
    <x v="8"/>
    <x v="3"/>
    <x v="0"/>
    <x v="12"/>
    <n v="5878"/>
  </r>
  <r>
    <x v="8"/>
    <x v="3"/>
    <x v="0"/>
    <x v="13"/>
    <n v="414"/>
  </r>
  <r>
    <x v="9"/>
    <x v="3"/>
    <x v="0"/>
    <x v="0"/>
    <n v="0"/>
  </r>
  <r>
    <x v="9"/>
    <x v="3"/>
    <x v="0"/>
    <x v="1"/>
    <n v="0"/>
  </r>
  <r>
    <x v="9"/>
    <x v="3"/>
    <x v="0"/>
    <x v="2"/>
    <n v="0"/>
  </r>
  <r>
    <x v="9"/>
    <x v="3"/>
    <x v="0"/>
    <x v="3"/>
    <n v="200"/>
  </r>
  <r>
    <x v="9"/>
    <x v="3"/>
    <x v="0"/>
    <x v="4"/>
    <n v="2152"/>
  </r>
  <r>
    <x v="9"/>
    <x v="3"/>
    <x v="0"/>
    <x v="5"/>
    <n v="341"/>
  </r>
  <r>
    <x v="9"/>
    <x v="3"/>
    <x v="0"/>
    <x v="6"/>
    <n v="0"/>
  </r>
  <r>
    <x v="9"/>
    <x v="3"/>
    <x v="0"/>
    <x v="7"/>
    <n v="9"/>
  </r>
  <r>
    <x v="9"/>
    <x v="3"/>
    <x v="0"/>
    <x v="8"/>
    <n v="92"/>
  </r>
  <r>
    <x v="9"/>
    <x v="3"/>
    <x v="0"/>
    <x v="9"/>
    <n v="8"/>
  </r>
  <r>
    <x v="9"/>
    <x v="3"/>
    <x v="0"/>
    <x v="10"/>
    <n v="0"/>
  </r>
  <r>
    <x v="9"/>
    <x v="3"/>
    <x v="0"/>
    <x v="11"/>
    <n v="492"/>
  </r>
  <r>
    <x v="9"/>
    <x v="3"/>
    <x v="0"/>
    <x v="12"/>
    <n v="1472"/>
  </r>
  <r>
    <x v="9"/>
    <x v="3"/>
    <x v="0"/>
    <x v="13"/>
    <n v="30"/>
  </r>
  <r>
    <x v="10"/>
    <x v="3"/>
    <x v="0"/>
    <x v="0"/>
    <n v="7117"/>
  </r>
  <r>
    <x v="10"/>
    <x v="3"/>
    <x v="0"/>
    <x v="1"/>
    <n v="1056"/>
  </r>
  <r>
    <x v="10"/>
    <x v="3"/>
    <x v="0"/>
    <x v="2"/>
    <n v="8949"/>
  </r>
  <r>
    <x v="10"/>
    <x v="3"/>
    <x v="0"/>
    <x v="3"/>
    <n v="32158"/>
  </r>
  <r>
    <x v="10"/>
    <x v="3"/>
    <x v="0"/>
    <x v="4"/>
    <n v="3365"/>
  </r>
  <r>
    <x v="10"/>
    <x v="3"/>
    <x v="0"/>
    <x v="5"/>
    <n v="23005"/>
  </r>
  <r>
    <x v="10"/>
    <x v="3"/>
    <x v="0"/>
    <x v="6"/>
    <n v="0"/>
  </r>
  <r>
    <x v="10"/>
    <x v="3"/>
    <x v="0"/>
    <x v="7"/>
    <n v="4676"/>
  </r>
  <r>
    <x v="10"/>
    <x v="3"/>
    <x v="0"/>
    <x v="8"/>
    <n v="744"/>
  </r>
  <r>
    <x v="10"/>
    <x v="3"/>
    <x v="0"/>
    <x v="9"/>
    <n v="17003"/>
  </r>
  <r>
    <x v="10"/>
    <x v="3"/>
    <x v="0"/>
    <x v="10"/>
    <n v="3329"/>
  </r>
  <r>
    <x v="10"/>
    <x v="3"/>
    <x v="0"/>
    <x v="11"/>
    <n v="18758"/>
  </r>
  <r>
    <x v="10"/>
    <x v="3"/>
    <x v="0"/>
    <x v="12"/>
    <n v="41015"/>
  </r>
  <r>
    <x v="10"/>
    <x v="3"/>
    <x v="0"/>
    <x v="13"/>
    <n v="3123"/>
  </r>
  <r>
    <x v="11"/>
    <x v="3"/>
    <x v="0"/>
    <x v="0"/>
    <n v="2782"/>
  </r>
  <r>
    <x v="11"/>
    <x v="3"/>
    <x v="0"/>
    <x v="1"/>
    <n v="0"/>
  </r>
  <r>
    <x v="11"/>
    <x v="3"/>
    <x v="0"/>
    <x v="2"/>
    <n v="2278"/>
  </r>
  <r>
    <x v="11"/>
    <x v="3"/>
    <x v="0"/>
    <x v="3"/>
    <n v="1865"/>
  </r>
  <r>
    <x v="11"/>
    <x v="3"/>
    <x v="0"/>
    <x v="4"/>
    <n v="2521"/>
  </r>
  <r>
    <x v="11"/>
    <x v="3"/>
    <x v="0"/>
    <x v="5"/>
    <n v="1908"/>
  </r>
  <r>
    <x v="11"/>
    <x v="3"/>
    <x v="0"/>
    <x v="6"/>
    <n v="0"/>
  </r>
  <r>
    <x v="11"/>
    <x v="3"/>
    <x v="0"/>
    <x v="7"/>
    <n v="0"/>
  </r>
  <r>
    <x v="11"/>
    <x v="3"/>
    <x v="0"/>
    <x v="8"/>
    <n v="1813"/>
  </r>
  <r>
    <x v="11"/>
    <x v="3"/>
    <x v="0"/>
    <x v="9"/>
    <n v="3149"/>
  </r>
  <r>
    <x v="11"/>
    <x v="3"/>
    <x v="0"/>
    <x v="10"/>
    <n v="0"/>
  </r>
  <r>
    <x v="11"/>
    <x v="3"/>
    <x v="0"/>
    <x v="11"/>
    <n v="5916"/>
  </r>
  <r>
    <x v="11"/>
    <x v="3"/>
    <x v="0"/>
    <x v="12"/>
    <n v="14374"/>
  </r>
  <r>
    <x v="11"/>
    <x v="3"/>
    <x v="0"/>
    <x v="13"/>
    <n v="414"/>
  </r>
  <r>
    <x v="12"/>
    <x v="3"/>
    <x v="0"/>
    <x v="0"/>
    <n v="63130"/>
  </r>
  <r>
    <x v="12"/>
    <x v="3"/>
    <x v="0"/>
    <x v="1"/>
    <n v="0"/>
  </r>
  <r>
    <x v="12"/>
    <x v="3"/>
    <x v="0"/>
    <x v="2"/>
    <n v="2997"/>
  </r>
  <r>
    <x v="12"/>
    <x v="3"/>
    <x v="0"/>
    <x v="3"/>
    <n v="11851"/>
  </r>
  <r>
    <x v="12"/>
    <x v="3"/>
    <x v="0"/>
    <x v="4"/>
    <n v="4098"/>
  </r>
  <r>
    <x v="12"/>
    <x v="3"/>
    <x v="0"/>
    <x v="5"/>
    <n v="13539"/>
  </r>
  <r>
    <x v="12"/>
    <x v="3"/>
    <x v="0"/>
    <x v="6"/>
    <n v="0"/>
  </r>
  <r>
    <x v="12"/>
    <x v="3"/>
    <x v="0"/>
    <x v="7"/>
    <n v="7646"/>
  </r>
  <r>
    <x v="12"/>
    <x v="3"/>
    <x v="0"/>
    <x v="8"/>
    <n v="1081"/>
  </r>
  <r>
    <x v="12"/>
    <x v="3"/>
    <x v="0"/>
    <x v="9"/>
    <n v="23789"/>
  </r>
  <r>
    <x v="12"/>
    <x v="3"/>
    <x v="0"/>
    <x v="10"/>
    <n v="0"/>
  </r>
  <r>
    <x v="12"/>
    <x v="3"/>
    <x v="0"/>
    <x v="11"/>
    <n v="30199"/>
  </r>
  <r>
    <x v="12"/>
    <x v="3"/>
    <x v="0"/>
    <x v="12"/>
    <n v="94497"/>
  </r>
  <r>
    <x v="12"/>
    <x v="3"/>
    <x v="0"/>
    <x v="13"/>
    <n v="2596"/>
  </r>
  <r>
    <x v="13"/>
    <x v="3"/>
    <x v="0"/>
    <x v="0"/>
    <n v="9248"/>
  </r>
  <r>
    <x v="13"/>
    <x v="3"/>
    <x v="0"/>
    <x v="1"/>
    <n v="0"/>
  </r>
  <r>
    <x v="13"/>
    <x v="3"/>
    <x v="0"/>
    <x v="2"/>
    <n v="14145"/>
  </r>
  <r>
    <x v="13"/>
    <x v="3"/>
    <x v="0"/>
    <x v="3"/>
    <n v="31124"/>
  </r>
  <r>
    <x v="13"/>
    <x v="3"/>
    <x v="0"/>
    <x v="4"/>
    <n v="875"/>
  </r>
  <r>
    <x v="13"/>
    <x v="3"/>
    <x v="0"/>
    <x v="5"/>
    <n v="12950"/>
  </r>
  <r>
    <x v="13"/>
    <x v="3"/>
    <x v="0"/>
    <x v="6"/>
    <n v="5400"/>
  </r>
  <r>
    <x v="13"/>
    <x v="3"/>
    <x v="0"/>
    <x v="7"/>
    <n v="12900"/>
  </r>
  <r>
    <x v="13"/>
    <x v="3"/>
    <x v="0"/>
    <x v="8"/>
    <n v="2098"/>
  </r>
  <r>
    <x v="13"/>
    <x v="3"/>
    <x v="0"/>
    <x v="9"/>
    <n v="3821"/>
  </r>
  <r>
    <x v="13"/>
    <x v="3"/>
    <x v="0"/>
    <x v="10"/>
    <n v="0"/>
  </r>
  <r>
    <x v="13"/>
    <x v="3"/>
    <x v="0"/>
    <x v="11"/>
    <n v="21296"/>
  </r>
  <r>
    <x v="13"/>
    <x v="3"/>
    <x v="0"/>
    <x v="12"/>
    <n v="63626"/>
  </r>
  <r>
    <x v="13"/>
    <x v="3"/>
    <x v="0"/>
    <x v="13"/>
    <n v="1"/>
  </r>
  <r>
    <x v="14"/>
    <x v="3"/>
    <x v="0"/>
    <x v="0"/>
    <n v="0"/>
  </r>
  <r>
    <x v="14"/>
    <x v="3"/>
    <x v="0"/>
    <x v="1"/>
    <n v="3904"/>
  </r>
  <r>
    <x v="14"/>
    <x v="3"/>
    <x v="0"/>
    <x v="2"/>
    <n v="0"/>
  </r>
  <r>
    <x v="14"/>
    <x v="3"/>
    <x v="0"/>
    <x v="3"/>
    <n v="4269"/>
  </r>
  <r>
    <x v="14"/>
    <x v="3"/>
    <x v="0"/>
    <x v="4"/>
    <n v="0"/>
  </r>
  <r>
    <x v="14"/>
    <x v="3"/>
    <x v="0"/>
    <x v="5"/>
    <n v="2082"/>
  </r>
  <r>
    <x v="14"/>
    <x v="3"/>
    <x v="0"/>
    <x v="6"/>
    <n v="0"/>
  </r>
  <r>
    <x v="14"/>
    <x v="3"/>
    <x v="0"/>
    <x v="7"/>
    <n v="2448"/>
  </r>
  <r>
    <x v="14"/>
    <x v="3"/>
    <x v="0"/>
    <x v="8"/>
    <n v="60"/>
  </r>
  <r>
    <x v="14"/>
    <x v="3"/>
    <x v="0"/>
    <x v="9"/>
    <n v="3399"/>
  </r>
  <r>
    <x v="14"/>
    <x v="3"/>
    <x v="0"/>
    <x v="10"/>
    <n v="0"/>
  </r>
  <r>
    <x v="14"/>
    <x v="3"/>
    <x v="0"/>
    <x v="11"/>
    <n v="3404"/>
  </r>
  <r>
    <x v="14"/>
    <x v="3"/>
    <x v="0"/>
    <x v="12"/>
    <n v="9674"/>
  </r>
  <r>
    <x v="14"/>
    <x v="3"/>
    <x v="0"/>
    <x v="13"/>
    <n v="230"/>
  </r>
  <r>
    <x v="15"/>
    <x v="3"/>
    <x v="0"/>
    <x v="0"/>
    <n v="0"/>
  </r>
  <r>
    <x v="15"/>
    <x v="3"/>
    <x v="0"/>
    <x v="1"/>
    <n v="0"/>
  </r>
  <r>
    <x v="15"/>
    <x v="3"/>
    <x v="0"/>
    <x v="2"/>
    <n v="325"/>
  </r>
  <r>
    <x v="15"/>
    <x v="3"/>
    <x v="0"/>
    <x v="3"/>
    <n v="743"/>
  </r>
  <r>
    <x v="15"/>
    <x v="3"/>
    <x v="0"/>
    <x v="4"/>
    <n v="950"/>
  </r>
  <r>
    <x v="15"/>
    <x v="3"/>
    <x v="0"/>
    <x v="5"/>
    <n v="537"/>
  </r>
  <r>
    <x v="15"/>
    <x v="3"/>
    <x v="0"/>
    <x v="6"/>
    <n v="0"/>
  </r>
  <r>
    <x v="15"/>
    <x v="3"/>
    <x v="0"/>
    <x v="7"/>
    <n v="51"/>
  </r>
  <r>
    <x v="15"/>
    <x v="3"/>
    <x v="0"/>
    <x v="8"/>
    <n v="72"/>
  </r>
  <r>
    <x v="15"/>
    <x v="3"/>
    <x v="0"/>
    <x v="9"/>
    <n v="2090"/>
  </r>
  <r>
    <x v="15"/>
    <x v="3"/>
    <x v="0"/>
    <x v="10"/>
    <n v="0"/>
  </r>
  <r>
    <x v="15"/>
    <x v="3"/>
    <x v="0"/>
    <x v="11"/>
    <n v="1305"/>
  </r>
  <r>
    <x v="15"/>
    <x v="3"/>
    <x v="0"/>
    <x v="12"/>
    <n v="3079"/>
  </r>
  <r>
    <x v="15"/>
    <x v="3"/>
    <x v="0"/>
    <x v="13"/>
    <n v="10"/>
  </r>
  <r>
    <x v="16"/>
    <x v="3"/>
    <x v="0"/>
    <x v="0"/>
    <n v="1887"/>
  </r>
  <r>
    <x v="16"/>
    <x v="3"/>
    <x v="0"/>
    <x v="1"/>
    <n v="1049"/>
  </r>
  <r>
    <x v="16"/>
    <x v="3"/>
    <x v="0"/>
    <x v="2"/>
    <n v="292"/>
  </r>
  <r>
    <x v="16"/>
    <x v="3"/>
    <x v="0"/>
    <x v="3"/>
    <n v="4120"/>
  </r>
  <r>
    <x v="16"/>
    <x v="3"/>
    <x v="0"/>
    <x v="4"/>
    <n v="410"/>
  </r>
  <r>
    <x v="16"/>
    <x v="3"/>
    <x v="0"/>
    <x v="5"/>
    <n v="323"/>
  </r>
  <r>
    <x v="16"/>
    <x v="3"/>
    <x v="0"/>
    <x v="6"/>
    <n v="0"/>
  </r>
  <r>
    <x v="16"/>
    <x v="3"/>
    <x v="0"/>
    <x v="7"/>
    <n v="94"/>
  </r>
  <r>
    <x v="16"/>
    <x v="3"/>
    <x v="0"/>
    <x v="8"/>
    <n v="310"/>
  </r>
  <r>
    <x v="16"/>
    <x v="3"/>
    <x v="0"/>
    <x v="9"/>
    <n v="56"/>
  </r>
  <r>
    <x v="16"/>
    <x v="3"/>
    <x v="0"/>
    <x v="10"/>
    <n v="0"/>
  </r>
  <r>
    <x v="16"/>
    <x v="3"/>
    <x v="0"/>
    <x v="11"/>
    <n v="3129"/>
  </r>
  <r>
    <x v="16"/>
    <x v="3"/>
    <x v="0"/>
    <x v="12"/>
    <n v="6483"/>
  </r>
  <r>
    <x v="16"/>
    <x v="3"/>
    <x v="0"/>
    <x v="13"/>
    <n v="28"/>
  </r>
  <r>
    <x v="17"/>
    <x v="3"/>
    <x v="0"/>
    <x v="0"/>
    <n v="0"/>
  </r>
  <r>
    <x v="17"/>
    <x v="3"/>
    <x v="0"/>
    <x v="1"/>
    <n v="0"/>
  </r>
  <r>
    <x v="17"/>
    <x v="3"/>
    <x v="0"/>
    <x v="2"/>
    <n v="855"/>
  </r>
  <r>
    <x v="17"/>
    <x v="3"/>
    <x v="0"/>
    <x v="3"/>
    <n v="4215"/>
  </r>
  <r>
    <x v="17"/>
    <x v="3"/>
    <x v="0"/>
    <x v="4"/>
    <n v="1144"/>
  </r>
  <r>
    <x v="17"/>
    <x v="3"/>
    <x v="0"/>
    <x v="5"/>
    <n v="3080"/>
  </r>
  <r>
    <x v="17"/>
    <x v="3"/>
    <x v="0"/>
    <x v="6"/>
    <n v="0"/>
  </r>
  <r>
    <x v="17"/>
    <x v="3"/>
    <x v="0"/>
    <x v="7"/>
    <n v="0"/>
  </r>
  <r>
    <x v="17"/>
    <x v="3"/>
    <x v="0"/>
    <x v="8"/>
    <n v="0"/>
  </r>
  <r>
    <x v="17"/>
    <x v="3"/>
    <x v="0"/>
    <x v="9"/>
    <n v="238"/>
  </r>
  <r>
    <x v="17"/>
    <x v="3"/>
    <x v="0"/>
    <x v="10"/>
    <n v="292"/>
  </r>
  <r>
    <x v="17"/>
    <x v="3"/>
    <x v="0"/>
    <x v="11"/>
    <n v="1938"/>
  </r>
  <r>
    <x v="17"/>
    <x v="3"/>
    <x v="0"/>
    <x v="12"/>
    <n v="4907"/>
  </r>
  <r>
    <x v="17"/>
    <x v="3"/>
    <x v="0"/>
    <x v="13"/>
    <n v="687"/>
  </r>
  <r>
    <x v="18"/>
    <x v="3"/>
    <x v="0"/>
    <x v="0"/>
    <n v="0"/>
  </r>
  <r>
    <x v="18"/>
    <x v="3"/>
    <x v="0"/>
    <x v="1"/>
    <n v="0"/>
  </r>
  <r>
    <x v="18"/>
    <x v="3"/>
    <x v="0"/>
    <x v="2"/>
    <n v="0"/>
  </r>
  <r>
    <x v="18"/>
    <x v="3"/>
    <x v="0"/>
    <x v="3"/>
    <n v="0"/>
  </r>
  <r>
    <x v="18"/>
    <x v="3"/>
    <x v="0"/>
    <x v="4"/>
    <n v="11"/>
  </r>
  <r>
    <x v="18"/>
    <x v="3"/>
    <x v="0"/>
    <x v="5"/>
    <n v="2"/>
  </r>
  <r>
    <x v="18"/>
    <x v="3"/>
    <x v="0"/>
    <x v="6"/>
    <n v="0"/>
  </r>
  <r>
    <x v="18"/>
    <x v="3"/>
    <x v="0"/>
    <x v="7"/>
    <n v="0"/>
  </r>
  <r>
    <x v="18"/>
    <x v="3"/>
    <x v="0"/>
    <x v="8"/>
    <n v="0"/>
  </r>
  <r>
    <x v="18"/>
    <x v="3"/>
    <x v="0"/>
    <x v="9"/>
    <n v="1973"/>
  </r>
  <r>
    <x v="18"/>
    <x v="3"/>
    <x v="0"/>
    <x v="10"/>
    <n v="0"/>
  </r>
  <r>
    <x v="18"/>
    <x v="3"/>
    <x v="0"/>
    <x v="11"/>
    <n v="1622"/>
  </r>
  <r>
    <x v="18"/>
    <x v="3"/>
    <x v="0"/>
    <x v="12"/>
    <n v="2360"/>
  </r>
  <r>
    <x v="18"/>
    <x v="3"/>
    <x v="0"/>
    <x v="13"/>
    <n v="706"/>
  </r>
  <r>
    <x v="19"/>
    <x v="3"/>
    <x v="0"/>
    <x v="0"/>
    <n v="0"/>
  </r>
  <r>
    <x v="19"/>
    <x v="3"/>
    <x v="0"/>
    <x v="1"/>
    <n v="0"/>
  </r>
  <r>
    <x v="19"/>
    <x v="3"/>
    <x v="0"/>
    <x v="2"/>
    <n v="7354"/>
  </r>
  <r>
    <x v="19"/>
    <x v="3"/>
    <x v="0"/>
    <x v="3"/>
    <n v="46340"/>
  </r>
  <r>
    <x v="19"/>
    <x v="3"/>
    <x v="0"/>
    <x v="4"/>
    <n v="15545"/>
  </r>
  <r>
    <x v="19"/>
    <x v="3"/>
    <x v="0"/>
    <x v="5"/>
    <n v="9778"/>
  </r>
  <r>
    <x v="19"/>
    <x v="3"/>
    <x v="0"/>
    <x v="6"/>
    <n v="0"/>
  </r>
  <r>
    <x v="19"/>
    <x v="3"/>
    <x v="0"/>
    <x v="7"/>
    <n v="19662"/>
  </r>
  <r>
    <x v="19"/>
    <x v="3"/>
    <x v="0"/>
    <x v="8"/>
    <n v="2962"/>
  </r>
  <r>
    <x v="19"/>
    <x v="3"/>
    <x v="0"/>
    <x v="9"/>
    <n v="21872"/>
  </r>
  <r>
    <x v="19"/>
    <x v="3"/>
    <x v="0"/>
    <x v="10"/>
    <n v="4753"/>
  </r>
  <r>
    <x v="19"/>
    <x v="3"/>
    <x v="0"/>
    <x v="11"/>
    <n v="19045"/>
  </r>
  <r>
    <x v="19"/>
    <x v="3"/>
    <x v="0"/>
    <x v="12"/>
    <n v="56584"/>
  </r>
  <r>
    <x v="19"/>
    <x v="3"/>
    <x v="0"/>
    <x v="13"/>
    <n v="4866"/>
  </r>
  <r>
    <x v="20"/>
    <x v="3"/>
    <x v="0"/>
    <x v="0"/>
    <n v="0"/>
  </r>
  <r>
    <x v="20"/>
    <x v="3"/>
    <x v="0"/>
    <x v="1"/>
    <n v="0"/>
  </r>
  <r>
    <x v="20"/>
    <x v="3"/>
    <x v="0"/>
    <x v="2"/>
    <n v="0"/>
  </r>
  <r>
    <x v="20"/>
    <x v="3"/>
    <x v="0"/>
    <x v="3"/>
    <n v="560"/>
  </r>
  <r>
    <x v="20"/>
    <x v="3"/>
    <x v="0"/>
    <x v="4"/>
    <n v="1192"/>
  </r>
  <r>
    <x v="20"/>
    <x v="3"/>
    <x v="0"/>
    <x v="5"/>
    <n v="521"/>
  </r>
  <r>
    <x v="20"/>
    <x v="3"/>
    <x v="0"/>
    <x v="6"/>
    <n v="0"/>
  </r>
  <r>
    <x v="20"/>
    <x v="3"/>
    <x v="0"/>
    <x v="7"/>
    <n v="82"/>
  </r>
  <r>
    <x v="20"/>
    <x v="3"/>
    <x v="0"/>
    <x v="8"/>
    <n v="91"/>
  </r>
  <r>
    <x v="20"/>
    <x v="3"/>
    <x v="0"/>
    <x v="9"/>
    <n v="127"/>
  </r>
  <r>
    <x v="20"/>
    <x v="3"/>
    <x v="0"/>
    <x v="10"/>
    <n v="900"/>
  </r>
  <r>
    <x v="20"/>
    <x v="3"/>
    <x v="0"/>
    <x v="11"/>
    <n v="837"/>
  </r>
  <r>
    <x v="20"/>
    <x v="3"/>
    <x v="0"/>
    <x v="12"/>
    <n v="1896"/>
  </r>
  <r>
    <x v="20"/>
    <x v="3"/>
    <x v="0"/>
    <x v="13"/>
    <n v="35"/>
  </r>
  <r>
    <x v="21"/>
    <x v="3"/>
    <x v="0"/>
    <x v="0"/>
    <n v="0"/>
  </r>
  <r>
    <x v="21"/>
    <x v="3"/>
    <x v="0"/>
    <x v="1"/>
    <n v="0"/>
  </r>
  <r>
    <x v="21"/>
    <x v="3"/>
    <x v="0"/>
    <x v="2"/>
    <n v="0"/>
  </r>
  <r>
    <x v="21"/>
    <x v="3"/>
    <x v="0"/>
    <x v="3"/>
    <n v="136"/>
  </r>
  <r>
    <x v="21"/>
    <x v="3"/>
    <x v="0"/>
    <x v="4"/>
    <n v="0"/>
  </r>
  <r>
    <x v="21"/>
    <x v="3"/>
    <x v="0"/>
    <x v="5"/>
    <n v="120"/>
  </r>
  <r>
    <x v="21"/>
    <x v="3"/>
    <x v="0"/>
    <x v="6"/>
    <n v="0"/>
  </r>
  <r>
    <x v="21"/>
    <x v="3"/>
    <x v="0"/>
    <x v="7"/>
    <n v="128"/>
  </r>
  <r>
    <x v="21"/>
    <x v="3"/>
    <x v="0"/>
    <x v="8"/>
    <n v="11"/>
  </r>
  <r>
    <x v="21"/>
    <x v="3"/>
    <x v="0"/>
    <x v="9"/>
    <n v="32"/>
  </r>
  <r>
    <x v="21"/>
    <x v="3"/>
    <x v="0"/>
    <x v="10"/>
    <n v="1290"/>
  </r>
  <r>
    <x v="21"/>
    <x v="3"/>
    <x v="0"/>
    <x v="11"/>
    <n v="368"/>
  </r>
  <r>
    <x v="21"/>
    <x v="3"/>
    <x v="0"/>
    <x v="12"/>
    <n v="927"/>
  </r>
  <r>
    <x v="21"/>
    <x v="3"/>
    <x v="0"/>
    <x v="13"/>
    <n v="21"/>
  </r>
  <r>
    <x v="22"/>
    <x v="3"/>
    <x v="0"/>
    <x v="0"/>
    <n v="0"/>
  </r>
  <r>
    <x v="22"/>
    <x v="3"/>
    <x v="0"/>
    <x v="1"/>
    <n v="0"/>
  </r>
  <r>
    <x v="22"/>
    <x v="3"/>
    <x v="0"/>
    <x v="2"/>
    <n v="0"/>
  </r>
  <r>
    <x v="22"/>
    <x v="3"/>
    <x v="0"/>
    <x v="3"/>
    <n v="1031"/>
  </r>
  <r>
    <x v="22"/>
    <x v="3"/>
    <x v="0"/>
    <x v="4"/>
    <n v="109"/>
  </r>
  <r>
    <x v="22"/>
    <x v="3"/>
    <x v="0"/>
    <x v="5"/>
    <n v="74"/>
  </r>
  <r>
    <x v="22"/>
    <x v="3"/>
    <x v="0"/>
    <x v="6"/>
    <n v="0"/>
  </r>
  <r>
    <x v="22"/>
    <x v="3"/>
    <x v="0"/>
    <x v="7"/>
    <n v="0"/>
  </r>
  <r>
    <x v="22"/>
    <x v="3"/>
    <x v="0"/>
    <x v="8"/>
    <n v="143"/>
  </r>
  <r>
    <x v="22"/>
    <x v="3"/>
    <x v="0"/>
    <x v="9"/>
    <n v="1572"/>
  </r>
  <r>
    <x v="22"/>
    <x v="3"/>
    <x v="0"/>
    <x v="10"/>
    <n v="0"/>
  </r>
  <r>
    <x v="22"/>
    <x v="3"/>
    <x v="0"/>
    <x v="11"/>
    <n v="436"/>
  </r>
  <r>
    <x v="22"/>
    <x v="3"/>
    <x v="0"/>
    <x v="12"/>
    <n v="1236"/>
  </r>
  <r>
    <x v="22"/>
    <x v="3"/>
    <x v="0"/>
    <x v="13"/>
    <n v="0"/>
  </r>
  <r>
    <x v="23"/>
    <x v="3"/>
    <x v="0"/>
    <x v="0"/>
    <n v="0"/>
  </r>
  <r>
    <x v="23"/>
    <x v="3"/>
    <x v="0"/>
    <x v="1"/>
    <n v="220"/>
  </r>
  <r>
    <x v="23"/>
    <x v="3"/>
    <x v="0"/>
    <x v="2"/>
    <n v="0"/>
  </r>
  <r>
    <x v="23"/>
    <x v="3"/>
    <x v="0"/>
    <x v="3"/>
    <n v="0"/>
  </r>
  <r>
    <x v="23"/>
    <x v="3"/>
    <x v="0"/>
    <x v="4"/>
    <n v="0"/>
  </r>
  <r>
    <x v="23"/>
    <x v="3"/>
    <x v="0"/>
    <x v="5"/>
    <n v="72"/>
  </r>
  <r>
    <x v="23"/>
    <x v="3"/>
    <x v="0"/>
    <x v="6"/>
    <n v="0"/>
  </r>
  <r>
    <x v="23"/>
    <x v="3"/>
    <x v="0"/>
    <x v="7"/>
    <n v="0"/>
  </r>
  <r>
    <x v="23"/>
    <x v="3"/>
    <x v="0"/>
    <x v="8"/>
    <n v="0"/>
  </r>
  <r>
    <x v="23"/>
    <x v="3"/>
    <x v="0"/>
    <x v="9"/>
    <n v="0"/>
  </r>
  <r>
    <x v="23"/>
    <x v="3"/>
    <x v="0"/>
    <x v="10"/>
    <n v="660"/>
  </r>
  <r>
    <x v="23"/>
    <x v="3"/>
    <x v="0"/>
    <x v="11"/>
    <n v="221"/>
  </r>
  <r>
    <x v="23"/>
    <x v="3"/>
    <x v="0"/>
    <x v="12"/>
    <n v="654"/>
  </r>
  <r>
    <x v="23"/>
    <x v="3"/>
    <x v="0"/>
    <x v="13"/>
    <n v="0"/>
  </r>
  <r>
    <x v="24"/>
    <x v="3"/>
    <x v="0"/>
    <x v="0"/>
    <n v="0"/>
  </r>
  <r>
    <x v="24"/>
    <x v="3"/>
    <x v="0"/>
    <x v="1"/>
    <n v="718"/>
  </r>
  <r>
    <x v="24"/>
    <x v="3"/>
    <x v="0"/>
    <x v="2"/>
    <n v="0"/>
  </r>
  <r>
    <x v="24"/>
    <x v="3"/>
    <x v="0"/>
    <x v="3"/>
    <n v="250"/>
  </r>
  <r>
    <x v="24"/>
    <x v="3"/>
    <x v="0"/>
    <x v="4"/>
    <n v="189"/>
  </r>
  <r>
    <x v="24"/>
    <x v="3"/>
    <x v="0"/>
    <x v="5"/>
    <n v="36"/>
  </r>
  <r>
    <x v="24"/>
    <x v="3"/>
    <x v="0"/>
    <x v="6"/>
    <n v="0"/>
  </r>
  <r>
    <x v="24"/>
    <x v="3"/>
    <x v="0"/>
    <x v="7"/>
    <n v="17"/>
  </r>
  <r>
    <x v="24"/>
    <x v="3"/>
    <x v="0"/>
    <x v="8"/>
    <n v="4"/>
  </r>
  <r>
    <x v="24"/>
    <x v="3"/>
    <x v="0"/>
    <x v="9"/>
    <n v="676"/>
  </r>
  <r>
    <x v="24"/>
    <x v="3"/>
    <x v="0"/>
    <x v="10"/>
    <n v="0"/>
  </r>
  <r>
    <x v="24"/>
    <x v="3"/>
    <x v="0"/>
    <x v="11"/>
    <n v="422"/>
  </r>
  <r>
    <x v="24"/>
    <x v="3"/>
    <x v="0"/>
    <x v="12"/>
    <n v="1514"/>
  </r>
  <r>
    <x v="24"/>
    <x v="3"/>
    <x v="0"/>
    <x v="13"/>
    <n v="0"/>
  </r>
  <r>
    <x v="26"/>
    <x v="3"/>
    <x v="0"/>
    <x v="0"/>
    <n v="486"/>
  </r>
  <r>
    <x v="26"/>
    <x v="3"/>
    <x v="0"/>
    <x v="1"/>
    <n v="0"/>
  </r>
  <r>
    <x v="26"/>
    <x v="3"/>
    <x v="0"/>
    <x v="2"/>
    <n v="4631"/>
  </r>
  <r>
    <x v="26"/>
    <x v="3"/>
    <x v="0"/>
    <x v="3"/>
    <n v="18433"/>
  </r>
  <r>
    <x v="26"/>
    <x v="3"/>
    <x v="0"/>
    <x v="4"/>
    <n v="0"/>
  </r>
  <r>
    <x v="26"/>
    <x v="3"/>
    <x v="0"/>
    <x v="5"/>
    <n v="3675"/>
  </r>
  <r>
    <x v="26"/>
    <x v="3"/>
    <x v="0"/>
    <x v="6"/>
    <n v="957"/>
  </r>
  <r>
    <x v="26"/>
    <x v="3"/>
    <x v="0"/>
    <x v="7"/>
    <n v="2584"/>
  </r>
  <r>
    <x v="26"/>
    <x v="3"/>
    <x v="0"/>
    <x v="8"/>
    <n v="489"/>
  </r>
  <r>
    <x v="26"/>
    <x v="3"/>
    <x v="0"/>
    <x v="9"/>
    <n v="38"/>
  </r>
  <r>
    <x v="26"/>
    <x v="3"/>
    <x v="0"/>
    <x v="10"/>
    <n v="0"/>
  </r>
  <r>
    <x v="26"/>
    <x v="3"/>
    <x v="0"/>
    <x v="11"/>
    <n v="7490"/>
  </r>
  <r>
    <x v="26"/>
    <x v="3"/>
    <x v="0"/>
    <x v="12"/>
    <n v="18620"/>
  </r>
  <r>
    <x v="26"/>
    <x v="3"/>
    <x v="0"/>
    <x v="13"/>
    <n v="683"/>
  </r>
  <r>
    <x v="27"/>
    <x v="3"/>
    <x v="0"/>
    <x v="0"/>
    <n v="0"/>
  </r>
  <r>
    <x v="27"/>
    <x v="3"/>
    <x v="0"/>
    <x v="1"/>
    <n v="0"/>
  </r>
  <r>
    <x v="27"/>
    <x v="3"/>
    <x v="0"/>
    <x v="2"/>
    <n v="0"/>
  </r>
  <r>
    <x v="27"/>
    <x v="3"/>
    <x v="0"/>
    <x v="3"/>
    <n v="448"/>
  </r>
  <r>
    <x v="27"/>
    <x v="3"/>
    <x v="0"/>
    <x v="4"/>
    <n v="0"/>
  </r>
  <r>
    <x v="27"/>
    <x v="3"/>
    <x v="0"/>
    <x v="5"/>
    <n v="1083"/>
  </r>
  <r>
    <x v="27"/>
    <x v="3"/>
    <x v="0"/>
    <x v="6"/>
    <n v="0"/>
  </r>
  <r>
    <x v="27"/>
    <x v="3"/>
    <x v="0"/>
    <x v="7"/>
    <n v="6"/>
  </r>
  <r>
    <x v="27"/>
    <x v="3"/>
    <x v="0"/>
    <x v="8"/>
    <n v="7"/>
  </r>
  <r>
    <x v="27"/>
    <x v="3"/>
    <x v="0"/>
    <x v="9"/>
    <n v="31660"/>
  </r>
  <r>
    <x v="27"/>
    <x v="3"/>
    <x v="0"/>
    <x v="10"/>
    <n v="0"/>
  </r>
  <r>
    <x v="27"/>
    <x v="3"/>
    <x v="0"/>
    <x v="11"/>
    <n v="9457"/>
  </r>
  <r>
    <x v="27"/>
    <x v="3"/>
    <x v="0"/>
    <x v="12"/>
    <n v="23246"/>
  </r>
  <r>
    <x v="27"/>
    <x v="3"/>
    <x v="0"/>
    <x v="13"/>
    <n v="125"/>
  </r>
  <r>
    <x v="28"/>
    <x v="3"/>
    <x v="0"/>
    <x v="0"/>
    <n v="0"/>
  </r>
  <r>
    <x v="28"/>
    <x v="3"/>
    <x v="0"/>
    <x v="1"/>
    <n v="8590"/>
  </r>
  <r>
    <x v="28"/>
    <x v="3"/>
    <x v="0"/>
    <x v="2"/>
    <n v="18161"/>
  </r>
  <r>
    <x v="28"/>
    <x v="3"/>
    <x v="0"/>
    <x v="3"/>
    <n v="2521"/>
  </r>
  <r>
    <x v="28"/>
    <x v="3"/>
    <x v="0"/>
    <x v="4"/>
    <n v="310"/>
  </r>
  <r>
    <x v="28"/>
    <x v="3"/>
    <x v="0"/>
    <x v="5"/>
    <n v="5652"/>
  </r>
  <r>
    <x v="28"/>
    <x v="3"/>
    <x v="0"/>
    <x v="6"/>
    <n v="0"/>
  </r>
  <r>
    <x v="28"/>
    <x v="3"/>
    <x v="0"/>
    <x v="7"/>
    <n v="285"/>
  </r>
  <r>
    <x v="28"/>
    <x v="3"/>
    <x v="0"/>
    <x v="8"/>
    <n v="1175"/>
  </r>
  <r>
    <x v="28"/>
    <x v="3"/>
    <x v="0"/>
    <x v="9"/>
    <n v="971"/>
  </r>
  <r>
    <x v="28"/>
    <x v="3"/>
    <x v="0"/>
    <x v="10"/>
    <n v="1398"/>
  </r>
  <r>
    <x v="28"/>
    <x v="3"/>
    <x v="0"/>
    <x v="11"/>
    <n v="11082"/>
  </r>
  <r>
    <x v="28"/>
    <x v="3"/>
    <x v="0"/>
    <x v="12"/>
    <n v="24392"/>
  </r>
  <r>
    <x v="28"/>
    <x v="3"/>
    <x v="0"/>
    <x v="13"/>
    <n v="326"/>
  </r>
  <r>
    <x v="29"/>
    <x v="3"/>
    <x v="0"/>
    <x v="0"/>
    <n v="0"/>
  </r>
  <r>
    <x v="29"/>
    <x v="3"/>
    <x v="0"/>
    <x v="1"/>
    <n v="0"/>
  </r>
  <r>
    <x v="29"/>
    <x v="3"/>
    <x v="0"/>
    <x v="2"/>
    <n v="1756"/>
  </r>
  <r>
    <x v="29"/>
    <x v="3"/>
    <x v="0"/>
    <x v="3"/>
    <n v="4607"/>
  </r>
  <r>
    <x v="29"/>
    <x v="3"/>
    <x v="0"/>
    <x v="4"/>
    <n v="40"/>
  </r>
  <r>
    <x v="29"/>
    <x v="3"/>
    <x v="0"/>
    <x v="5"/>
    <n v="5090"/>
  </r>
  <r>
    <x v="29"/>
    <x v="3"/>
    <x v="0"/>
    <x v="6"/>
    <n v="0"/>
  </r>
  <r>
    <x v="29"/>
    <x v="3"/>
    <x v="0"/>
    <x v="7"/>
    <n v="490"/>
  </r>
  <r>
    <x v="29"/>
    <x v="3"/>
    <x v="0"/>
    <x v="8"/>
    <n v="624"/>
  </r>
  <r>
    <x v="29"/>
    <x v="3"/>
    <x v="0"/>
    <x v="9"/>
    <n v="7193"/>
  </r>
  <r>
    <x v="29"/>
    <x v="3"/>
    <x v="0"/>
    <x v="10"/>
    <n v="0"/>
  </r>
  <r>
    <x v="29"/>
    <x v="3"/>
    <x v="0"/>
    <x v="11"/>
    <n v="3413"/>
  </r>
  <r>
    <x v="29"/>
    <x v="3"/>
    <x v="0"/>
    <x v="12"/>
    <n v="8734"/>
  </r>
  <r>
    <x v="29"/>
    <x v="3"/>
    <x v="0"/>
    <x v="13"/>
    <n v="0"/>
  </r>
  <r>
    <x v="30"/>
    <x v="3"/>
    <x v="0"/>
    <x v="0"/>
    <n v="1300"/>
  </r>
  <r>
    <x v="30"/>
    <x v="3"/>
    <x v="0"/>
    <x v="1"/>
    <n v="3312"/>
  </r>
  <r>
    <x v="30"/>
    <x v="3"/>
    <x v="0"/>
    <x v="2"/>
    <n v="1155"/>
  </r>
  <r>
    <x v="30"/>
    <x v="3"/>
    <x v="0"/>
    <x v="3"/>
    <n v="1829"/>
  </r>
  <r>
    <x v="30"/>
    <x v="3"/>
    <x v="0"/>
    <x v="4"/>
    <n v="1605"/>
  </r>
  <r>
    <x v="30"/>
    <x v="3"/>
    <x v="0"/>
    <x v="5"/>
    <n v="2975"/>
  </r>
  <r>
    <x v="30"/>
    <x v="3"/>
    <x v="0"/>
    <x v="6"/>
    <n v="0"/>
  </r>
  <r>
    <x v="30"/>
    <x v="3"/>
    <x v="0"/>
    <x v="7"/>
    <n v="1285"/>
  </r>
  <r>
    <x v="30"/>
    <x v="3"/>
    <x v="0"/>
    <x v="8"/>
    <n v="121"/>
  </r>
  <r>
    <x v="30"/>
    <x v="3"/>
    <x v="0"/>
    <x v="9"/>
    <n v="6375"/>
  </r>
  <r>
    <x v="30"/>
    <x v="3"/>
    <x v="0"/>
    <x v="10"/>
    <n v="0"/>
  </r>
  <r>
    <x v="30"/>
    <x v="3"/>
    <x v="0"/>
    <x v="11"/>
    <n v="4057"/>
  </r>
  <r>
    <x v="30"/>
    <x v="3"/>
    <x v="0"/>
    <x v="12"/>
    <n v="8940"/>
  </r>
  <r>
    <x v="30"/>
    <x v="3"/>
    <x v="0"/>
    <x v="13"/>
    <n v="0"/>
  </r>
  <r>
    <x v="31"/>
    <x v="3"/>
    <x v="0"/>
    <x v="0"/>
    <n v="0"/>
  </r>
  <r>
    <x v="31"/>
    <x v="3"/>
    <x v="0"/>
    <x v="1"/>
    <n v="5289"/>
  </r>
  <r>
    <x v="31"/>
    <x v="3"/>
    <x v="0"/>
    <x v="2"/>
    <n v="0"/>
  </r>
  <r>
    <x v="31"/>
    <x v="3"/>
    <x v="0"/>
    <x v="3"/>
    <n v="208"/>
  </r>
  <r>
    <x v="31"/>
    <x v="3"/>
    <x v="0"/>
    <x v="4"/>
    <n v="0"/>
  </r>
  <r>
    <x v="31"/>
    <x v="3"/>
    <x v="0"/>
    <x v="5"/>
    <n v="0"/>
  </r>
  <r>
    <x v="31"/>
    <x v="3"/>
    <x v="0"/>
    <x v="6"/>
    <n v="0"/>
  </r>
  <r>
    <x v="31"/>
    <x v="3"/>
    <x v="0"/>
    <x v="7"/>
    <n v="0"/>
  </r>
  <r>
    <x v="31"/>
    <x v="3"/>
    <x v="0"/>
    <x v="8"/>
    <n v="0"/>
  </r>
  <r>
    <x v="31"/>
    <x v="3"/>
    <x v="0"/>
    <x v="9"/>
    <n v="2383"/>
  </r>
  <r>
    <x v="31"/>
    <x v="3"/>
    <x v="0"/>
    <x v="10"/>
    <n v="614"/>
  </r>
  <r>
    <x v="31"/>
    <x v="3"/>
    <x v="0"/>
    <x v="11"/>
    <n v="2503"/>
  </r>
  <r>
    <x v="31"/>
    <x v="3"/>
    <x v="0"/>
    <x v="12"/>
    <n v="7429"/>
  </r>
  <r>
    <x v="31"/>
    <x v="3"/>
    <x v="0"/>
    <x v="13"/>
    <n v="0"/>
  </r>
  <r>
    <x v="32"/>
    <x v="3"/>
    <x v="0"/>
    <x v="0"/>
    <n v="8586"/>
  </r>
  <r>
    <x v="32"/>
    <x v="3"/>
    <x v="0"/>
    <x v="1"/>
    <n v="0"/>
  </r>
  <r>
    <x v="32"/>
    <x v="3"/>
    <x v="0"/>
    <x v="2"/>
    <n v="205"/>
  </r>
  <r>
    <x v="32"/>
    <x v="3"/>
    <x v="0"/>
    <x v="3"/>
    <n v="849"/>
  </r>
  <r>
    <x v="32"/>
    <x v="3"/>
    <x v="0"/>
    <x v="4"/>
    <n v="2815"/>
  </r>
  <r>
    <x v="32"/>
    <x v="3"/>
    <x v="0"/>
    <x v="5"/>
    <n v="6691"/>
  </r>
  <r>
    <x v="32"/>
    <x v="3"/>
    <x v="0"/>
    <x v="6"/>
    <n v="0"/>
  </r>
  <r>
    <x v="32"/>
    <x v="3"/>
    <x v="0"/>
    <x v="7"/>
    <n v="0"/>
  </r>
  <r>
    <x v="32"/>
    <x v="3"/>
    <x v="0"/>
    <x v="8"/>
    <n v="3145"/>
  </r>
  <r>
    <x v="32"/>
    <x v="3"/>
    <x v="0"/>
    <x v="9"/>
    <n v="16301"/>
  </r>
  <r>
    <x v="32"/>
    <x v="3"/>
    <x v="0"/>
    <x v="10"/>
    <n v="0"/>
  </r>
  <r>
    <x v="32"/>
    <x v="3"/>
    <x v="0"/>
    <x v="11"/>
    <n v="8905"/>
  </r>
  <r>
    <x v="32"/>
    <x v="3"/>
    <x v="0"/>
    <x v="12"/>
    <n v="26224"/>
  </r>
  <r>
    <x v="32"/>
    <x v="3"/>
    <x v="0"/>
    <x v="13"/>
    <n v="445"/>
  </r>
  <r>
    <x v="33"/>
    <x v="3"/>
    <x v="0"/>
    <x v="0"/>
    <n v="696"/>
  </r>
  <r>
    <x v="33"/>
    <x v="3"/>
    <x v="0"/>
    <x v="1"/>
    <n v="924"/>
  </r>
  <r>
    <x v="33"/>
    <x v="3"/>
    <x v="0"/>
    <x v="2"/>
    <n v="0"/>
  </r>
  <r>
    <x v="33"/>
    <x v="3"/>
    <x v="0"/>
    <x v="3"/>
    <n v="455"/>
  </r>
  <r>
    <x v="33"/>
    <x v="3"/>
    <x v="0"/>
    <x v="4"/>
    <n v="0"/>
  </r>
  <r>
    <x v="33"/>
    <x v="3"/>
    <x v="0"/>
    <x v="5"/>
    <n v="3"/>
  </r>
  <r>
    <x v="33"/>
    <x v="3"/>
    <x v="0"/>
    <x v="6"/>
    <n v="0"/>
  </r>
  <r>
    <x v="33"/>
    <x v="3"/>
    <x v="0"/>
    <x v="7"/>
    <n v="271"/>
  </r>
  <r>
    <x v="33"/>
    <x v="3"/>
    <x v="0"/>
    <x v="8"/>
    <n v="41"/>
  </r>
  <r>
    <x v="33"/>
    <x v="3"/>
    <x v="0"/>
    <x v="9"/>
    <n v="1117"/>
  </r>
  <r>
    <x v="33"/>
    <x v="3"/>
    <x v="0"/>
    <x v="10"/>
    <n v="180"/>
  </r>
  <r>
    <x v="33"/>
    <x v="3"/>
    <x v="0"/>
    <x v="11"/>
    <n v="937"/>
  </r>
  <r>
    <x v="33"/>
    <x v="3"/>
    <x v="0"/>
    <x v="12"/>
    <n v="2270"/>
  </r>
  <r>
    <x v="33"/>
    <x v="3"/>
    <x v="0"/>
    <x v="13"/>
    <n v="129"/>
  </r>
  <r>
    <x v="34"/>
    <x v="3"/>
    <x v="0"/>
    <x v="0"/>
    <n v="1940"/>
  </r>
  <r>
    <x v="34"/>
    <x v="3"/>
    <x v="0"/>
    <x v="1"/>
    <n v="333"/>
  </r>
  <r>
    <x v="34"/>
    <x v="3"/>
    <x v="0"/>
    <x v="2"/>
    <n v="221"/>
  </r>
  <r>
    <x v="34"/>
    <x v="3"/>
    <x v="0"/>
    <x v="3"/>
    <n v="1106"/>
  </r>
  <r>
    <x v="34"/>
    <x v="3"/>
    <x v="0"/>
    <x v="4"/>
    <n v="688"/>
  </r>
  <r>
    <x v="34"/>
    <x v="3"/>
    <x v="0"/>
    <x v="5"/>
    <n v="3"/>
  </r>
  <r>
    <x v="34"/>
    <x v="3"/>
    <x v="0"/>
    <x v="6"/>
    <n v="0"/>
  </r>
  <r>
    <x v="34"/>
    <x v="3"/>
    <x v="0"/>
    <x v="7"/>
    <n v="530"/>
  </r>
  <r>
    <x v="34"/>
    <x v="3"/>
    <x v="0"/>
    <x v="8"/>
    <n v="330"/>
  </r>
  <r>
    <x v="34"/>
    <x v="3"/>
    <x v="0"/>
    <x v="9"/>
    <n v="1805"/>
  </r>
  <r>
    <x v="34"/>
    <x v="3"/>
    <x v="0"/>
    <x v="10"/>
    <n v="734"/>
  </r>
  <r>
    <x v="34"/>
    <x v="3"/>
    <x v="0"/>
    <x v="11"/>
    <n v="2320"/>
  </r>
  <r>
    <x v="34"/>
    <x v="3"/>
    <x v="0"/>
    <x v="12"/>
    <n v="4541"/>
  </r>
  <r>
    <x v="34"/>
    <x v="3"/>
    <x v="0"/>
    <x v="13"/>
    <n v="31"/>
  </r>
  <r>
    <x v="36"/>
    <x v="3"/>
    <x v="0"/>
    <x v="0"/>
    <n v="0"/>
  </r>
  <r>
    <x v="36"/>
    <x v="3"/>
    <x v="0"/>
    <x v="1"/>
    <n v="9773"/>
  </r>
  <r>
    <x v="36"/>
    <x v="3"/>
    <x v="0"/>
    <x v="2"/>
    <n v="9576"/>
  </r>
  <r>
    <x v="36"/>
    <x v="3"/>
    <x v="0"/>
    <x v="3"/>
    <n v="26637"/>
  </r>
  <r>
    <x v="36"/>
    <x v="3"/>
    <x v="0"/>
    <x v="4"/>
    <n v="306"/>
  </r>
  <r>
    <x v="36"/>
    <x v="3"/>
    <x v="0"/>
    <x v="5"/>
    <n v="6516"/>
  </r>
  <r>
    <x v="36"/>
    <x v="3"/>
    <x v="0"/>
    <x v="6"/>
    <n v="0"/>
  </r>
  <r>
    <x v="36"/>
    <x v="3"/>
    <x v="0"/>
    <x v="7"/>
    <n v="3421"/>
  </r>
  <r>
    <x v="36"/>
    <x v="3"/>
    <x v="0"/>
    <x v="8"/>
    <n v="634"/>
  </r>
  <r>
    <x v="36"/>
    <x v="3"/>
    <x v="0"/>
    <x v="9"/>
    <n v="27273"/>
  </r>
  <r>
    <x v="36"/>
    <x v="3"/>
    <x v="0"/>
    <x v="10"/>
    <n v="0"/>
  </r>
  <r>
    <x v="36"/>
    <x v="3"/>
    <x v="0"/>
    <x v="11"/>
    <n v="18851"/>
  </r>
  <r>
    <x v="36"/>
    <x v="3"/>
    <x v="0"/>
    <x v="12"/>
    <n v="47062"/>
  </r>
  <r>
    <x v="36"/>
    <x v="3"/>
    <x v="0"/>
    <x v="13"/>
    <n v="1064"/>
  </r>
  <r>
    <x v="35"/>
    <x v="3"/>
    <x v="0"/>
    <x v="0"/>
    <n v="121973"/>
  </r>
  <r>
    <x v="35"/>
    <x v="3"/>
    <x v="0"/>
    <x v="1"/>
    <n v="70471"/>
  </r>
  <r>
    <x v="35"/>
    <x v="3"/>
    <x v="0"/>
    <x v="2"/>
    <n v="104370"/>
  </r>
  <r>
    <x v="35"/>
    <x v="3"/>
    <x v="0"/>
    <x v="3"/>
    <n v="242496"/>
  </r>
  <r>
    <x v="35"/>
    <x v="3"/>
    <x v="0"/>
    <x v="4"/>
    <n v="47302"/>
  </r>
  <r>
    <x v="35"/>
    <x v="3"/>
    <x v="0"/>
    <x v="5"/>
    <n v="159874"/>
  </r>
  <r>
    <x v="35"/>
    <x v="3"/>
    <x v="0"/>
    <x v="6"/>
    <n v="13870"/>
  </r>
  <r>
    <x v="35"/>
    <x v="3"/>
    <x v="0"/>
    <x v="7"/>
    <n v="108403"/>
  </r>
  <r>
    <x v="35"/>
    <x v="3"/>
    <x v="0"/>
    <x v="8"/>
    <n v="27148"/>
  </r>
  <r>
    <x v="35"/>
    <x v="3"/>
    <x v="0"/>
    <x v="9"/>
    <n v="212443"/>
  </r>
  <r>
    <x v="35"/>
    <x v="3"/>
    <x v="0"/>
    <x v="10"/>
    <n v="24349"/>
  </r>
  <r>
    <x v="35"/>
    <x v="3"/>
    <x v="0"/>
    <x v="11"/>
    <n v="265419"/>
  </r>
  <r>
    <x v="35"/>
    <x v="3"/>
    <x v="0"/>
    <x v="12"/>
    <n v="581276"/>
  </r>
  <r>
    <x v="35"/>
    <x v="3"/>
    <x v="0"/>
    <x v="13"/>
    <n v="19315"/>
  </r>
  <r>
    <x v="37"/>
    <x v="3"/>
    <x v="0"/>
    <x v="0"/>
    <n v="118640"/>
  </r>
  <r>
    <x v="37"/>
    <x v="3"/>
    <x v="0"/>
    <x v="1"/>
    <n v="52583"/>
  </r>
  <r>
    <x v="37"/>
    <x v="3"/>
    <x v="0"/>
    <x v="2"/>
    <n v="94794"/>
  </r>
  <r>
    <x v="37"/>
    <x v="3"/>
    <x v="0"/>
    <x v="3"/>
    <n v="214953"/>
  </r>
  <r>
    <x v="37"/>
    <x v="3"/>
    <x v="0"/>
    <x v="4"/>
    <n v="46700"/>
  </r>
  <r>
    <x v="37"/>
    <x v="3"/>
    <x v="0"/>
    <x v="5"/>
    <n v="152104"/>
  </r>
  <r>
    <x v="37"/>
    <x v="3"/>
    <x v="0"/>
    <x v="6"/>
    <n v="13870"/>
  </r>
  <r>
    <x v="37"/>
    <x v="3"/>
    <x v="0"/>
    <x v="7"/>
    <n v="103566"/>
  </r>
  <r>
    <x v="37"/>
    <x v="3"/>
    <x v="0"/>
    <x v="8"/>
    <n v="26256"/>
  </r>
  <r>
    <x v="37"/>
    <x v="3"/>
    <x v="0"/>
    <x v="9"/>
    <n v="132827"/>
  </r>
  <r>
    <x v="37"/>
    <x v="3"/>
    <x v="0"/>
    <x v="10"/>
    <n v="22635"/>
  </r>
  <r>
    <x v="37"/>
    <x v="3"/>
    <x v="0"/>
    <x v="11"/>
    <n v="0"/>
  </r>
  <r>
    <x v="37"/>
    <x v="3"/>
    <x v="0"/>
    <x v="12"/>
    <n v="0"/>
  </r>
  <r>
    <x v="37"/>
    <x v="3"/>
    <x v="0"/>
    <x v="13"/>
    <n v="16999"/>
  </r>
  <r>
    <x v="38"/>
    <x v="4"/>
    <x v="0"/>
    <x v="0"/>
    <n v="0"/>
  </r>
  <r>
    <x v="38"/>
    <x v="4"/>
    <x v="0"/>
    <x v="1"/>
    <n v="0"/>
  </r>
  <r>
    <x v="38"/>
    <x v="4"/>
    <x v="0"/>
    <x v="2"/>
    <n v="0"/>
  </r>
  <r>
    <x v="38"/>
    <x v="4"/>
    <x v="0"/>
    <x v="3"/>
    <n v="0"/>
  </r>
  <r>
    <x v="38"/>
    <x v="4"/>
    <x v="0"/>
    <x v="4"/>
    <n v="97"/>
  </r>
  <r>
    <x v="38"/>
    <x v="4"/>
    <x v="0"/>
    <x v="5"/>
    <n v="0"/>
  </r>
  <r>
    <x v="38"/>
    <x v="4"/>
    <x v="0"/>
    <x v="6"/>
    <n v="0"/>
  </r>
  <r>
    <x v="38"/>
    <x v="4"/>
    <x v="0"/>
    <x v="7"/>
    <n v="0"/>
  </r>
  <r>
    <x v="38"/>
    <x v="4"/>
    <x v="0"/>
    <x v="8"/>
    <n v="0"/>
  </r>
  <r>
    <x v="38"/>
    <x v="4"/>
    <x v="0"/>
    <x v="9"/>
    <n v="1835"/>
  </r>
  <r>
    <x v="38"/>
    <x v="4"/>
    <x v="0"/>
    <x v="10"/>
    <n v="0"/>
  </r>
  <r>
    <x v="38"/>
    <x v="4"/>
    <x v="0"/>
    <x v="11"/>
    <n v="434"/>
  </r>
  <r>
    <x v="38"/>
    <x v="4"/>
    <x v="0"/>
    <x v="12"/>
    <n v="1480"/>
  </r>
  <r>
    <x v="38"/>
    <x v="4"/>
    <x v="0"/>
    <x v="13"/>
    <n v="0"/>
  </r>
  <r>
    <x v="0"/>
    <x v="4"/>
    <x v="0"/>
    <x v="0"/>
    <n v="0"/>
  </r>
  <r>
    <x v="0"/>
    <x v="4"/>
    <x v="0"/>
    <x v="1"/>
    <n v="0"/>
  </r>
  <r>
    <x v="0"/>
    <x v="4"/>
    <x v="0"/>
    <x v="2"/>
    <n v="598"/>
  </r>
  <r>
    <x v="0"/>
    <x v="4"/>
    <x v="0"/>
    <x v="3"/>
    <n v="4853"/>
  </r>
  <r>
    <x v="0"/>
    <x v="4"/>
    <x v="0"/>
    <x v="4"/>
    <n v="1018"/>
  </r>
  <r>
    <x v="0"/>
    <x v="4"/>
    <x v="0"/>
    <x v="5"/>
    <n v="2887"/>
  </r>
  <r>
    <x v="0"/>
    <x v="4"/>
    <x v="0"/>
    <x v="6"/>
    <n v="0"/>
  </r>
  <r>
    <x v="0"/>
    <x v="4"/>
    <x v="0"/>
    <x v="7"/>
    <n v="1193"/>
  </r>
  <r>
    <x v="0"/>
    <x v="4"/>
    <x v="0"/>
    <x v="8"/>
    <n v="586"/>
  </r>
  <r>
    <x v="0"/>
    <x v="4"/>
    <x v="0"/>
    <x v="9"/>
    <n v="14150"/>
  </r>
  <r>
    <x v="0"/>
    <x v="4"/>
    <x v="0"/>
    <x v="10"/>
    <n v="0"/>
  </r>
  <r>
    <x v="0"/>
    <x v="4"/>
    <x v="0"/>
    <x v="11"/>
    <n v="4844"/>
  </r>
  <r>
    <x v="0"/>
    <x v="4"/>
    <x v="0"/>
    <x v="12"/>
    <n v="12073"/>
  </r>
  <r>
    <x v="0"/>
    <x v="4"/>
    <x v="0"/>
    <x v="13"/>
    <n v="128"/>
  </r>
  <r>
    <x v="1"/>
    <x v="4"/>
    <x v="0"/>
    <x v="0"/>
    <n v="0"/>
  </r>
  <r>
    <x v="1"/>
    <x v="4"/>
    <x v="0"/>
    <x v="1"/>
    <n v="1888"/>
  </r>
  <r>
    <x v="1"/>
    <x v="4"/>
    <x v="0"/>
    <x v="2"/>
    <n v="0"/>
  </r>
  <r>
    <x v="1"/>
    <x v="4"/>
    <x v="0"/>
    <x v="3"/>
    <n v="0"/>
  </r>
  <r>
    <x v="1"/>
    <x v="4"/>
    <x v="0"/>
    <x v="4"/>
    <n v="0"/>
  </r>
  <r>
    <x v="1"/>
    <x v="4"/>
    <x v="0"/>
    <x v="5"/>
    <n v="51"/>
  </r>
  <r>
    <x v="1"/>
    <x v="4"/>
    <x v="0"/>
    <x v="6"/>
    <n v="0"/>
  </r>
  <r>
    <x v="1"/>
    <x v="4"/>
    <x v="0"/>
    <x v="7"/>
    <n v="0"/>
  </r>
  <r>
    <x v="1"/>
    <x v="4"/>
    <x v="0"/>
    <x v="8"/>
    <n v="0"/>
  </r>
  <r>
    <x v="1"/>
    <x v="4"/>
    <x v="0"/>
    <x v="9"/>
    <n v="2000"/>
  </r>
  <r>
    <x v="1"/>
    <x v="4"/>
    <x v="0"/>
    <x v="10"/>
    <n v="105"/>
  </r>
  <r>
    <x v="1"/>
    <x v="4"/>
    <x v="0"/>
    <x v="11"/>
    <n v="828"/>
  </r>
  <r>
    <x v="1"/>
    <x v="4"/>
    <x v="0"/>
    <x v="12"/>
    <n v="2080"/>
  </r>
  <r>
    <x v="1"/>
    <x v="4"/>
    <x v="0"/>
    <x v="13"/>
    <n v="0"/>
  </r>
  <r>
    <x v="2"/>
    <x v="4"/>
    <x v="0"/>
    <x v="0"/>
    <n v="5919"/>
  </r>
  <r>
    <x v="2"/>
    <x v="4"/>
    <x v="0"/>
    <x v="1"/>
    <n v="0"/>
  </r>
  <r>
    <x v="2"/>
    <x v="4"/>
    <x v="0"/>
    <x v="2"/>
    <n v="0"/>
  </r>
  <r>
    <x v="2"/>
    <x v="4"/>
    <x v="0"/>
    <x v="3"/>
    <n v="6974"/>
  </r>
  <r>
    <x v="2"/>
    <x v="4"/>
    <x v="0"/>
    <x v="4"/>
    <n v="404"/>
  </r>
  <r>
    <x v="2"/>
    <x v="4"/>
    <x v="0"/>
    <x v="5"/>
    <n v="2068"/>
  </r>
  <r>
    <x v="2"/>
    <x v="4"/>
    <x v="0"/>
    <x v="6"/>
    <n v="1179"/>
  </r>
  <r>
    <x v="2"/>
    <x v="4"/>
    <x v="0"/>
    <x v="7"/>
    <n v="3581"/>
  </r>
  <r>
    <x v="2"/>
    <x v="4"/>
    <x v="0"/>
    <x v="8"/>
    <n v="811"/>
  </r>
  <r>
    <x v="2"/>
    <x v="4"/>
    <x v="0"/>
    <x v="9"/>
    <n v="125"/>
  </r>
  <r>
    <x v="2"/>
    <x v="4"/>
    <x v="0"/>
    <x v="10"/>
    <n v="1308"/>
  </r>
  <r>
    <x v="2"/>
    <x v="4"/>
    <x v="0"/>
    <x v="11"/>
    <n v="6067"/>
  </r>
  <r>
    <x v="2"/>
    <x v="4"/>
    <x v="0"/>
    <x v="12"/>
    <n v="13453"/>
  </r>
  <r>
    <x v="2"/>
    <x v="4"/>
    <x v="0"/>
    <x v="13"/>
    <n v="302"/>
  </r>
  <r>
    <x v="3"/>
    <x v="4"/>
    <x v="0"/>
    <x v="0"/>
    <n v="1950"/>
  </r>
  <r>
    <x v="3"/>
    <x v="4"/>
    <x v="0"/>
    <x v="1"/>
    <n v="3558"/>
  </r>
  <r>
    <x v="3"/>
    <x v="4"/>
    <x v="0"/>
    <x v="2"/>
    <n v="175"/>
  </r>
  <r>
    <x v="3"/>
    <x v="4"/>
    <x v="0"/>
    <x v="3"/>
    <n v="755"/>
  </r>
  <r>
    <x v="3"/>
    <x v="4"/>
    <x v="0"/>
    <x v="4"/>
    <n v="0"/>
  </r>
  <r>
    <x v="3"/>
    <x v="4"/>
    <x v="0"/>
    <x v="5"/>
    <n v="700"/>
  </r>
  <r>
    <x v="3"/>
    <x v="4"/>
    <x v="0"/>
    <x v="6"/>
    <n v="0"/>
  </r>
  <r>
    <x v="3"/>
    <x v="4"/>
    <x v="0"/>
    <x v="7"/>
    <n v="1052"/>
  </r>
  <r>
    <x v="3"/>
    <x v="4"/>
    <x v="0"/>
    <x v="8"/>
    <n v="77"/>
  </r>
  <r>
    <x v="3"/>
    <x v="4"/>
    <x v="0"/>
    <x v="9"/>
    <n v="2191"/>
  </r>
  <r>
    <x v="3"/>
    <x v="4"/>
    <x v="0"/>
    <x v="10"/>
    <n v="997"/>
  </r>
  <r>
    <x v="3"/>
    <x v="4"/>
    <x v="0"/>
    <x v="11"/>
    <n v="2361"/>
  </r>
  <r>
    <x v="3"/>
    <x v="4"/>
    <x v="0"/>
    <x v="12"/>
    <n v="6469"/>
  </r>
  <r>
    <x v="3"/>
    <x v="4"/>
    <x v="0"/>
    <x v="13"/>
    <n v="0"/>
  </r>
  <r>
    <x v="4"/>
    <x v="4"/>
    <x v="0"/>
    <x v="0"/>
    <n v="3333"/>
  </r>
  <r>
    <x v="4"/>
    <x v="4"/>
    <x v="0"/>
    <x v="1"/>
    <n v="0"/>
  </r>
  <r>
    <x v="4"/>
    <x v="4"/>
    <x v="0"/>
    <x v="2"/>
    <n v="0"/>
  </r>
  <r>
    <x v="4"/>
    <x v="4"/>
    <x v="0"/>
    <x v="3"/>
    <n v="0"/>
  </r>
  <r>
    <x v="4"/>
    <x v="4"/>
    <x v="0"/>
    <x v="4"/>
    <n v="0"/>
  </r>
  <r>
    <x v="4"/>
    <x v="4"/>
    <x v="0"/>
    <x v="5"/>
    <n v="75"/>
  </r>
  <r>
    <x v="4"/>
    <x v="4"/>
    <x v="0"/>
    <x v="6"/>
    <n v="0"/>
  </r>
  <r>
    <x v="4"/>
    <x v="4"/>
    <x v="0"/>
    <x v="7"/>
    <n v="1664"/>
  </r>
  <r>
    <x v="4"/>
    <x v="4"/>
    <x v="0"/>
    <x v="8"/>
    <n v="196"/>
  </r>
  <r>
    <x v="4"/>
    <x v="4"/>
    <x v="0"/>
    <x v="9"/>
    <n v="12205"/>
  </r>
  <r>
    <x v="4"/>
    <x v="4"/>
    <x v="0"/>
    <x v="10"/>
    <n v="0"/>
  </r>
  <r>
    <x v="4"/>
    <x v="4"/>
    <x v="0"/>
    <x v="11"/>
    <n v="4476"/>
  </r>
  <r>
    <x v="4"/>
    <x v="4"/>
    <x v="0"/>
    <x v="12"/>
    <n v="9762"/>
  </r>
  <r>
    <x v="4"/>
    <x v="4"/>
    <x v="0"/>
    <x v="13"/>
    <n v="422"/>
  </r>
  <r>
    <x v="5"/>
    <x v="4"/>
    <x v="0"/>
    <x v="0"/>
    <n v="0"/>
  </r>
  <r>
    <x v="5"/>
    <x v="4"/>
    <x v="0"/>
    <x v="1"/>
    <n v="0"/>
  </r>
  <r>
    <x v="5"/>
    <x v="4"/>
    <x v="0"/>
    <x v="2"/>
    <n v="0"/>
  </r>
  <r>
    <x v="5"/>
    <x v="4"/>
    <x v="0"/>
    <x v="3"/>
    <n v="0"/>
  </r>
  <r>
    <x v="5"/>
    <x v="4"/>
    <x v="0"/>
    <x v="4"/>
    <n v="1478"/>
  </r>
  <r>
    <x v="5"/>
    <x v="4"/>
    <x v="0"/>
    <x v="5"/>
    <n v="155"/>
  </r>
  <r>
    <x v="5"/>
    <x v="4"/>
    <x v="0"/>
    <x v="6"/>
    <n v="0"/>
  </r>
  <r>
    <x v="5"/>
    <x v="4"/>
    <x v="0"/>
    <x v="7"/>
    <n v="0"/>
  </r>
  <r>
    <x v="5"/>
    <x v="4"/>
    <x v="0"/>
    <x v="8"/>
    <n v="0"/>
  </r>
  <r>
    <x v="5"/>
    <x v="4"/>
    <x v="0"/>
    <x v="9"/>
    <n v="0"/>
  </r>
  <r>
    <x v="5"/>
    <x v="4"/>
    <x v="0"/>
    <x v="10"/>
    <n v="0"/>
  </r>
  <r>
    <x v="5"/>
    <x v="4"/>
    <x v="0"/>
    <x v="11"/>
    <n v="308"/>
  </r>
  <r>
    <x v="5"/>
    <x v="4"/>
    <x v="0"/>
    <x v="12"/>
    <n v="958"/>
  </r>
  <r>
    <x v="5"/>
    <x v="4"/>
    <x v="0"/>
    <x v="13"/>
    <n v="135"/>
  </r>
  <r>
    <x v="6"/>
    <x v="4"/>
    <x v="0"/>
    <x v="0"/>
    <n v="4040"/>
  </r>
  <r>
    <x v="6"/>
    <x v="4"/>
    <x v="0"/>
    <x v="1"/>
    <n v="8450"/>
  </r>
  <r>
    <x v="6"/>
    <x v="4"/>
    <x v="0"/>
    <x v="2"/>
    <n v="1200"/>
  </r>
  <r>
    <x v="6"/>
    <x v="4"/>
    <x v="0"/>
    <x v="3"/>
    <n v="1606"/>
  </r>
  <r>
    <x v="6"/>
    <x v="4"/>
    <x v="0"/>
    <x v="4"/>
    <n v="0"/>
  </r>
  <r>
    <x v="6"/>
    <x v="4"/>
    <x v="0"/>
    <x v="5"/>
    <n v="316"/>
  </r>
  <r>
    <x v="6"/>
    <x v="4"/>
    <x v="0"/>
    <x v="6"/>
    <n v="0"/>
  </r>
  <r>
    <x v="6"/>
    <x v="4"/>
    <x v="0"/>
    <x v="7"/>
    <n v="2049"/>
  </r>
  <r>
    <x v="6"/>
    <x v="4"/>
    <x v="0"/>
    <x v="8"/>
    <n v="800"/>
  </r>
  <r>
    <x v="6"/>
    <x v="4"/>
    <x v="0"/>
    <x v="9"/>
    <n v="1087"/>
  </r>
  <r>
    <x v="6"/>
    <x v="4"/>
    <x v="0"/>
    <x v="10"/>
    <n v="1172"/>
  </r>
  <r>
    <x v="6"/>
    <x v="4"/>
    <x v="0"/>
    <x v="11"/>
    <n v="4618"/>
  </r>
  <r>
    <x v="6"/>
    <x v="4"/>
    <x v="0"/>
    <x v="12"/>
    <n v="11142"/>
  </r>
  <r>
    <x v="6"/>
    <x v="4"/>
    <x v="0"/>
    <x v="13"/>
    <n v="100"/>
  </r>
  <r>
    <x v="7"/>
    <x v="4"/>
    <x v="0"/>
    <x v="0"/>
    <n v="9516"/>
  </r>
  <r>
    <x v="7"/>
    <x v="4"/>
    <x v="0"/>
    <x v="1"/>
    <n v="21110"/>
  </r>
  <r>
    <x v="7"/>
    <x v="4"/>
    <x v="0"/>
    <x v="2"/>
    <n v="24645"/>
  </r>
  <r>
    <x v="7"/>
    <x v="4"/>
    <x v="0"/>
    <x v="3"/>
    <n v="31614"/>
  </r>
  <r>
    <x v="7"/>
    <x v="4"/>
    <x v="0"/>
    <x v="4"/>
    <n v="5801"/>
  </r>
  <r>
    <x v="7"/>
    <x v="4"/>
    <x v="0"/>
    <x v="5"/>
    <n v="51844"/>
  </r>
  <r>
    <x v="7"/>
    <x v="4"/>
    <x v="0"/>
    <x v="6"/>
    <n v="6385"/>
  </r>
  <r>
    <x v="7"/>
    <x v="4"/>
    <x v="0"/>
    <x v="7"/>
    <n v="43922"/>
  </r>
  <r>
    <x v="7"/>
    <x v="4"/>
    <x v="0"/>
    <x v="8"/>
    <n v="7570"/>
  </r>
  <r>
    <x v="7"/>
    <x v="4"/>
    <x v="0"/>
    <x v="9"/>
    <n v="3986"/>
  </r>
  <r>
    <x v="7"/>
    <x v="4"/>
    <x v="0"/>
    <x v="10"/>
    <n v="6356"/>
  </r>
  <r>
    <x v="7"/>
    <x v="4"/>
    <x v="0"/>
    <x v="11"/>
    <n v="35718"/>
  </r>
  <r>
    <x v="7"/>
    <x v="4"/>
    <x v="0"/>
    <x v="12"/>
    <n v="79074"/>
  </r>
  <r>
    <x v="7"/>
    <x v="4"/>
    <x v="0"/>
    <x v="13"/>
    <n v="2298"/>
  </r>
  <r>
    <x v="8"/>
    <x v="4"/>
    <x v="0"/>
    <x v="0"/>
    <n v="0"/>
  </r>
  <r>
    <x v="8"/>
    <x v="4"/>
    <x v="0"/>
    <x v="1"/>
    <n v="0"/>
  </r>
  <r>
    <x v="8"/>
    <x v="4"/>
    <x v="0"/>
    <x v="2"/>
    <n v="3656"/>
  </r>
  <r>
    <x v="8"/>
    <x v="4"/>
    <x v="0"/>
    <x v="3"/>
    <n v="1829"/>
  </r>
  <r>
    <x v="8"/>
    <x v="4"/>
    <x v="0"/>
    <x v="4"/>
    <n v="1051"/>
  </r>
  <r>
    <x v="8"/>
    <x v="4"/>
    <x v="0"/>
    <x v="5"/>
    <n v="4423"/>
  </r>
  <r>
    <x v="8"/>
    <x v="4"/>
    <x v="0"/>
    <x v="6"/>
    <n v="1701"/>
  </r>
  <r>
    <x v="8"/>
    <x v="4"/>
    <x v="0"/>
    <x v="7"/>
    <n v="1000"/>
  </r>
  <r>
    <x v="8"/>
    <x v="4"/>
    <x v="0"/>
    <x v="8"/>
    <n v="2066"/>
  </r>
  <r>
    <x v="8"/>
    <x v="4"/>
    <x v="0"/>
    <x v="9"/>
    <n v="7"/>
  </r>
  <r>
    <x v="8"/>
    <x v="4"/>
    <x v="0"/>
    <x v="10"/>
    <n v="0"/>
  </r>
  <r>
    <x v="8"/>
    <x v="4"/>
    <x v="0"/>
    <x v="11"/>
    <n v="2294"/>
  </r>
  <r>
    <x v="8"/>
    <x v="4"/>
    <x v="0"/>
    <x v="12"/>
    <n v="6076"/>
  </r>
  <r>
    <x v="8"/>
    <x v="4"/>
    <x v="0"/>
    <x v="13"/>
    <n v="323"/>
  </r>
  <r>
    <x v="9"/>
    <x v="4"/>
    <x v="0"/>
    <x v="0"/>
    <n v="0"/>
  </r>
  <r>
    <x v="9"/>
    <x v="4"/>
    <x v="0"/>
    <x v="1"/>
    <n v="0"/>
  </r>
  <r>
    <x v="9"/>
    <x v="4"/>
    <x v="0"/>
    <x v="2"/>
    <n v="0"/>
  </r>
  <r>
    <x v="9"/>
    <x v="4"/>
    <x v="0"/>
    <x v="3"/>
    <n v="200"/>
  </r>
  <r>
    <x v="9"/>
    <x v="4"/>
    <x v="0"/>
    <x v="4"/>
    <n v="2152"/>
  </r>
  <r>
    <x v="9"/>
    <x v="4"/>
    <x v="0"/>
    <x v="5"/>
    <n v="341"/>
  </r>
  <r>
    <x v="9"/>
    <x v="4"/>
    <x v="0"/>
    <x v="6"/>
    <n v="0"/>
  </r>
  <r>
    <x v="9"/>
    <x v="4"/>
    <x v="0"/>
    <x v="7"/>
    <n v="9"/>
  </r>
  <r>
    <x v="9"/>
    <x v="4"/>
    <x v="0"/>
    <x v="8"/>
    <n v="92"/>
  </r>
  <r>
    <x v="9"/>
    <x v="4"/>
    <x v="0"/>
    <x v="9"/>
    <n v="9"/>
  </r>
  <r>
    <x v="9"/>
    <x v="4"/>
    <x v="0"/>
    <x v="10"/>
    <n v="0"/>
  </r>
  <r>
    <x v="9"/>
    <x v="4"/>
    <x v="0"/>
    <x v="11"/>
    <n v="452"/>
  </r>
  <r>
    <x v="9"/>
    <x v="4"/>
    <x v="0"/>
    <x v="12"/>
    <n v="1532"/>
  </r>
  <r>
    <x v="9"/>
    <x v="4"/>
    <x v="0"/>
    <x v="13"/>
    <n v="30"/>
  </r>
  <r>
    <x v="10"/>
    <x v="4"/>
    <x v="0"/>
    <x v="0"/>
    <n v="7117"/>
  </r>
  <r>
    <x v="10"/>
    <x v="4"/>
    <x v="0"/>
    <x v="1"/>
    <n v="1056"/>
  </r>
  <r>
    <x v="10"/>
    <x v="4"/>
    <x v="0"/>
    <x v="2"/>
    <n v="8975"/>
  </r>
  <r>
    <x v="10"/>
    <x v="4"/>
    <x v="0"/>
    <x v="3"/>
    <n v="31184"/>
  </r>
  <r>
    <x v="10"/>
    <x v="4"/>
    <x v="0"/>
    <x v="4"/>
    <n v="3235"/>
  </r>
  <r>
    <x v="10"/>
    <x v="4"/>
    <x v="0"/>
    <x v="5"/>
    <n v="23507"/>
  </r>
  <r>
    <x v="10"/>
    <x v="4"/>
    <x v="0"/>
    <x v="6"/>
    <n v="0"/>
  </r>
  <r>
    <x v="10"/>
    <x v="4"/>
    <x v="0"/>
    <x v="7"/>
    <n v="4714"/>
  </r>
  <r>
    <x v="10"/>
    <x v="4"/>
    <x v="0"/>
    <x v="8"/>
    <n v="860"/>
  </r>
  <r>
    <x v="10"/>
    <x v="4"/>
    <x v="0"/>
    <x v="9"/>
    <n v="17049"/>
  </r>
  <r>
    <x v="10"/>
    <x v="4"/>
    <x v="0"/>
    <x v="10"/>
    <n v="3329"/>
  </r>
  <r>
    <x v="10"/>
    <x v="4"/>
    <x v="0"/>
    <x v="11"/>
    <n v="18031"/>
  </r>
  <r>
    <x v="10"/>
    <x v="4"/>
    <x v="0"/>
    <x v="12"/>
    <n v="40611"/>
  </r>
  <r>
    <x v="10"/>
    <x v="4"/>
    <x v="0"/>
    <x v="13"/>
    <n v="3068"/>
  </r>
  <r>
    <x v="11"/>
    <x v="4"/>
    <x v="0"/>
    <x v="0"/>
    <n v="2785"/>
  </r>
  <r>
    <x v="11"/>
    <x v="4"/>
    <x v="0"/>
    <x v="1"/>
    <n v="0"/>
  </r>
  <r>
    <x v="11"/>
    <x v="4"/>
    <x v="0"/>
    <x v="2"/>
    <n v="2278"/>
  </r>
  <r>
    <x v="11"/>
    <x v="4"/>
    <x v="0"/>
    <x v="3"/>
    <n v="1912"/>
  </r>
  <r>
    <x v="11"/>
    <x v="4"/>
    <x v="0"/>
    <x v="4"/>
    <n v="2569"/>
  </r>
  <r>
    <x v="11"/>
    <x v="4"/>
    <x v="0"/>
    <x v="5"/>
    <n v="2013"/>
  </r>
  <r>
    <x v="11"/>
    <x v="4"/>
    <x v="0"/>
    <x v="6"/>
    <n v="0"/>
  </r>
  <r>
    <x v="11"/>
    <x v="4"/>
    <x v="0"/>
    <x v="7"/>
    <n v="113"/>
  </r>
  <r>
    <x v="11"/>
    <x v="4"/>
    <x v="0"/>
    <x v="8"/>
    <n v="1804"/>
  </r>
  <r>
    <x v="11"/>
    <x v="4"/>
    <x v="0"/>
    <x v="9"/>
    <n v="3148"/>
  </r>
  <r>
    <x v="11"/>
    <x v="4"/>
    <x v="0"/>
    <x v="10"/>
    <n v="0"/>
  </r>
  <r>
    <x v="11"/>
    <x v="4"/>
    <x v="0"/>
    <x v="11"/>
    <n v="6581"/>
  </r>
  <r>
    <x v="11"/>
    <x v="4"/>
    <x v="0"/>
    <x v="12"/>
    <n v="14155"/>
  </r>
  <r>
    <x v="11"/>
    <x v="4"/>
    <x v="0"/>
    <x v="13"/>
    <n v="749"/>
  </r>
  <r>
    <x v="12"/>
    <x v="4"/>
    <x v="0"/>
    <x v="0"/>
    <n v="63130"/>
  </r>
  <r>
    <x v="12"/>
    <x v="4"/>
    <x v="0"/>
    <x v="1"/>
    <n v="0"/>
  </r>
  <r>
    <x v="12"/>
    <x v="4"/>
    <x v="0"/>
    <x v="2"/>
    <n v="2997"/>
  </r>
  <r>
    <x v="12"/>
    <x v="4"/>
    <x v="0"/>
    <x v="3"/>
    <n v="12151"/>
  </r>
  <r>
    <x v="12"/>
    <x v="4"/>
    <x v="0"/>
    <x v="4"/>
    <n v="3441"/>
  </r>
  <r>
    <x v="12"/>
    <x v="4"/>
    <x v="0"/>
    <x v="5"/>
    <n v="15084"/>
  </r>
  <r>
    <x v="12"/>
    <x v="4"/>
    <x v="0"/>
    <x v="6"/>
    <n v="0"/>
  </r>
  <r>
    <x v="12"/>
    <x v="4"/>
    <x v="0"/>
    <x v="7"/>
    <n v="8526"/>
  </r>
  <r>
    <x v="12"/>
    <x v="4"/>
    <x v="0"/>
    <x v="8"/>
    <n v="1143"/>
  </r>
  <r>
    <x v="12"/>
    <x v="4"/>
    <x v="0"/>
    <x v="9"/>
    <n v="23787"/>
  </r>
  <r>
    <x v="12"/>
    <x v="4"/>
    <x v="0"/>
    <x v="10"/>
    <n v="0"/>
  </r>
  <r>
    <x v="12"/>
    <x v="4"/>
    <x v="0"/>
    <x v="11"/>
    <n v="30448"/>
  </r>
  <r>
    <x v="12"/>
    <x v="4"/>
    <x v="0"/>
    <x v="12"/>
    <n v="96328"/>
  </r>
  <r>
    <x v="12"/>
    <x v="4"/>
    <x v="0"/>
    <x v="13"/>
    <n v="2611"/>
  </r>
  <r>
    <x v="13"/>
    <x v="4"/>
    <x v="0"/>
    <x v="0"/>
    <n v="9160"/>
  </r>
  <r>
    <x v="13"/>
    <x v="4"/>
    <x v="0"/>
    <x v="1"/>
    <n v="0"/>
  </r>
  <r>
    <x v="13"/>
    <x v="4"/>
    <x v="0"/>
    <x v="2"/>
    <n v="10860"/>
  </r>
  <r>
    <x v="13"/>
    <x v="4"/>
    <x v="0"/>
    <x v="3"/>
    <n v="30176"/>
  </r>
  <r>
    <x v="13"/>
    <x v="4"/>
    <x v="0"/>
    <x v="4"/>
    <n v="882"/>
  </r>
  <r>
    <x v="13"/>
    <x v="4"/>
    <x v="0"/>
    <x v="5"/>
    <n v="13604"/>
  </r>
  <r>
    <x v="13"/>
    <x v="4"/>
    <x v="0"/>
    <x v="6"/>
    <n v="6610"/>
  </r>
  <r>
    <x v="13"/>
    <x v="4"/>
    <x v="0"/>
    <x v="7"/>
    <n v="13100"/>
  </r>
  <r>
    <x v="13"/>
    <x v="4"/>
    <x v="0"/>
    <x v="8"/>
    <n v="2017"/>
  </r>
  <r>
    <x v="13"/>
    <x v="4"/>
    <x v="0"/>
    <x v="9"/>
    <n v="3793"/>
  </r>
  <r>
    <x v="13"/>
    <x v="4"/>
    <x v="0"/>
    <x v="10"/>
    <n v="0"/>
  </r>
  <r>
    <x v="13"/>
    <x v="4"/>
    <x v="0"/>
    <x v="11"/>
    <n v="20369"/>
  </r>
  <r>
    <x v="13"/>
    <x v="4"/>
    <x v="0"/>
    <x v="12"/>
    <n v="61437"/>
  </r>
  <r>
    <x v="13"/>
    <x v="4"/>
    <x v="0"/>
    <x v="13"/>
    <n v="5"/>
  </r>
  <r>
    <x v="14"/>
    <x v="4"/>
    <x v="0"/>
    <x v="0"/>
    <n v="0"/>
  </r>
  <r>
    <x v="14"/>
    <x v="4"/>
    <x v="0"/>
    <x v="1"/>
    <n v="3904"/>
  </r>
  <r>
    <x v="14"/>
    <x v="4"/>
    <x v="0"/>
    <x v="2"/>
    <n v="0"/>
  </r>
  <r>
    <x v="14"/>
    <x v="4"/>
    <x v="0"/>
    <x v="3"/>
    <n v="4269"/>
  </r>
  <r>
    <x v="14"/>
    <x v="4"/>
    <x v="0"/>
    <x v="4"/>
    <n v="0"/>
  </r>
  <r>
    <x v="14"/>
    <x v="4"/>
    <x v="0"/>
    <x v="5"/>
    <n v="2082"/>
  </r>
  <r>
    <x v="14"/>
    <x v="4"/>
    <x v="0"/>
    <x v="6"/>
    <n v="0"/>
  </r>
  <r>
    <x v="14"/>
    <x v="4"/>
    <x v="0"/>
    <x v="7"/>
    <n v="2448"/>
  </r>
  <r>
    <x v="14"/>
    <x v="4"/>
    <x v="0"/>
    <x v="8"/>
    <n v="60"/>
  </r>
  <r>
    <x v="14"/>
    <x v="4"/>
    <x v="0"/>
    <x v="9"/>
    <n v="3399"/>
  </r>
  <r>
    <x v="14"/>
    <x v="4"/>
    <x v="0"/>
    <x v="10"/>
    <n v="0"/>
  </r>
  <r>
    <x v="14"/>
    <x v="4"/>
    <x v="0"/>
    <x v="11"/>
    <n v="3437"/>
  </r>
  <r>
    <x v="14"/>
    <x v="4"/>
    <x v="0"/>
    <x v="12"/>
    <n v="9062"/>
  </r>
  <r>
    <x v="14"/>
    <x v="4"/>
    <x v="0"/>
    <x v="13"/>
    <n v="230"/>
  </r>
  <r>
    <x v="15"/>
    <x v="4"/>
    <x v="0"/>
    <x v="0"/>
    <n v="0"/>
  </r>
  <r>
    <x v="15"/>
    <x v="4"/>
    <x v="0"/>
    <x v="1"/>
    <n v="0"/>
  </r>
  <r>
    <x v="15"/>
    <x v="4"/>
    <x v="0"/>
    <x v="2"/>
    <n v="325"/>
  </r>
  <r>
    <x v="15"/>
    <x v="4"/>
    <x v="0"/>
    <x v="3"/>
    <n v="743"/>
  </r>
  <r>
    <x v="15"/>
    <x v="4"/>
    <x v="0"/>
    <x v="4"/>
    <n v="950"/>
  </r>
  <r>
    <x v="15"/>
    <x v="4"/>
    <x v="0"/>
    <x v="5"/>
    <n v="556"/>
  </r>
  <r>
    <x v="15"/>
    <x v="4"/>
    <x v="0"/>
    <x v="6"/>
    <n v="0"/>
  </r>
  <r>
    <x v="15"/>
    <x v="4"/>
    <x v="0"/>
    <x v="7"/>
    <n v="52"/>
  </r>
  <r>
    <x v="15"/>
    <x v="4"/>
    <x v="0"/>
    <x v="8"/>
    <n v="99"/>
  </r>
  <r>
    <x v="15"/>
    <x v="4"/>
    <x v="0"/>
    <x v="9"/>
    <n v="2095"/>
  </r>
  <r>
    <x v="15"/>
    <x v="4"/>
    <x v="0"/>
    <x v="10"/>
    <n v="0"/>
  </r>
  <r>
    <x v="15"/>
    <x v="4"/>
    <x v="0"/>
    <x v="11"/>
    <n v="1249"/>
  </r>
  <r>
    <x v="15"/>
    <x v="4"/>
    <x v="0"/>
    <x v="12"/>
    <n v="3168"/>
  </r>
  <r>
    <x v="15"/>
    <x v="4"/>
    <x v="0"/>
    <x v="13"/>
    <n v="12"/>
  </r>
  <r>
    <x v="16"/>
    <x v="4"/>
    <x v="0"/>
    <x v="0"/>
    <n v="1899"/>
  </r>
  <r>
    <x v="16"/>
    <x v="4"/>
    <x v="0"/>
    <x v="1"/>
    <n v="1049"/>
  </r>
  <r>
    <x v="16"/>
    <x v="4"/>
    <x v="0"/>
    <x v="2"/>
    <n v="0"/>
  </r>
  <r>
    <x v="16"/>
    <x v="4"/>
    <x v="0"/>
    <x v="3"/>
    <n v="4042"/>
  </r>
  <r>
    <x v="16"/>
    <x v="4"/>
    <x v="0"/>
    <x v="4"/>
    <n v="412"/>
  </r>
  <r>
    <x v="16"/>
    <x v="4"/>
    <x v="0"/>
    <x v="5"/>
    <n v="325"/>
  </r>
  <r>
    <x v="16"/>
    <x v="4"/>
    <x v="0"/>
    <x v="6"/>
    <n v="0"/>
  </r>
  <r>
    <x v="16"/>
    <x v="4"/>
    <x v="0"/>
    <x v="7"/>
    <n v="336"/>
  </r>
  <r>
    <x v="16"/>
    <x v="4"/>
    <x v="0"/>
    <x v="8"/>
    <n v="319"/>
  </r>
  <r>
    <x v="16"/>
    <x v="4"/>
    <x v="0"/>
    <x v="9"/>
    <n v="56"/>
  </r>
  <r>
    <x v="16"/>
    <x v="4"/>
    <x v="0"/>
    <x v="10"/>
    <n v="0"/>
  </r>
  <r>
    <x v="16"/>
    <x v="4"/>
    <x v="0"/>
    <x v="11"/>
    <n v="2914"/>
  </r>
  <r>
    <x v="16"/>
    <x v="4"/>
    <x v="0"/>
    <x v="12"/>
    <n v="6572"/>
  </r>
  <r>
    <x v="16"/>
    <x v="4"/>
    <x v="0"/>
    <x v="13"/>
    <n v="36"/>
  </r>
  <r>
    <x v="17"/>
    <x v="4"/>
    <x v="0"/>
    <x v="0"/>
    <n v="0"/>
  </r>
  <r>
    <x v="17"/>
    <x v="4"/>
    <x v="0"/>
    <x v="1"/>
    <n v="0"/>
  </r>
  <r>
    <x v="17"/>
    <x v="4"/>
    <x v="0"/>
    <x v="2"/>
    <n v="855"/>
  </r>
  <r>
    <x v="17"/>
    <x v="4"/>
    <x v="0"/>
    <x v="3"/>
    <n v="4215"/>
  </r>
  <r>
    <x v="17"/>
    <x v="4"/>
    <x v="0"/>
    <x v="4"/>
    <n v="1144"/>
  </r>
  <r>
    <x v="17"/>
    <x v="4"/>
    <x v="0"/>
    <x v="5"/>
    <n v="3080"/>
  </r>
  <r>
    <x v="17"/>
    <x v="4"/>
    <x v="0"/>
    <x v="6"/>
    <n v="0"/>
  </r>
  <r>
    <x v="17"/>
    <x v="4"/>
    <x v="0"/>
    <x v="7"/>
    <n v="0"/>
  </r>
  <r>
    <x v="17"/>
    <x v="4"/>
    <x v="0"/>
    <x v="8"/>
    <n v="0"/>
  </r>
  <r>
    <x v="17"/>
    <x v="4"/>
    <x v="0"/>
    <x v="9"/>
    <n v="238"/>
  </r>
  <r>
    <x v="17"/>
    <x v="4"/>
    <x v="0"/>
    <x v="10"/>
    <n v="292"/>
  </r>
  <r>
    <x v="17"/>
    <x v="4"/>
    <x v="0"/>
    <x v="11"/>
    <n v="2044"/>
  </r>
  <r>
    <x v="17"/>
    <x v="4"/>
    <x v="0"/>
    <x v="12"/>
    <n v="4895"/>
  </r>
  <r>
    <x v="17"/>
    <x v="4"/>
    <x v="0"/>
    <x v="13"/>
    <n v="687"/>
  </r>
  <r>
    <x v="18"/>
    <x v="4"/>
    <x v="0"/>
    <x v="0"/>
    <n v="0"/>
  </r>
  <r>
    <x v="18"/>
    <x v="4"/>
    <x v="0"/>
    <x v="1"/>
    <n v="0"/>
  </r>
  <r>
    <x v="18"/>
    <x v="4"/>
    <x v="0"/>
    <x v="2"/>
    <n v="0"/>
  </r>
  <r>
    <x v="18"/>
    <x v="4"/>
    <x v="0"/>
    <x v="3"/>
    <n v="0"/>
  </r>
  <r>
    <x v="18"/>
    <x v="4"/>
    <x v="0"/>
    <x v="4"/>
    <n v="11"/>
  </r>
  <r>
    <x v="18"/>
    <x v="4"/>
    <x v="0"/>
    <x v="5"/>
    <n v="2"/>
  </r>
  <r>
    <x v="18"/>
    <x v="4"/>
    <x v="0"/>
    <x v="6"/>
    <n v="0"/>
  </r>
  <r>
    <x v="18"/>
    <x v="4"/>
    <x v="0"/>
    <x v="7"/>
    <n v="0"/>
  </r>
  <r>
    <x v="18"/>
    <x v="4"/>
    <x v="0"/>
    <x v="8"/>
    <n v="0"/>
  </r>
  <r>
    <x v="18"/>
    <x v="4"/>
    <x v="0"/>
    <x v="9"/>
    <n v="1973"/>
  </r>
  <r>
    <x v="18"/>
    <x v="4"/>
    <x v="0"/>
    <x v="10"/>
    <n v="0"/>
  </r>
  <r>
    <x v="18"/>
    <x v="4"/>
    <x v="0"/>
    <x v="11"/>
    <n v="1522"/>
  </r>
  <r>
    <x v="18"/>
    <x v="4"/>
    <x v="0"/>
    <x v="12"/>
    <n v="2450"/>
  </r>
  <r>
    <x v="18"/>
    <x v="4"/>
    <x v="0"/>
    <x v="13"/>
    <n v="748"/>
  </r>
  <r>
    <x v="19"/>
    <x v="4"/>
    <x v="0"/>
    <x v="0"/>
    <n v="0"/>
  </r>
  <r>
    <x v="19"/>
    <x v="4"/>
    <x v="0"/>
    <x v="1"/>
    <n v="0"/>
  </r>
  <r>
    <x v="19"/>
    <x v="4"/>
    <x v="0"/>
    <x v="2"/>
    <n v="6444"/>
  </r>
  <r>
    <x v="19"/>
    <x v="4"/>
    <x v="0"/>
    <x v="3"/>
    <n v="52086"/>
  </r>
  <r>
    <x v="19"/>
    <x v="4"/>
    <x v="0"/>
    <x v="4"/>
    <n v="8599"/>
  </r>
  <r>
    <x v="19"/>
    <x v="4"/>
    <x v="0"/>
    <x v="5"/>
    <n v="10310"/>
  </r>
  <r>
    <x v="19"/>
    <x v="4"/>
    <x v="0"/>
    <x v="6"/>
    <n v="0"/>
  </r>
  <r>
    <x v="19"/>
    <x v="4"/>
    <x v="0"/>
    <x v="7"/>
    <n v="20120"/>
  </r>
  <r>
    <x v="19"/>
    <x v="4"/>
    <x v="0"/>
    <x v="8"/>
    <n v="2934"/>
  </r>
  <r>
    <x v="19"/>
    <x v="4"/>
    <x v="0"/>
    <x v="9"/>
    <n v="21945"/>
  </r>
  <r>
    <x v="19"/>
    <x v="4"/>
    <x v="0"/>
    <x v="10"/>
    <n v="4753"/>
  </r>
  <r>
    <x v="19"/>
    <x v="4"/>
    <x v="0"/>
    <x v="11"/>
    <n v="19511"/>
  </r>
  <r>
    <x v="19"/>
    <x v="4"/>
    <x v="0"/>
    <x v="12"/>
    <n v="57572"/>
  </r>
  <r>
    <x v="19"/>
    <x v="4"/>
    <x v="0"/>
    <x v="13"/>
    <n v="3745"/>
  </r>
  <r>
    <x v="20"/>
    <x v="4"/>
    <x v="0"/>
    <x v="0"/>
    <n v="0"/>
  </r>
  <r>
    <x v="20"/>
    <x v="4"/>
    <x v="0"/>
    <x v="1"/>
    <n v="0"/>
  </r>
  <r>
    <x v="20"/>
    <x v="4"/>
    <x v="0"/>
    <x v="2"/>
    <n v="0"/>
  </r>
  <r>
    <x v="20"/>
    <x v="4"/>
    <x v="0"/>
    <x v="3"/>
    <n v="568"/>
  </r>
  <r>
    <x v="20"/>
    <x v="4"/>
    <x v="0"/>
    <x v="4"/>
    <n v="1192"/>
  </r>
  <r>
    <x v="20"/>
    <x v="4"/>
    <x v="0"/>
    <x v="5"/>
    <n v="533"/>
  </r>
  <r>
    <x v="20"/>
    <x v="4"/>
    <x v="0"/>
    <x v="6"/>
    <n v="0"/>
  </r>
  <r>
    <x v="20"/>
    <x v="4"/>
    <x v="0"/>
    <x v="7"/>
    <n v="83"/>
  </r>
  <r>
    <x v="20"/>
    <x v="4"/>
    <x v="0"/>
    <x v="8"/>
    <n v="93"/>
  </r>
  <r>
    <x v="20"/>
    <x v="4"/>
    <x v="0"/>
    <x v="9"/>
    <n v="127"/>
  </r>
  <r>
    <x v="20"/>
    <x v="4"/>
    <x v="0"/>
    <x v="10"/>
    <n v="900"/>
  </r>
  <r>
    <x v="20"/>
    <x v="4"/>
    <x v="0"/>
    <x v="11"/>
    <n v="858"/>
  </r>
  <r>
    <x v="20"/>
    <x v="4"/>
    <x v="0"/>
    <x v="12"/>
    <n v="1999"/>
  </r>
  <r>
    <x v="20"/>
    <x v="4"/>
    <x v="0"/>
    <x v="13"/>
    <n v="57"/>
  </r>
  <r>
    <x v="21"/>
    <x v="4"/>
    <x v="0"/>
    <x v="0"/>
    <n v="0"/>
  </r>
  <r>
    <x v="21"/>
    <x v="4"/>
    <x v="0"/>
    <x v="1"/>
    <n v="0"/>
  </r>
  <r>
    <x v="21"/>
    <x v="4"/>
    <x v="0"/>
    <x v="2"/>
    <n v="0"/>
  </r>
  <r>
    <x v="21"/>
    <x v="4"/>
    <x v="0"/>
    <x v="3"/>
    <n v="136"/>
  </r>
  <r>
    <x v="21"/>
    <x v="4"/>
    <x v="0"/>
    <x v="4"/>
    <n v="0"/>
  </r>
  <r>
    <x v="21"/>
    <x v="4"/>
    <x v="0"/>
    <x v="5"/>
    <n v="120"/>
  </r>
  <r>
    <x v="21"/>
    <x v="4"/>
    <x v="0"/>
    <x v="6"/>
    <n v="0"/>
  </r>
  <r>
    <x v="21"/>
    <x v="4"/>
    <x v="0"/>
    <x v="7"/>
    <n v="128"/>
  </r>
  <r>
    <x v="21"/>
    <x v="4"/>
    <x v="0"/>
    <x v="8"/>
    <n v="11"/>
  </r>
  <r>
    <x v="21"/>
    <x v="4"/>
    <x v="0"/>
    <x v="9"/>
    <n v="32"/>
  </r>
  <r>
    <x v="21"/>
    <x v="4"/>
    <x v="0"/>
    <x v="10"/>
    <n v="1296"/>
  </r>
  <r>
    <x v="21"/>
    <x v="4"/>
    <x v="0"/>
    <x v="11"/>
    <n v="401"/>
  </r>
  <r>
    <x v="21"/>
    <x v="4"/>
    <x v="0"/>
    <x v="12"/>
    <n v="1031"/>
  </r>
  <r>
    <x v="21"/>
    <x v="4"/>
    <x v="0"/>
    <x v="13"/>
    <n v="21"/>
  </r>
  <r>
    <x v="22"/>
    <x v="4"/>
    <x v="0"/>
    <x v="0"/>
    <n v="0"/>
  </r>
  <r>
    <x v="22"/>
    <x v="4"/>
    <x v="0"/>
    <x v="1"/>
    <n v="0"/>
  </r>
  <r>
    <x v="22"/>
    <x v="4"/>
    <x v="0"/>
    <x v="2"/>
    <n v="0"/>
  </r>
  <r>
    <x v="22"/>
    <x v="4"/>
    <x v="0"/>
    <x v="3"/>
    <n v="1031"/>
  </r>
  <r>
    <x v="22"/>
    <x v="4"/>
    <x v="0"/>
    <x v="4"/>
    <n v="90"/>
  </r>
  <r>
    <x v="22"/>
    <x v="4"/>
    <x v="0"/>
    <x v="5"/>
    <n v="77"/>
  </r>
  <r>
    <x v="22"/>
    <x v="4"/>
    <x v="0"/>
    <x v="6"/>
    <n v="0"/>
  </r>
  <r>
    <x v="22"/>
    <x v="4"/>
    <x v="0"/>
    <x v="7"/>
    <n v="0"/>
  </r>
  <r>
    <x v="22"/>
    <x v="4"/>
    <x v="0"/>
    <x v="8"/>
    <n v="74"/>
  </r>
  <r>
    <x v="22"/>
    <x v="4"/>
    <x v="0"/>
    <x v="9"/>
    <n v="1557"/>
  </r>
  <r>
    <x v="22"/>
    <x v="4"/>
    <x v="0"/>
    <x v="10"/>
    <n v="0"/>
  </r>
  <r>
    <x v="22"/>
    <x v="4"/>
    <x v="0"/>
    <x v="11"/>
    <n v="459"/>
  </r>
  <r>
    <x v="22"/>
    <x v="4"/>
    <x v="0"/>
    <x v="12"/>
    <n v="1252"/>
  </r>
  <r>
    <x v="22"/>
    <x v="4"/>
    <x v="0"/>
    <x v="13"/>
    <n v="0"/>
  </r>
  <r>
    <x v="23"/>
    <x v="4"/>
    <x v="0"/>
    <x v="0"/>
    <n v="0"/>
  </r>
  <r>
    <x v="23"/>
    <x v="4"/>
    <x v="0"/>
    <x v="1"/>
    <n v="220"/>
  </r>
  <r>
    <x v="23"/>
    <x v="4"/>
    <x v="0"/>
    <x v="2"/>
    <n v="0"/>
  </r>
  <r>
    <x v="23"/>
    <x v="4"/>
    <x v="0"/>
    <x v="3"/>
    <n v="0"/>
  </r>
  <r>
    <x v="23"/>
    <x v="4"/>
    <x v="0"/>
    <x v="4"/>
    <n v="0"/>
  </r>
  <r>
    <x v="23"/>
    <x v="4"/>
    <x v="0"/>
    <x v="5"/>
    <n v="72"/>
  </r>
  <r>
    <x v="23"/>
    <x v="4"/>
    <x v="0"/>
    <x v="6"/>
    <n v="0"/>
  </r>
  <r>
    <x v="23"/>
    <x v="4"/>
    <x v="0"/>
    <x v="7"/>
    <n v="0"/>
  </r>
  <r>
    <x v="23"/>
    <x v="4"/>
    <x v="0"/>
    <x v="8"/>
    <n v="0"/>
  </r>
  <r>
    <x v="23"/>
    <x v="4"/>
    <x v="0"/>
    <x v="9"/>
    <n v="0"/>
  </r>
  <r>
    <x v="23"/>
    <x v="4"/>
    <x v="0"/>
    <x v="10"/>
    <n v="660"/>
  </r>
  <r>
    <x v="23"/>
    <x v="4"/>
    <x v="0"/>
    <x v="11"/>
    <n v="228"/>
  </r>
  <r>
    <x v="23"/>
    <x v="4"/>
    <x v="0"/>
    <x v="12"/>
    <n v="590"/>
  </r>
  <r>
    <x v="23"/>
    <x v="4"/>
    <x v="0"/>
    <x v="13"/>
    <n v="0"/>
  </r>
  <r>
    <x v="24"/>
    <x v="4"/>
    <x v="0"/>
    <x v="0"/>
    <n v="0"/>
  </r>
  <r>
    <x v="24"/>
    <x v="4"/>
    <x v="0"/>
    <x v="1"/>
    <n v="718"/>
  </r>
  <r>
    <x v="24"/>
    <x v="4"/>
    <x v="0"/>
    <x v="2"/>
    <n v="0"/>
  </r>
  <r>
    <x v="24"/>
    <x v="4"/>
    <x v="0"/>
    <x v="3"/>
    <n v="250"/>
  </r>
  <r>
    <x v="24"/>
    <x v="4"/>
    <x v="0"/>
    <x v="4"/>
    <n v="189"/>
  </r>
  <r>
    <x v="24"/>
    <x v="4"/>
    <x v="0"/>
    <x v="5"/>
    <n v="37"/>
  </r>
  <r>
    <x v="24"/>
    <x v="4"/>
    <x v="0"/>
    <x v="6"/>
    <n v="0"/>
  </r>
  <r>
    <x v="24"/>
    <x v="4"/>
    <x v="0"/>
    <x v="7"/>
    <n v="17"/>
  </r>
  <r>
    <x v="24"/>
    <x v="4"/>
    <x v="0"/>
    <x v="8"/>
    <n v="7"/>
  </r>
  <r>
    <x v="24"/>
    <x v="4"/>
    <x v="0"/>
    <x v="9"/>
    <n v="676"/>
  </r>
  <r>
    <x v="24"/>
    <x v="4"/>
    <x v="0"/>
    <x v="10"/>
    <n v="0"/>
  </r>
  <r>
    <x v="24"/>
    <x v="4"/>
    <x v="0"/>
    <x v="11"/>
    <n v="369"/>
  </r>
  <r>
    <x v="24"/>
    <x v="4"/>
    <x v="0"/>
    <x v="12"/>
    <n v="1388"/>
  </r>
  <r>
    <x v="24"/>
    <x v="4"/>
    <x v="0"/>
    <x v="13"/>
    <n v="0"/>
  </r>
  <r>
    <x v="26"/>
    <x v="4"/>
    <x v="0"/>
    <x v="0"/>
    <n v="486"/>
  </r>
  <r>
    <x v="26"/>
    <x v="4"/>
    <x v="0"/>
    <x v="1"/>
    <n v="0"/>
  </r>
  <r>
    <x v="26"/>
    <x v="4"/>
    <x v="0"/>
    <x v="2"/>
    <n v="4631"/>
  </r>
  <r>
    <x v="26"/>
    <x v="4"/>
    <x v="0"/>
    <x v="3"/>
    <n v="15570"/>
  </r>
  <r>
    <x v="26"/>
    <x v="4"/>
    <x v="0"/>
    <x v="4"/>
    <n v="0"/>
  </r>
  <r>
    <x v="26"/>
    <x v="4"/>
    <x v="0"/>
    <x v="5"/>
    <n v="3669"/>
  </r>
  <r>
    <x v="26"/>
    <x v="4"/>
    <x v="0"/>
    <x v="6"/>
    <n v="957"/>
  </r>
  <r>
    <x v="26"/>
    <x v="4"/>
    <x v="0"/>
    <x v="7"/>
    <n v="3937"/>
  </r>
  <r>
    <x v="26"/>
    <x v="4"/>
    <x v="0"/>
    <x v="8"/>
    <n v="485"/>
  </r>
  <r>
    <x v="26"/>
    <x v="4"/>
    <x v="0"/>
    <x v="9"/>
    <n v="38"/>
  </r>
  <r>
    <x v="26"/>
    <x v="4"/>
    <x v="0"/>
    <x v="10"/>
    <n v="0"/>
  </r>
  <r>
    <x v="26"/>
    <x v="4"/>
    <x v="0"/>
    <x v="11"/>
    <n v="9245"/>
  </r>
  <r>
    <x v="26"/>
    <x v="4"/>
    <x v="0"/>
    <x v="12"/>
    <n v="18479"/>
  </r>
  <r>
    <x v="26"/>
    <x v="4"/>
    <x v="0"/>
    <x v="13"/>
    <n v="758"/>
  </r>
  <r>
    <x v="27"/>
    <x v="4"/>
    <x v="0"/>
    <x v="0"/>
    <n v="0"/>
  </r>
  <r>
    <x v="27"/>
    <x v="4"/>
    <x v="0"/>
    <x v="1"/>
    <n v="0"/>
  </r>
  <r>
    <x v="27"/>
    <x v="4"/>
    <x v="0"/>
    <x v="2"/>
    <n v="0"/>
  </r>
  <r>
    <x v="27"/>
    <x v="4"/>
    <x v="0"/>
    <x v="3"/>
    <n v="542"/>
  </r>
  <r>
    <x v="27"/>
    <x v="4"/>
    <x v="0"/>
    <x v="4"/>
    <n v="0"/>
  </r>
  <r>
    <x v="27"/>
    <x v="4"/>
    <x v="0"/>
    <x v="5"/>
    <n v="1749"/>
  </r>
  <r>
    <x v="27"/>
    <x v="4"/>
    <x v="0"/>
    <x v="6"/>
    <n v="0"/>
  </r>
  <r>
    <x v="27"/>
    <x v="4"/>
    <x v="0"/>
    <x v="7"/>
    <n v="45"/>
  </r>
  <r>
    <x v="27"/>
    <x v="4"/>
    <x v="0"/>
    <x v="8"/>
    <n v="7"/>
  </r>
  <r>
    <x v="27"/>
    <x v="4"/>
    <x v="0"/>
    <x v="9"/>
    <n v="32574"/>
  </r>
  <r>
    <x v="27"/>
    <x v="4"/>
    <x v="0"/>
    <x v="10"/>
    <n v="0"/>
  </r>
  <r>
    <x v="27"/>
    <x v="4"/>
    <x v="0"/>
    <x v="11"/>
    <n v="9343"/>
  </r>
  <r>
    <x v="27"/>
    <x v="4"/>
    <x v="0"/>
    <x v="12"/>
    <n v="24108"/>
  </r>
  <r>
    <x v="27"/>
    <x v="4"/>
    <x v="0"/>
    <x v="13"/>
    <n v="104"/>
  </r>
  <r>
    <x v="28"/>
    <x v="4"/>
    <x v="0"/>
    <x v="0"/>
    <n v="0"/>
  </r>
  <r>
    <x v="28"/>
    <x v="4"/>
    <x v="0"/>
    <x v="1"/>
    <n v="8049"/>
  </r>
  <r>
    <x v="28"/>
    <x v="4"/>
    <x v="0"/>
    <x v="2"/>
    <n v="19195"/>
  </r>
  <r>
    <x v="28"/>
    <x v="4"/>
    <x v="0"/>
    <x v="3"/>
    <n v="2972"/>
  </r>
  <r>
    <x v="28"/>
    <x v="4"/>
    <x v="0"/>
    <x v="4"/>
    <n v="379"/>
  </r>
  <r>
    <x v="28"/>
    <x v="4"/>
    <x v="0"/>
    <x v="5"/>
    <n v="5608"/>
  </r>
  <r>
    <x v="28"/>
    <x v="4"/>
    <x v="0"/>
    <x v="6"/>
    <n v="0"/>
  </r>
  <r>
    <x v="28"/>
    <x v="4"/>
    <x v="0"/>
    <x v="7"/>
    <n v="399"/>
  </r>
  <r>
    <x v="28"/>
    <x v="4"/>
    <x v="0"/>
    <x v="8"/>
    <n v="864"/>
  </r>
  <r>
    <x v="28"/>
    <x v="4"/>
    <x v="0"/>
    <x v="9"/>
    <n v="957"/>
  </r>
  <r>
    <x v="28"/>
    <x v="4"/>
    <x v="0"/>
    <x v="10"/>
    <n v="1398"/>
  </r>
  <r>
    <x v="28"/>
    <x v="4"/>
    <x v="0"/>
    <x v="11"/>
    <n v="11339"/>
  </r>
  <r>
    <x v="28"/>
    <x v="4"/>
    <x v="0"/>
    <x v="12"/>
    <n v="24465"/>
  </r>
  <r>
    <x v="28"/>
    <x v="4"/>
    <x v="0"/>
    <x v="13"/>
    <n v="57"/>
  </r>
  <r>
    <x v="29"/>
    <x v="4"/>
    <x v="0"/>
    <x v="0"/>
    <n v="0"/>
  </r>
  <r>
    <x v="29"/>
    <x v="4"/>
    <x v="0"/>
    <x v="1"/>
    <n v="0"/>
  </r>
  <r>
    <x v="29"/>
    <x v="4"/>
    <x v="0"/>
    <x v="2"/>
    <n v="1756"/>
  </r>
  <r>
    <x v="29"/>
    <x v="4"/>
    <x v="0"/>
    <x v="3"/>
    <n v="4609"/>
  </r>
  <r>
    <x v="29"/>
    <x v="4"/>
    <x v="0"/>
    <x v="4"/>
    <n v="14"/>
  </r>
  <r>
    <x v="29"/>
    <x v="4"/>
    <x v="0"/>
    <x v="5"/>
    <n v="5150"/>
  </r>
  <r>
    <x v="29"/>
    <x v="4"/>
    <x v="0"/>
    <x v="6"/>
    <n v="0"/>
  </r>
  <r>
    <x v="29"/>
    <x v="4"/>
    <x v="0"/>
    <x v="7"/>
    <n v="558"/>
  </r>
  <r>
    <x v="29"/>
    <x v="4"/>
    <x v="0"/>
    <x v="8"/>
    <n v="658"/>
  </r>
  <r>
    <x v="29"/>
    <x v="4"/>
    <x v="0"/>
    <x v="9"/>
    <n v="7215"/>
  </r>
  <r>
    <x v="29"/>
    <x v="4"/>
    <x v="0"/>
    <x v="10"/>
    <n v="0"/>
  </r>
  <r>
    <x v="29"/>
    <x v="4"/>
    <x v="0"/>
    <x v="11"/>
    <n v="3561"/>
  </r>
  <r>
    <x v="29"/>
    <x v="4"/>
    <x v="0"/>
    <x v="12"/>
    <n v="8721"/>
  </r>
  <r>
    <x v="29"/>
    <x v="4"/>
    <x v="0"/>
    <x v="13"/>
    <n v="18"/>
  </r>
  <r>
    <x v="30"/>
    <x v="4"/>
    <x v="0"/>
    <x v="0"/>
    <n v="1300"/>
  </r>
  <r>
    <x v="30"/>
    <x v="4"/>
    <x v="0"/>
    <x v="1"/>
    <n v="3341"/>
  </r>
  <r>
    <x v="30"/>
    <x v="4"/>
    <x v="0"/>
    <x v="2"/>
    <n v="1032"/>
  </r>
  <r>
    <x v="30"/>
    <x v="4"/>
    <x v="0"/>
    <x v="3"/>
    <n v="1826"/>
  </r>
  <r>
    <x v="30"/>
    <x v="4"/>
    <x v="0"/>
    <x v="4"/>
    <n v="1578"/>
  </r>
  <r>
    <x v="30"/>
    <x v="4"/>
    <x v="0"/>
    <x v="5"/>
    <n v="2977"/>
  </r>
  <r>
    <x v="30"/>
    <x v="4"/>
    <x v="0"/>
    <x v="6"/>
    <n v="0"/>
  </r>
  <r>
    <x v="30"/>
    <x v="4"/>
    <x v="0"/>
    <x v="7"/>
    <n v="1262"/>
  </r>
  <r>
    <x v="30"/>
    <x v="4"/>
    <x v="0"/>
    <x v="8"/>
    <n v="121"/>
  </r>
  <r>
    <x v="30"/>
    <x v="4"/>
    <x v="0"/>
    <x v="9"/>
    <n v="6329"/>
  </r>
  <r>
    <x v="30"/>
    <x v="4"/>
    <x v="0"/>
    <x v="10"/>
    <n v="0"/>
  </r>
  <r>
    <x v="30"/>
    <x v="4"/>
    <x v="0"/>
    <x v="11"/>
    <n v="4091"/>
  </r>
  <r>
    <x v="30"/>
    <x v="4"/>
    <x v="0"/>
    <x v="12"/>
    <n v="8920"/>
  </r>
  <r>
    <x v="30"/>
    <x v="4"/>
    <x v="0"/>
    <x v="13"/>
    <n v="0"/>
  </r>
  <r>
    <x v="31"/>
    <x v="4"/>
    <x v="0"/>
    <x v="0"/>
    <n v="0"/>
  </r>
  <r>
    <x v="31"/>
    <x v="4"/>
    <x v="0"/>
    <x v="1"/>
    <n v="5314"/>
  </r>
  <r>
    <x v="31"/>
    <x v="4"/>
    <x v="0"/>
    <x v="2"/>
    <n v="0"/>
  </r>
  <r>
    <x v="31"/>
    <x v="4"/>
    <x v="0"/>
    <x v="3"/>
    <n v="208"/>
  </r>
  <r>
    <x v="31"/>
    <x v="4"/>
    <x v="0"/>
    <x v="4"/>
    <n v="0"/>
  </r>
  <r>
    <x v="31"/>
    <x v="4"/>
    <x v="0"/>
    <x v="5"/>
    <n v="239"/>
  </r>
  <r>
    <x v="31"/>
    <x v="4"/>
    <x v="0"/>
    <x v="6"/>
    <n v="0"/>
  </r>
  <r>
    <x v="31"/>
    <x v="4"/>
    <x v="0"/>
    <x v="7"/>
    <n v="0"/>
  </r>
  <r>
    <x v="31"/>
    <x v="4"/>
    <x v="0"/>
    <x v="8"/>
    <n v="0"/>
  </r>
  <r>
    <x v="31"/>
    <x v="4"/>
    <x v="0"/>
    <x v="9"/>
    <n v="2391"/>
  </r>
  <r>
    <x v="31"/>
    <x v="4"/>
    <x v="0"/>
    <x v="10"/>
    <n v="614"/>
  </r>
  <r>
    <x v="31"/>
    <x v="4"/>
    <x v="0"/>
    <x v="11"/>
    <n v="2428"/>
  </r>
  <r>
    <x v="31"/>
    <x v="4"/>
    <x v="0"/>
    <x v="12"/>
    <n v="6867"/>
  </r>
  <r>
    <x v="31"/>
    <x v="4"/>
    <x v="0"/>
    <x v="13"/>
    <n v="0"/>
  </r>
  <r>
    <x v="32"/>
    <x v="4"/>
    <x v="0"/>
    <x v="0"/>
    <n v="8614"/>
  </r>
  <r>
    <x v="32"/>
    <x v="4"/>
    <x v="0"/>
    <x v="1"/>
    <n v="0"/>
  </r>
  <r>
    <x v="32"/>
    <x v="4"/>
    <x v="0"/>
    <x v="2"/>
    <n v="205"/>
  </r>
  <r>
    <x v="32"/>
    <x v="4"/>
    <x v="0"/>
    <x v="3"/>
    <n v="849"/>
  </r>
  <r>
    <x v="32"/>
    <x v="4"/>
    <x v="0"/>
    <x v="4"/>
    <n v="2815"/>
  </r>
  <r>
    <x v="32"/>
    <x v="4"/>
    <x v="0"/>
    <x v="5"/>
    <n v="7205"/>
  </r>
  <r>
    <x v="32"/>
    <x v="4"/>
    <x v="0"/>
    <x v="6"/>
    <n v="0"/>
  </r>
  <r>
    <x v="32"/>
    <x v="4"/>
    <x v="0"/>
    <x v="7"/>
    <n v="0"/>
  </r>
  <r>
    <x v="32"/>
    <x v="4"/>
    <x v="0"/>
    <x v="8"/>
    <n v="3145"/>
  </r>
  <r>
    <x v="32"/>
    <x v="4"/>
    <x v="0"/>
    <x v="9"/>
    <n v="16630"/>
  </r>
  <r>
    <x v="32"/>
    <x v="4"/>
    <x v="0"/>
    <x v="10"/>
    <n v="0"/>
  </r>
  <r>
    <x v="32"/>
    <x v="4"/>
    <x v="0"/>
    <x v="11"/>
    <n v="9164"/>
  </r>
  <r>
    <x v="32"/>
    <x v="4"/>
    <x v="0"/>
    <x v="12"/>
    <n v="27380"/>
  </r>
  <r>
    <x v="32"/>
    <x v="4"/>
    <x v="0"/>
    <x v="13"/>
    <n v="445"/>
  </r>
  <r>
    <x v="33"/>
    <x v="4"/>
    <x v="0"/>
    <x v="0"/>
    <n v="696"/>
  </r>
  <r>
    <x v="33"/>
    <x v="4"/>
    <x v="0"/>
    <x v="1"/>
    <n v="981"/>
  </r>
  <r>
    <x v="33"/>
    <x v="4"/>
    <x v="0"/>
    <x v="2"/>
    <n v="0"/>
  </r>
  <r>
    <x v="33"/>
    <x v="4"/>
    <x v="0"/>
    <x v="3"/>
    <n v="519"/>
  </r>
  <r>
    <x v="33"/>
    <x v="4"/>
    <x v="0"/>
    <x v="4"/>
    <n v="0"/>
  </r>
  <r>
    <x v="33"/>
    <x v="4"/>
    <x v="0"/>
    <x v="5"/>
    <n v="3"/>
  </r>
  <r>
    <x v="33"/>
    <x v="4"/>
    <x v="0"/>
    <x v="6"/>
    <n v="0"/>
  </r>
  <r>
    <x v="33"/>
    <x v="4"/>
    <x v="0"/>
    <x v="7"/>
    <n v="290"/>
  </r>
  <r>
    <x v="33"/>
    <x v="4"/>
    <x v="0"/>
    <x v="8"/>
    <n v="48"/>
  </r>
  <r>
    <x v="33"/>
    <x v="4"/>
    <x v="0"/>
    <x v="9"/>
    <n v="1122"/>
  </r>
  <r>
    <x v="33"/>
    <x v="4"/>
    <x v="0"/>
    <x v="10"/>
    <n v="180"/>
  </r>
  <r>
    <x v="33"/>
    <x v="4"/>
    <x v="0"/>
    <x v="11"/>
    <n v="927"/>
  </r>
  <r>
    <x v="33"/>
    <x v="4"/>
    <x v="0"/>
    <x v="12"/>
    <n v="2381"/>
  </r>
  <r>
    <x v="33"/>
    <x v="4"/>
    <x v="0"/>
    <x v="13"/>
    <n v="119"/>
  </r>
  <r>
    <x v="34"/>
    <x v="4"/>
    <x v="0"/>
    <x v="0"/>
    <n v="1940"/>
  </r>
  <r>
    <x v="34"/>
    <x v="4"/>
    <x v="0"/>
    <x v="1"/>
    <n v="345"/>
  </r>
  <r>
    <x v="34"/>
    <x v="4"/>
    <x v="0"/>
    <x v="2"/>
    <n v="221"/>
  </r>
  <r>
    <x v="34"/>
    <x v="4"/>
    <x v="0"/>
    <x v="3"/>
    <n v="1111"/>
  </r>
  <r>
    <x v="34"/>
    <x v="4"/>
    <x v="0"/>
    <x v="4"/>
    <n v="676"/>
  </r>
  <r>
    <x v="34"/>
    <x v="4"/>
    <x v="0"/>
    <x v="5"/>
    <n v="3"/>
  </r>
  <r>
    <x v="34"/>
    <x v="4"/>
    <x v="0"/>
    <x v="6"/>
    <n v="0"/>
  </r>
  <r>
    <x v="34"/>
    <x v="4"/>
    <x v="0"/>
    <x v="7"/>
    <n v="531"/>
  </r>
  <r>
    <x v="34"/>
    <x v="4"/>
    <x v="0"/>
    <x v="8"/>
    <n v="328"/>
  </r>
  <r>
    <x v="34"/>
    <x v="4"/>
    <x v="0"/>
    <x v="9"/>
    <n v="1808"/>
  </r>
  <r>
    <x v="34"/>
    <x v="4"/>
    <x v="0"/>
    <x v="10"/>
    <n v="734"/>
  </r>
  <r>
    <x v="34"/>
    <x v="4"/>
    <x v="0"/>
    <x v="11"/>
    <n v="2395"/>
  </r>
  <r>
    <x v="34"/>
    <x v="4"/>
    <x v="0"/>
    <x v="12"/>
    <n v="4519"/>
  </r>
  <r>
    <x v="34"/>
    <x v="4"/>
    <x v="0"/>
    <x v="13"/>
    <n v="31"/>
  </r>
  <r>
    <x v="36"/>
    <x v="4"/>
    <x v="0"/>
    <x v="0"/>
    <n v="0"/>
  </r>
  <r>
    <x v="36"/>
    <x v="4"/>
    <x v="0"/>
    <x v="1"/>
    <n v="10118"/>
  </r>
  <r>
    <x v="36"/>
    <x v="4"/>
    <x v="0"/>
    <x v="2"/>
    <n v="9576"/>
  </r>
  <r>
    <x v="36"/>
    <x v="4"/>
    <x v="0"/>
    <x v="3"/>
    <n v="26107"/>
  </r>
  <r>
    <x v="36"/>
    <x v="4"/>
    <x v="0"/>
    <x v="4"/>
    <n v="296"/>
  </r>
  <r>
    <x v="36"/>
    <x v="4"/>
    <x v="0"/>
    <x v="5"/>
    <n v="7005"/>
  </r>
  <r>
    <x v="36"/>
    <x v="4"/>
    <x v="0"/>
    <x v="6"/>
    <n v="0"/>
  </r>
  <r>
    <x v="36"/>
    <x v="4"/>
    <x v="0"/>
    <x v="7"/>
    <n v="5063"/>
  </r>
  <r>
    <x v="36"/>
    <x v="4"/>
    <x v="0"/>
    <x v="8"/>
    <n v="811"/>
  </r>
  <r>
    <x v="36"/>
    <x v="4"/>
    <x v="0"/>
    <x v="9"/>
    <n v="28291"/>
  </r>
  <r>
    <x v="36"/>
    <x v="4"/>
    <x v="0"/>
    <x v="10"/>
    <n v="0"/>
  </r>
  <r>
    <x v="36"/>
    <x v="4"/>
    <x v="0"/>
    <x v="11"/>
    <n v="18497"/>
  </r>
  <r>
    <x v="36"/>
    <x v="4"/>
    <x v="0"/>
    <x v="12"/>
    <n v="45996"/>
  </r>
  <r>
    <x v="36"/>
    <x v="4"/>
    <x v="0"/>
    <x v="13"/>
    <n v="1283"/>
  </r>
  <r>
    <x v="35"/>
    <x v="4"/>
    <x v="0"/>
    <x v="0"/>
    <n v="121885"/>
  </r>
  <r>
    <x v="35"/>
    <x v="4"/>
    <x v="0"/>
    <x v="1"/>
    <n v="70100"/>
  </r>
  <r>
    <x v="35"/>
    <x v="4"/>
    <x v="0"/>
    <x v="2"/>
    <n v="99624"/>
  </r>
  <r>
    <x v="35"/>
    <x v="4"/>
    <x v="0"/>
    <x v="3"/>
    <n v="244906"/>
  </r>
  <r>
    <x v="35"/>
    <x v="4"/>
    <x v="0"/>
    <x v="4"/>
    <n v="40472"/>
  </r>
  <r>
    <x v="35"/>
    <x v="4"/>
    <x v="0"/>
    <x v="5"/>
    <n v="167868"/>
  </r>
  <r>
    <x v="35"/>
    <x v="4"/>
    <x v="0"/>
    <x v="6"/>
    <n v="16831"/>
  </r>
  <r>
    <x v="35"/>
    <x v="4"/>
    <x v="0"/>
    <x v="7"/>
    <n v="116192"/>
  </r>
  <r>
    <x v="35"/>
    <x v="4"/>
    <x v="0"/>
    <x v="8"/>
    <n v="28089"/>
  </r>
  <r>
    <x v="35"/>
    <x v="4"/>
    <x v="0"/>
    <x v="9"/>
    <n v="214823"/>
  </r>
  <r>
    <x v="35"/>
    <x v="4"/>
    <x v="0"/>
    <x v="10"/>
    <n v="24094"/>
  </r>
  <r>
    <x v="35"/>
    <x v="4"/>
    <x v="0"/>
    <x v="11"/>
    <n v="264157"/>
  </r>
  <r>
    <x v="35"/>
    <x v="4"/>
    <x v="0"/>
    <x v="12"/>
    <n v="589716"/>
  </r>
  <r>
    <x v="35"/>
    <x v="4"/>
    <x v="0"/>
    <x v="13"/>
    <n v="18521"/>
  </r>
  <r>
    <x v="37"/>
    <x v="4"/>
    <x v="0"/>
    <x v="0"/>
    <n v="118552"/>
  </r>
  <r>
    <x v="37"/>
    <x v="4"/>
    <x v="0"/>
    <x v="1"/>
    <n v="51842"/>
  </r>
  <r>
    <x v="37"/>
    <x v="4"/>
    <x v="0"/>
    <x v="2"/>
    <n v="90048"/>
  </r>
  <r>
    <x v="37"/>
    <x v="4"/>
    <x v="0"/>
    <x v="3"/>
    <n v="217799"/>
  </r>
  <r>
    <x v="37"/>
    <x v="4"/>
    <x v="0"/>
    <x v="4"/>
    <n v="39880"/>
  </r>
  <r>
    <x v="37"/>
    <x v="4"/>
    <x v="0"/>
    <x v="5"/>
    <n v="158639"/>
  </r>
  <r>
    <x v="37"/>
    <x v="4"/>
    <x v="0"/>
    <x v="6"/>
    <n v="16831"/>
  </r>
  <r>
    <x v="37"/>
    <x v="4"/>
    <x v="0"/>
    <x v="7"/>
    <n v="109403"/>
  </r>
  <r>
    <x v="37"/>
    <x v="4"/>
    <x v="0"/>
    <x v="8"/>
    <n v="27068"/>
  </r>
  <r>
    <x v="37"/>
    <x v="4"/>
    <x v="0"/>
    <x v="9"/>
    <n v="140067"/>
  </r>
  <r>
    <x v="37"/>
    <x v="4"/>
    <x v="0"/>
    <x v="10"/>
    <n v="22715"/>
  </r>
  <r>
    <x v="37"/>
    <x v="4"/>
    <x v="0"/>
    <x v="11"/>
    <n v="0"/>
  </r>
  <r>
    <x v="37"/>
    <x v="4"/>
    <x v="0"/>
    <x v="12"/>
    <n v="0"/>
  </r>
  <r>
    <x v="37"/>
    <x v="4"/>
    <x v="0"/>
    <x v="13"/>
    <n v="159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0">
  <r>
    <x v="0"/>
    <x v="0"/>
    <x v="0"/>
    <x v="0"/>
    <n v="0"/>
  </r>
  <r>
    <x v="0"/>
    <x v="0"/>
    <x v="0"/>
    <x v="1"/>
    <n v="3"/>
  </r>
  <r>
    <x v="0"/>
    <x v="0"/>
    <x v="0"/>
    <x v="2"/>
    <n v="0"/>
  </r>
  <r>
    <x v="0"/>
    <x v="0"/>
    <x v="0"/>
    <x v="3"/>
    <n v="5.2"/>
  </r>
  <r>
    <x v="0"/>
    <x v="0"/>
    <x v="0"/>
    <x v="4"/>
    <n v="3.1"/>
  </r>
  <r>
    <x v="0"/>
    <x v="0"/>
    <x v="0"/>
    <x v="5"/>
    <n v="3"/>
  </r>
  <r>
    <x v="0"/>
    <x v="0"/>
    <x v="0"/>
    <x v="6"/>
    <n v="0"/>
  </r>
  <r>
    <x v="0"/>
    <x v="0"/>
    <x v="0"/>
    <x v="7"/>
    <n v="0"/>
  </r>
  <r>
    <x v="0"/>
    <x v="0"/>
    <x v="0"/>
    <x v="8"/>
    <n v="40.099999999999994"/>
  </r>
  <r>
    <x v="0"/>
    <x v="0"/>
    <x v="0"/>
    <x v="9"/>
    <n v="0"/>
  </r>
  <r>
    <x v="0"/>
    <x v="0"/>
    <x v="0"/>
    <x v="10"/>
    <n v="11.100000000000001"/>
  </r>
  <r>
    <x v="0"/>
    <x v="0"/>
    <x v="0"/>
    <x v="11"/>
    <n v="74.8"/>
  </r>
  <r>
    <x v="1"/>
    <x v="0"/>
    <x v="0"/>
    <x v="0"/>
    <n v="0"/>
  </r>
  <r>
    <x v="1"/>
    <x v="0"/>
    <x v="0"/>
    <x v="1"/>
    <n v="0"/>
  </r>
  <r>
    <x v="1"/>
    <x v="0"/>
    <x v="0"/>
    <x v="2"/>
    <n v="8.6999999999999993"/>
  </r>
  <r>
    <x v="1"/>
    <x v="0"/>
    <x v="0"/>
    <x v="3"/>
    <n v="0"/>
  </r>
  <r>
    <x v="1"/>
    <x v="0"/>
    <x v="0"/>
    <x v="4"/>
    <n v="0"/>
  </r>
  <r>
    <x v="1"/>
    <x v="0"/>
    <x v="0"/>
    <x v="5"/>
    <n v="0"/>
  </r>
  <r>
    <x v="1"/>
    <x v="0"/>
    <x v="0"/>
    <x v="6"/>
    <n v="0"/>
  </r>
  <r>
    <x v="1"/>
    <x v="0"/>
    <x v="0"/>
    <x v="7"/>
    <n v="0"/>
  </r>
  <r>
    <x v="1"/>
    <x v="0"/>
    <x v="0"/>
    <x v="8"/>
    <n v="5.7"/>
  </r>
  <r>
    <x v="1"/>
    <x v="0"/>
    <x v="0"/>
    <x v="9"/>
    <n v="0"/>
  </r>
  <r>
    <x v="1"/>
    <x v="0"/>
    <x v="0"/>
    <x v="10"/>
    <n v="0"/>
  </r>
  <r>
    <x v="1"/>
    <x v="0"/>
    <x v="0"/>
    <x v="11"/>
    <n v="11.6"/>
  </r>
  <r>
    <x v="2"/>
    <x v="0"/>
    <x v="0"/>
    <x v="0"/>
    <n v="32.1"/>
  </r>
  <r>
    <x v="2"/>
    <x v="0"/>
    <x v="0"/>
    <x v="1"/>
    <n v="4"/>
  </r>
  <r>
    <x v="2"/>
    <x v="0"/>
    <x v="0"/>
    <x v="2"/>
    <n v="0"/>
  </r>
  <r>
    <x v="2"/>
    <x v="0"/>
    <x v="0"/>
    <x v="3"/>
    <n v="18.3"/>
  </r>
  <r>
    <x v="2"/>
    <x v="0"/>
    <x v="0"/>
    <x v="4"/>
    <n v="0.04"/>
  </r>
  <r>
    <x v="2"/>
    <x v="0"/>
    <x v="0"/>
    <x v="5"/>
    <n v="4.4000000000000004"/>
  </r>
  <r>
    <x v="2"/>
    <x v="0"/>
    <x v="0"/>
    <x v="6"/>
    <n v="0"/>
  </r>
  <r>
    <x v="2"/>
    <x v="0"/>
    <x v="0"/>
    <x v="7"/>
    <n v="2.8"/>
  </r>
  <r>
    <x v="2"/>
    <x v="0"/>
    <x v="0"/>
    <x v="8"/>
    <n v="1.5"/>
  </r>
  <r>
    <x v="2"/>
    <x v="0"/>
    <x v="0"/>
    <x v="9"/>
    <n v="4.5"/>
  </r>
  <r>
    <x v="2"/>
    <x v="0"/>
    <x v="0"/>
    <x v="10"/>
    <n v="0"/>
  </r>
  <r>
    <x v="2"/>
    <x v="0"/>
    <x v="0"/>
    <x v="11"/>
    <n v="85.3"/>
  </r>
  <r>
    <x v="3"/>
    <x v="0"/>
    <x v="0"/>
    <x v="0"/>
    <n v="14.7"/>
  </r>
  <r>
    <x v="3"/>
    <x v="0"/>
    <x v="0"/>
    <x v="1"/>
    <n v="2.4"/>
  </r>
  <r>
    <x v="3"/>
    <x v="0"/>
    <x v="0"/>
    <x v="2"/>
    <n v="15.6"/>
  </r>
  <r>
    <x v="3"/>
    <x v="0"/>
    <x v="0"/>
    <x v="3"/>
    <n v="1.6"/>
  </r>
  <r>
    <x v="3"/>
    <x v="0"/>
    <x v="0"/>
    <x v="4"/>
    <n v="0"/>
  </r>
  <r>
    <x v="3"/>
    <x v="0"/>
    <x v="0"/>
    <x v="5"/>
    <n v="1.3"/>
  </r>
  <r>
    <x v="3"/>
    <x v="0"/>
    <x v="0"/>
    <x v="6"/>
    <n v="0"/>
  </r>
  <r>
    <x v="3"/>
    <x v="0"/>
    <x v="0"/>
    <x v="7"/>
    <n v="1.2"/>
  </r>
  <r>
    <x v="3"/>
    <x v="0"/>
    <x v="0"/>
    <x v="8"/>
    <n v="4.7"/>
  </r>
  <r>
    <x v="3"/>
    <x v="0"/>
    <x v="0"/>
    <x v="9"/>
    <n v="0.1"/>
  </r>
  <r>
    <x v="3"/>
    <x v="0"/>
    <x v="0"/>
    <x v="10"/>
    <n v="0"/>
  </r>
  <r>
    <x v="3"/>
    <x v="0"/>
    <x v="0"/>
    <x v="11"/>
    <n v="32"/>
  </r>
  <r>
    <x v="4"/>
    <x v="0"/>
    <x v="0"/>
    <x v="0"/>
    <n v="26.4"/>
  </r>
  <r>
    <x v="4"/>
    <x v="0"/>
    <x v="0"/>
    <x v="1"/>
    <n v="0"/>
  </r>
  <r>
    <x v="4"/>
    <x v="0"/>
    <x v="0"/>
    <x v="2"/>
    <n v="0"/>
  </r>
  <r>
    <x v="4"/>
    <x v="0"/>
    <x v="0"/>
    <x v="3"/>
    <n v="0"/>
  </r>
  <r>
    <x v="4"/>
    <x v="0"/>
    <x v="0"/>
    <x v="4"/>
    <n v="2.1"/>
  </r>
  <r>
    <x v="4"/>
    <x v="0"/>
    <x v="0"/>
    <x v="5"/>
    <n v="0.1"/>
  </r>
  <r>
    <x v="4"/>
    <x v="0"/>
    <x v="0"/>
    <x v="6"/>
    <n v="0"/>
  </r>
  <r>
    <x v="4"/>
    <x v="0"/>
    <x v="0"/>
    <x v="7"/>
    <n v="0"/>
  </r>
  <r>
    <x v="4"/>
    <x v="0"/>
    <x v="0"/>
    <x v="8"/>
    <n v="39.299999999999997"/>
  </r>
  <r>
    <x v="4"/>
    <x v="0"/>
    <x v="0"/>
    <x v="9"/>
    <n v="0"/>
  </r>
  <r>
    <x v="4"/>
    <x v="0"/>
    <x v="0"/>
    <x v="10"/>
    <n v="1.8"/>
  </r>
  <r>
    <x v="4"/>
    <x v="0"/>
    <x v="0"/>
    <x v="11"/>
    <n v="65.400000000000006"/>
  </r>
  <r>
    <x v="5"/>
    <x v="0"/>
    <x v="0"/>
    <x v="0"/>
    <n v="0"/>
  </r>
  <r>
    <x v="5"/>
    <x v="0"/>
    <x v="0"/>
    <x v="1"/>
    <n v="0"/>
  </r>
  <r>
    <x v="5"/>
    <x v="0"/>
    <x v="0"/>
    <x v="2"/>
    <n v="0"/>
  </r>
  <r>
    <x v="5"/>
    <x v="0"/>
    <x v="0"/>
    <x v="3"/>
    <n v="0"/>
  </r>
  <r>
    <x v="5"/>
    <x v="0"/>
    <x v="0"/>
    <x v="4"/>
    <n v="4"/>
  </r>
  <r>
    <x v="5"/>
    <x v="0"/>
    <x v="0"/>
    <x v="5"/>
    <n v="0.2"/>
  </r>
  <r>
    <x v="5"/>
    <x v="0"/>
    <x v="0"/>
    <x v="6"/>
    <n v="0"/>
  </r>
  <r>
    <x v="5"/>
    <x v="0"/>
    <x v="0"/>
    <x v="7"/>
    <n v="0"/>
  </r>
  <r>
    <x v="5"/>
    <x v="0"/>
    <x v="0"/>
    <x v="8"/>
    <n v="0"/>
  </r>
  <r>
    <x v="5"/>
    <x v="0"/>
    <x v="0"/>
    <x v="9"/>
    <n v="0"/>
  </r>
  <r>
    <x v="5"/>
    <x v="0"/>
    <x v="0"/>
    <x v="10"/>
    <n v="0"/>
  </r>
  <r>
    <x v="5"/>
    <x v="0"/>
    <x v="0"/>
    <x v="11"/>
    <n v="4.2"/>
  </r>
  <r>
    <x v="6"/>
    <x v="0"/>
    <x v="0"/>
    <x v="0"/>
    <n v="28.6"/>
  </r>
  <r>
    <x v="6"/>
    <x v="0"/>
    <x v="0"/>
    <x v="1"/>
    <n v="4.5999999999999996"/>
  </r>
  <r>
    <x v="6"/>
    <x v="0"/>
    <x v="0"/>
    <x v="2"/>
    <n v="32.6"/>
  </r>
  <r>
    <x v="6"/>
    <x v="0"/>
    <x v="0"/>
    <x v="3"/>
    <n v="4.4000000000000004"/>
  </r>
  <r>
    <x v="6"/>
    <x v="0"/>
    <x v="0"/>
    <x v="4"/>
    <n v="0.15000000000000002"/>
  </r>
  <r>
    <x v="6"/>
    <x v="0"/>
    <x v="0"/>
    <x v="5"/>
    <n v="0.5"/>
  </r>
  <r>
    <x v="6"/>
    <x v="0"/>
    <x v="0"/>
    <x v="6"/>
    <n v="0"/>
  </r>
  <r>
    <x v="6"/>
    <x v="0"/>
    <x v="0"/>
    <x v="7"/>
    <n v="2.1"/>
  </r>
  <r>
    <x v="6"/>
    <x v="0"/>
    <x v="0"/>
    <x v="8"/>
    <n v="3"/>
  </r>
  <r>
    <x v="6"/>
    <x v="0"/>
    <x v="0"/>
    <x v="9"/>
    <n v="1.8"/>
  </r>
  <r>
    <x v="6"/>
    <x v="0"/>
    <x v="0"/>
    <x v="10"/>
    <n v="2.4"/>
  </r>
  <r>
    <x v="6"/>
    <x v="0"/>
    <x v="0"/>
    <x v="11"/>
    <n v="63.4"/>
  </r>
  <r>
    <x v="7"/>
    <x v="0"/>
    <x v="0"/>
    <x v="0"/>
    <n v="91.8"/>
  </r>
  <r>
    <x v="7"/>
    <x v="0"/>
    <x v="0"/>
    <x v="1"/>
    <n v="102.8"/>
  </r>
  <r>
    <x v="7"/>
    <x v="0"/>
    <x v="0"/>
    <x v="2"/>
    <n v="148.69999999999999"/>
  </r>
  <r>
    <x v="7"/>
    <x v="0"/>
    <x v="0"/>
    <x v="3"/>
    <n v="38.200000000000003"/>
  </r>
  <r>
    <x v="7"/>
    <x v="0"/>
    <x v="0"/>
    <x v="4"/>
    <n v="16.2"/>
  </r>
  <r>
    <x v="7"/>
    <x v="0"/>
    <x v="0"/>
    <x v="5"/>
    <n v="55.2"/>
  </r>
  <r>
    <x v="7"/>
    <x v="0"/>
    <x v="0"/>
    <x v="6"/>
    <n v="0"/>
  </r>
  <r>
    <x v="7"/>
    <x v="0"/>
    <x v="0"/>
    <x v="7"/>
    <n v="34.799999999999997"/>
  </r>
  <r>
    <x v="7"/>
    <x v="0"/>
    <x v="0"/>
    <x v="8"/>
    <n v="23.799999999999997"/>
  </r>
  <r>
    <x v="7"/>
    <x v="0"/>
    <x v="0"/>
    <x v="9"/>
    <n v="35.5"/>
  </r>
  <r>
    <x v="7"/>
    <x v="0"/>
    <x v="0"/>
    <x v="10"/>
    <n v="1.4"/>
  </r>
  <r>
    <x v="7"/>
    <x v="0"/>
    <x v="0"/>
    <x v="11"/>
    <n v="512.9"/>
  </r>
  <r>
    <x v="8"/>
    <x v="0"/>
    <x v="0"/>
    <x v="0"/>
    <n v="0"/>
  </r>
  <r>
    <x v="8"/>
    <x v="0"/>
    <x v="0"/>
    <x v="1"/>
    <n v="10.8"/>
  </r>
  <r>
    <x v="8"/>
    <x v="0"/>
    <x v="0"/>
    <x v="2"/>
    <n v="0"/>
  </r>
  <r>
    <x v="8"/>
    <x v="0"/>
    <x v="0"/>
    <x v="3"/>
    <n v="3.8"/>
  </r>
  <r>
    <x v="8"/>
    <x v="0"/>
    <x v="0"/>
    <x v="4"/>
    <n v="0.05"/>
  </r>
  <r>
    <x v="8"/>
    <x v="0"/>
    <x v="0"/>
    <x v="5"/>
    <n v="13.1"/>
  </r>
  <r>
    <x v="8"/>
    <x v="0"/>
    <x v="0"/>
    <x v="6"/>
    <n v="0"/>
  </r>
  <r>
    <x v="8"/>
    <x v="0"/>
    <x v="0"/>
    <x v="7"/>
    <n v="0.6"/>
  </r>
  <r>
    <x v="8"/>
    <x v="0"/>
    <x v="0"/>
    <x v="8"/>
    <n v="0.02"/>
  </r>
  <r>
    <x v="8"/>
    <x v="0"/>
    <x v="0"/>
    <x v="9"/>
    <n v="2.2999999999999998"/>
  </r>
  <r>
    <x v="8"/>
    <x v="0"/>
    <x v="0"/>
    <x v="10"/>
    <n v="0"/>
  </r>
  <r>
    <x v="8"/>
    <x v="0"/>
    <x v="0"/>
    <x v="11"/>
    <n v="33.299999999999997"/>
  </r>
  <r>
    <x v="9"/>
    <x v="0"/>
    <x v="0"/>
    <x v="0"/>
    <n v="0"/>
  </r>
  <r>
    <x v="9"/>
    <x v="0"/>
    <x v="0"/>
    <x v="1"/>
    <n v="0"/>
  </r>
  <r>
    <x v="9"/>
    <x v="0"/>
    <x v="0"/>
    <x v="2"/>
    <n v="0"/>
  </r>
  <r>
    <x v="9"/>
    <x v="0"/>
    <x v="0"/>
    <x v="3"/>
    <n v="0"/>
  </r>
  <r>
    <x v="9"/>
    <x v="0"/>
    <x v="0"/>
    <x v="4"/>
    <n v="9.6"/>
  </r>
  <r>
    <x v="9"/>
    <x v="0"/>
    <x v="0"/>
    <x v="5"/>
    <n v="0.6"/>
  </r>
  <r>
    <x v="9"/>
    <x v="0"/>
    <x v="0"/>
    <x v="6"/>
    <n v="0"/>
  </r>
  <r>
    <x v="9"/>
    <x v="0"/>
    <x v="0"/>
    <x v="7"/>
    <n v="0"/>
  </r>
  <r>
    <x v="9"/>
    <x v="0"/>
    <x v="0"/>
    <x v="8"/>
    <n v="0.03"/>
  </r>
  <r>
    <x v="9"/>
    <x v="0"/>
    <x v="0"/>
    <x v="9"/>
    <n v="0.7"/>
  </r>
  <r>
    <x v="9"/>
    <x v="0"/>
    <x v="0"/>
    <x v="10"/>
    <n v="0"/>
  </r>
  <r>
    <x v="9"/>
    <x v="0"/>
    <x v="0"/>
    <x v="11"/>
    <n v="8.1999999999999993"/>
  </r>
  <r>
    <x v="10"/>
    <x v="0"/>
    <x v="0"/>
    <x v="0"/>
    <n v="54.8"/>
  </r>
  <r>
    <x v="10"/>
    <x v="0"/>
    <x v="0"/>
    <x v="1"/>
    <n v="39.299999999999997"/>
  </r>
  <r>
    <x v="10"/>
    <x v="0"/>
    <x v="0"/>
    <x v="2"/>
    <n v="4.5"/>
  </r>
  <r>
    <x v="10"/>
    <x v="0"/>
    <x v="0"/>
    <x v="3"/>
    <n v="46.2"/>
  </r>
  <r>
    <x v="10"/>
    <x v="0"/>
    <x v="0"/>
    <x v="4"/>
    <n v="9.1999999999999993"/>
  </r>
  <r>
    <x v="10"/>
    <x v="0"/>
    <x v="0"/>
    <x v="5"/>
    <n v="51"/>
  </r>
  <r>
    <x v="10"/>
    <x v="0"/>
    <x v="0"/>
    <x v="6"/>
    <n v="0"/>
  </r>
  <r>
    <x v="10"/>
    <x v="0"/>
    <x v="0"/>
    <x v="7"/>
    <n v="13.1"/>
  </r>
  <r>
    <x v="10"/>
    <x v="0"/>
    <x v="0"/>
    <x v="8"/>
    <n v="42.4"/>
  </r>
  <r>
    <x v="10"/>
    <x v="0"/>
    <x v="0"/>
    <x v="9"/>
    <n v="5.7"/>
  </r>
  <r>
    <x v="10"/>
    <x v="0"/>
    <x v="0"/>
    <x v="10"/>
    <n v="0.20100000000000001"/>
  </r>
  <r>
    <x v="10"/>
    <x v="0"/>
    <x v="0"/>
    <x v="11"/>
    <n v="263.10000000000002"/>
  </r>
  <r>
    <x v="11"/>
    <x v="0"/>
    <x v="0"/>
    <x v="0"/>
    <n v="22.7"/>
  </r>
  <r>
    <x v="11"/>
    <x v="0"/>
    <x v="0"/>
    <x v="1"/>
    <n v="8.1999999999999993"/>
  </r>
  <r>
    <x v="11"/>
    <x v="0"/>
    <x v="0"/>
    <x v="2"/>
    <n v="0"/>
  </r>
  <r>
    <x v="11"/>
    <x v="0"/>
    <x v="0"/>
    <x v="3"/>
    <n v="5.2"/>
  </r>
  <r>
    <x v="11"/>
    <x v="0"/>
    <x v="0"/>
    <x v="4"/>
    <n v="3.2"/>
  </r>
  <r>
    <x v="11"/>
    <x v="0"/>
    <x v="0"/>
    <x v="5"/>
    <n v="1.1000000000000001"/>
  </r>
  <r>
    <x v="11"/>
    <x v="0"/>
    <x v="0"/>
    <x v="6"/>
    <n v="0"/>
  </r>
  <r>
    <x v="11"/>
    <x v="0"/>
    <x v="0"/>
    <x v="7"/>
    <n v="0"/>
  </r>
  <r>
    <x v="11"/>
    <x v="0"/>
    <x v="0"/>
    <x v="8"/>
    <n v="13.2"/>
  </r>
  <r>
    <x v="11"/>
    <x v="0"/>
    <x v="0"/>
    <x v="9"/>
    <n v="11"/>
  </r>
  <r>
    <x v="11"/>
    <x v="0"/>
    <x v="0"/>
    <x v="10"/>
    <n v="0.8"/>
  </r>
  <r>
    <x v="11"/>
    <x v="0"/>
    <x v="0"/>
    <x v="11"/>
    <n v="83.3"/>
  </r>
  <r>
    <x v="12"/>
    <x v="0"/>
    <x v="0"/>
    <x v="0"/>
    <n v="415.9"/>
  </r>
  <r>
    <x v="12"/>
    <x v="0"/>
    <x v="0"/>
    <x v="1"/>
    <n v="8.3000000000000007"/>
  </r>
  <r>
    <x v="12"/>
    <x v="0"/>
    <x v="0"/>
    <x v="2"/>
    <n v="0"/>
  </r>
  <r>
    <x v="12"/>
    <x v="0"/>
    <x v="0"/>
    <x v="3"/>
    <n v="14.4"/>
  </r>
  <r>
    <x v="12"/>
    <x v="0"/>
    <x v="0"/>
    <x v="4"/>
    <n v="4.8"/>
  </r>
  <r>
    <x v="12"/>
    <x v="0"/>
    <x v="0"/>
    <x v="5"/>
    <n v="17"/>
  </r>
  <r>
    <x v="12"/>
    <x v="0"/>
    <x v="0"/>
    <x v="6"/>
    <n v="0"/>
  </r>
  <r>
    <x v="12"/>
    <x v="0"/>
    <x v="0"/>
    <x v="7"/>
    <n v="6"/>
  </r>
  <r>
    <x v="12"/>
    <x v="0"/>
    <x v="0"/>
    <x v="8"/>
    <n v="68.400000000000006"/>
  </r>
  <r>
    <x v="12"/>
    <x v="0"/>
    <x v="0"/>
    <x v="9"/>
    <n v="6.6"/>
  </r>
  <r>
    <x v="12"/>
    <x v="0"/>
    <x v="0"/>
    <x v="10"/>
    <n v="0"/>
  </r>
  <r>
    <x v="12"/>
    <x v="0"/>
    <x v="0"/>
    <x v="11"/>
    <n v="473.59999999999997"/>
  </r>
  <r>
    <x v="13"/>
    <x v="0"/>
    <x v="0"/>
    <x v="0"/>
    <n v="59.9"/>
  </r>
  <r>
    <x v="13"/>
    <x v="0"/>
    <x v="0"/>
    <x v="1"/>
    <n v="103.8"/>
  </r>
  <r>
    <x v="13"/>
    <x v="0"/>
    <x v="0"/>
    <x v="2"/>
    <n v="0"/>
  </r>
  <r>
    <x v="13"/>
    <x v="0"/>
    <x v="0"/>
    <x v="3"/>
    <n v="87.3"/>
  </r>
  <r>
    <x v="13"/>
    <x v="0"/>
    <x v="0"/>
    <x v="4"/>
    <n v="21.300000000000022"/>
  </r>
  <r>
    <x v="13"/>
    <x v="0"/>
    <x v="0"/>
    <x v="5"/>
    <n v="21.2"/>
  </r>
  <r>
    <x v="13"/>
    <x v="0"/>
    <x v="0"/>
    <x v="6"/>
    <n v="0"/>
  </r>
  <r>
    <x v="13"/>
    <x v="0"/>
    <x v="0"/>
    <x v="7"/>
    <n v="0"/>
  </r>
  <r>
    <x v="13"/>
    <x v="0"/>
    <x v="0"/>
    <x v="8"/>
    <n v="6.6999999999999993"/>
  </r>
  <r>
    <x v="13"/>
    <x v="0"/>
    <x v="0"/>
    <x v="9"/>
    <n v="0"/>
  </r>
  <r>
    <x v="13"/>
    <x v="0"/>
    <x v="0"/>
    <x v="10"/>
    <n v="62.30000000000004"/>
  </r>
  <r>
    <x v="13"/>
    <x v="0"/>
    <x v="0"/>
    <x v="11"/>
    <n v="334.5"/>
  </r>
  <r>
    <x v="14"/>
    <x v="0"/>
    <x v="0"/>
    <x v="0"/>
    <n v="0"/>
  </r>
  <r>
    <x v="14"/>
    <x v="0"/>
    <x v="0"/>
    <x v="1"/>
    <n v="0"/>
  </r>
  <r>
    <x v="14"/>
    <x v="0"/>
    <x v="0"/>
    <x v="2"/>
    <n v="22.7"/>
  </r>
  <r>
    <x v="14"/>
    <x v="0"/>
    <x v="0"/>
    <x v="3"/>
    <n v="6.5"/>
  </r>
  <r>
    <x v="14"/>
    <x v="0"/>
    <x v="0"/>
    <x v="4"/>
    <n v="1E-3"/>
  </r>
  <r>
    <x v="14"/>
    <x v="0"/>
    <x v="0"/>
    <x v="5"/>
    <n v="3"/>
  </r>
  <r>
    <x v="14"/>
    <x v="0"/>
    <x v="0"/>
    <x v="6"/>
    <n v="0"/>
  </r>
  <r>
    <x v="14"/>
    <x v="0"/>
    <x v="0"/>
    <x v="7"/>
    <n v="3.9"/>
  </r>
  <r>
    <x v="14"/>
    <x v="0"/>
    <x v="0"/>
    <x v="8"/>
    <n v="4.5999999999999996"/>
  </r>
  <r>
    <x v="14"/>
    <x v="0"/>
    <x v="0"/>
    <x v="9"/>
    <n v="0.2"/>
  </r>
  <r>
    <x v="14"/>
    <x v="0"/>
    <x v="0"/>
    <x v="10"/>
    <n v="0"/>
  </r>
  <r>
    <x v="14"/>
    <x v="0"/>
    <x v="0"/>
    <x v="11"/>
    <n v="49.5"/>
  </r>
  <r>
    <x v="15"/>
    <x v="0"/>
    <x v="0"/>
    <x v="0"/>
    <n v="0"/>
  </r>
  <r>
    <x v="15"/>
    <x v="0"/>
    <x v="0"/>
    <x v="1"/>
    <n v="2.1"/>
  </r>
  <r>
    <x v="15"/>
    <x v="0"/>
    <x v="0"/>
    <x v="2"/>
    <n v="0"/>
  </r>
  <r>
    <x v="15"/>
    <x v="0"/>
    <x v="0"/>
    <x v="3"/>
    <n v="0.4"/>
  </r>
  <r>
    <x v="15"/>
    <x v="0"/>
    <x v="0"/>
    <x v="4"/>
    <n v="0.3"/>
  </r>
  <r>
    <x v="15"/>
    <x v="0"/>
    <x v="0"/>
    <x v="5"/>
    <n v="0.7"/>
  </r>
  <r>
    <x v="15"/>
    <x v="0"/>
    <x v="0"/>
    <x v="6"/>
    <n v="0"/>
  </r>
  <r>
    <x v="15"/>
    <x v="0"/>
    <x v="0"/>
    <x v="7"/>
    <n v="0"/>
  </r>
  <r>
    <x v="15"/>
    <x v="0"/>
    <x v="0"/>
    <x v="8"/>
    <n v="8.3000000000000007"/>
  </r>
  <r>
    <x v="15"/>
    <x v="0"/>
    <x v="0"/>
    <x v="9"/>
    <n v="0"/>
  </r>
  <r>
    <x v="15"/>
    <x v="0"/>
    <x v="0"/>
    <x v="10"/>
    <n v="0"/>
  </r>
  <r>
    <x v="15"/>
    <x v="0"/>
    <x v="0"/>
    <x v="11"/>
    <n v="16.599999999999998"/>
  </r>
  <r>
    <x v="16"/>
    <x v="0"/>
    <x v="0"/>
    <x v="0"/>
    <n v="14.6"/>
  </r>
  <r>
    <x v="16"/>
    <x v="0"/>
    <x v="0"/>
    <x v="1"/>
    <n v="0.6"/>
  </r>
  <r>
    <x v="16"/>
    <x v="0"/>
    <x v="0"/>
    <x v="2"/>
    <n v="5.5"/>
  </r>
  <r>
    <x v="16"/>
    <x v="0"/>
    <x v="0"/>
    <x v="3"/>
    <n v="2.7"/>
  </r>
  <r>
    <x v="16"/>
    <x v="0"/>
    <x v="0"/>
    <x v="4"/>
    <n v="0.04"/>
  </r>
  <r>
    <x v="16"/>
    <x v="0"/>
    <x v="0"/>
    <x v="5"/>
    <n v="0.6"/>
  </r>
  <r>
    <x v="16"/>
    <x v="0"/>
    <x v="0"/>
    <x v="6"/>
    <n v="0"/>
  </r>
  <r>
    <x v="16"/>
    <x v="0"/>
    <x v="0"/>
    <x v="7"/>
    <n v="0.01"/>
  </r>
  <r>
    <x v="16"/>
    <x v="0"/>
    <x v="0"/>
    <x v="8"/>
    <n v="0.3"/>
  </r>
  <r>
    <x v="16"/>
    <x v="0"/>
    <x v="0"/>
    <x v="9"/>
    <n v="1.7"/>
  </r>
  <r>
    <x v="16"/>
    <x v="0"/>
    <x v="0"/>
    <x v="10"/>
    <n v="0"/>
  </r>
  <r>
    <x v="16"/>
    <x v="0"/>
    <x v="0"/>
    <x v="11"/>
    <n v="39.5"/>
  </r>
  <r>
    <x v="17"/>
    <x v="0"/>
    <x v="0"/>
    <x v="0"/>
    <n v="0"/>
  </r>
  <r>
    <x v="17"/>
    <x v="0"/>
    <x v="0"/>
    <x v="1"/>
    <n v="3.9"/>
  </r>
  <r>
    <x v="17"/>
    <x v="0"/>
    <x v="0"/>
    <x v="2"/>
    <n v="2.6"/>
  </r>
  <r>
    <x v="17"/>
    <x v="0"/>
    <x v="0"/>
    <x v="3"/>
    <n v="11.6"/>
  </r>
  <r>
    <x v="17"/>
    <x v="0"/>
    <x v="0"/>
    <x v="4"/>
    <n v="0.12000000000000001"/>
  </r>
  <r>
    <x v="17"/>
    <x v="0"/>
    <x v="0"/>
    <x v="5"/>
    <n v="5.0999999999999996"/>
  </r>
  <r>
    <x v="17"/>
    <x v="0"/>
    <x v="0"/>
    <x v="6"/>
    <n v="0"/>
  </r>
  <r>
    <x v="17"/>
    <x v="0"/>
    <x v="0"/>
    <x v="7"/>
    <n v="0"/>
  </r>
  <r>
    <x v="17"/>
    <x v="0"/>
    <x v="0"/>
    <x v="8"/>
    <n v="1"/>
  </r>
  <r>
    <x v="17"/>
    <x v="0"/>
    <x v="0"/>
    <x v="9"/>
    <n v="0"/>
  </r>
  <r>
    <x v="17"/>
    <x v="0"/>
    <x v="0"/>
    <x v="10"/>
    <n v="0.2"/>
  </r>
  <r>
    <x v="17"/>
    <x v="0"/>
    <x v="0"/>
    <x v="11"/>
    <n v="26.7"/>
  </r>
  <r>
    <x v="18"/>
    <x v="0"/>
    <x v="0"/>
    <x v="0"/>
    <n v="0"/>
  </r>
  <r>
    <x v="18"/>
    <x v="0"/>
    <x v="0"/>
    <x v="1"/>
    <n v="0"/>
  </r>
  <r>
    <x v="18"/>
    <x v="0"/>
    <x v="0"/>
    <x v="2"/>
    <n v="0"/>
  </r>
  <r>
    <x v="18"/>
    <x v="0"/>
    <x v="0"/>
    <x v="3"/>
    <n v="0"/>
  </r>
  <r>
    <x v="18"/>
    <x v="0"/>
    <x v="0"/>
    <x v="4"/>
    <n v="0"/>
  </r>
  <r>
    <x v="18"/>
    <x v="0"/>
    <x v="0"/>
    <x v="5"/>
    <n v="0"/>
  </r>
  <r>
    <x v="18"/>
    <x v="0"/>
    <x v="0"/>
    <x v="6"/>
    <n v="0"/>
  </r>
  <r>
    <x v="18"/>
    <x v="0"/>
    <x v="0"/>
    <x v="7"/>
    <n v="0"/>
  </r>
  <r>
    <x v="18"/>
    <x v="0"/>
    <x v="0"/>
    <x v="8"/>
    <n v="12.8"/>
  </r>
  <r>
    <x v="18"/>
    <x v="0"/>
    <x v="0"/>
    <x v="9"/>
    <n v="0"/>
  </r>
  <r>
    <x v="18"/>
    <x v="0"/>
    <x v="0"/>
    <x v="10"/>
    <n v="4.9000000000000004"/>
  </r>
  <r>
    <x v="18"/>
    <x v="0"/>
    <x v="0"/>
    <x v="11"/>
    <n v="17.7"/>
  </r>
  <r>
    <x v="19"/>
    <x v="0"/>
    <x v="0"/>
    <x v="0"/>
    <n v="0"/>
  </r>
  <r>
    <x v="19"/>
    <x v="0"/>
    <x v="0"/>
    <x v="1"/>
    <n v="35.200000000000003"/>
  </r>
  <r>
    <x v="19"/>
    <x v="0"/>
    <x v="0"/>
    <x v="2"/>
    <n v="0"/>
  </r>
  <r>
    <x v="19"/>
    <x v="0"/>
    <x v="0"/>
    <x v="3"/>
    <n v="93.3"/>
  </r>
  <r>
    <x v="19"/>
    <x v="0"/>
    <x v="0"/>
    <x v="4"/>
    <n v="31.400000000000002"/>
  </r>
  <r>
    <x v="19"/>
    <x v="0"/>
    <x v="0"/>
    <x v="5"/>
    <n v="15.1"/>
  </r>
  <r>
    <x v="19"/>
    <x v="0"/>
    <x v="0"/>
    <x v="6"/>
    <n v="0"/>
  </r>
  <r>
    <x v="19"/>
    <x v="0"/>
    <x v="0"/>
    <x v="7"/>
    <n v="23.3"/>
  </r>
  <r>
    <x v="19"/>
    <x v="0"/>
    <x v="0"/>
    <x v="8"/>
    <n v="58.1"/>
  </r>
  <r>
    <x v="19"/>
    <x v="0"/>
    <x v="0"/>
    <x v="9"/>
    <n v="5"/>
  </r>
  <r>
    <x v="19"/>
    <x v="0"/>
    <x v="0"/>
    <x v="10"/>
    <n v="5.6"/>
  </r>
  <r>
    <x v="19"/>
    <x v="0"/>
    <x v="0"/>
    <x v="11"/>
    <n v="310.7"/>
  </r>
  <r>
    <x v="20"/>
    <x v="0"/>
    <x v="0"/>
    <x v="0"/>
    <n v="0"/>
  </r>
  <r>
    <x v="20"/>
    <x v="0"/>
    <x v="0"/>
    <x v="1"/>
    <n v="0"/>
  </r>
  <r>
    <x v="20"/>
    <x v="0"/>
    <x v="0"/>
    <x v="2"/>
    <n v="0"/>
  </r>
  <r>
    <x v="20"/>
    <x v="0"/>
    <x v="0"/>
    <x v="3"/>
    <n v="1.1000000000000001"/>
  </r>
  <r>
    <x v="20"/>
    <x v="0"/>
    <x v="0"/>
    <x v="4"/>
    <n v="0.89999999999999991"/>
  </r>
  <r>
    <x v="20"/>
    <x v="0"/>
    <x v="0"/>
    <x v="5"/>
    <n v="0.6"/>
  </r>
  <r>
    <x v="20"/>
    <x v="0"/>
    <x v="0"/>
    <x v="6"/>
    <n v="0"/>
  </r>
  <r>
    <x v="20"/>
    <x v="0"/>
    <x v="0"/>
    <x v="7"/>
    <n v="0.1"/>
  </r>
  <r>
    <x v="20"/>
    <x v="0"/>
    <x v="0"/>
    <x v="8"/>
    <n v="1.1000000000000001"/>
  </r>
  <r>
    <x v="20"/>
    <x v="0"/>
    <x v="0"/>
    <x v="9"/>
    <n v="0.3"/>
  </r>
  <r>
    <x v="20"/>
    <x v="0"/>
    <x v="0"/>
    <x v="10"/>
    <n v="0"/>
  </r>
  <r>
    <x v="20"/>
    <x v="0"/>
    <x v="0"/>
    <x v="11"/>
    <n v="11.7"/>
  </r>
  <r>
    <x v="21"/>
    <x v="0"/>
    <x v="0"/>
    <x v="0"/>
    <n v="0"/>
  </r>
  <r>
    <x v="21"/>
    <x v="0"/>
    <x v="0"/>
    <x v="1"/>
    <n v="0"/>
  </r>
  <r>
    <x v="21"/>
    <x v="0"/>
    <x v="0"/>
    <x v="2"/>
    <n v="0"/>
  </r>
  <r>
    <x v="21"/>
    <x v="0"/>
    <x v="0"/>
    <x v="3"/>
    <n v="1.4"/>
  </r>
  <r>
    <x v="21"/>
    <x v="0"/>
    <x v="0"/>
    <x v="4"/>
    <n v="0"/>
  </r>
  <r>
    <x v="21"/>
    <x v="0"/>
    <x v="0"/>
    <x v="5"/>
    <n v="0.1"/>
  </r>
  <r>
    <x v="21"/>
    <x v="0"/>
    <x v="0"/>
    <x v="6"/>
    <n v="0"/>
  </r>
  <r>
    <x v="21"/>
    <x v="0"/>
    <x v="0"/>
    <x v="7"/>
    <n v="0.1"/>
  </r>
  <r>
    <x v="21"/>
    <x v="0"/>
    <x v="0"/>
    <x v="8"/>
    <n v="1.2000000000000002"/>
  </r>
  <r>
    <x v="21"/>
    <x v="0"/>
    <x v="0"/>
    <x v="9"/>
    <n v="0.1"/>
  </r>
  <r>
    <x v="21"/>
    <x v="0"/>
    <x v="0"/>
    <x v="10"/>
    <n v="0.1"/>
  </r>
  <r>
    <x v="21"/>
    <x v="0"/>
    <x v="0"/>
    <x v="11"/>
    <n v="7.8"/>
  </r>
  <r>
    <x v="22"/>
    <x v="0"/>
    <x v="0"/>
    <x v="0"/>
    <n v="0"/>
  </r>
  <r>
    <x v="22"/>
    <x v="0"/>
    <x v="0"/>
    <x v="1"/>
    <n v="0"/>
  </r>
  <r>
    <x v="22"/>
    <x v="0"/>
    <x v="0"/>
    <x v="2"/>
    <n v="0"/>
  </r>
  <r>
    <x v="22"/>
    <x v="0"/>
    <x v="0"/>
    <x v="3"/>
    <n v="1.7"/>
  </r>
  <r>
    <x v="22"/>
    <x v="0"/>
    <x v="0"/>
    <x v="4"/>
    <n v="0.6"/>
  </r>
  <r>
    <x v="22"/>
    <x v="0"/>
    <x v="0"/>
    <x v="5"/>
    <n v="0.1"/>
  </r>
  <r>
    <x v="22"/>
    <x v="0"/>
    <x v="0"/>
    <x v="6"/>
    <n v="0"/>
  </r>
  <r>
    <x v="22"/>
    <x v="0"/>
    <x v="0"/>
    <x v="7"/>
    <n v="0"/>
  </r>
  <r>
    <x v="22"/>
    <x v="0"/>
    <x v="0"/>
    <x v="8"/>
    <n v="2.1"/>
  </r>
  <r>
    <x v="22"/>
    <x v="0"/>
    <x v="0"/>
    <x v="9"/>
    <n v="0.3"/>
  </r>
  <r>
    <x v="22"/>
    <x v="0"/>
    <x v="0"/>
    <x v="10"/>
    <n v="0.3"/>
  </r>
  <r>
    <x v="22"/>
    <x v="0"/>
    <x v="0"/>
    <x v="11"/>
    <n v="7.4"/>
  </r>
  <r>
    <x v="23"/>
    <x v="0"/>
    <x v="0"/>
    <x v="0"/>
    <n v="0"/>
  </r>
  <r>
    <x v="23"/>
    <x v="0"/>
    <x v="0"/>
    <x v="1"/>
    <n v="0"/>
  </r>
  <r>
    <x v="23"/>
    <x v="0"/>
    <x v="0"/>
    <x v="2"/>
    <n v="1.3"/>
  </r>
  <r>
    <x v="23"/>
    <x v="0"/>
    <x v="0"/>
    <x v="3"/>
    <n v="0"/>
  </r>
  <r>
    <x v="23"/>
    <x v="0"/>
    <x v="0"/>
    <x v="4"/>
    <n v="0"/>
  </r>
  <r>
    <x v="23"/>
    <x v="0"/>
    <x v="0"/>
    <x v="5"/>
    <n v="0"/>
  </r>
  <r>
    <x v="23"/>
    <x v="0"/>
    <x v="0"/>
    <x v="6"/>
    <n v="0"/>
  </r>
  <r>
    <x v="23"/>
    <x v="0"/>
    <x v="0"/>
    <x v="7"/>
    <n v="0"/>
  </r>
  <r>
    <x v="23"/>
    <x v="0"/>
    <x v="0"/>
    <x v="8"/>
    <n v="2.8"/>
  </r>
  <r>
    <x v="23"/>
    <x v="0"/>
    <x v="0"/>
    <x v="9"/>
    <n v="0"/>
  </r>
  <r>
    <x v="23"/>
    <x v="0"/>
    <x v="0"/>
    <x v="10"/>
    <n v="0"/>
  </r>
  <r>
    <x v="23"/>
    <x v="0"/>
    <x v="0"/>
    <x v="11"/>
    <n v="4.4000000000000004"/>
  </r>
  <r>
    <x v="24"/>
    <x v="0"/>
    <x v="0"/>
    <x v="0"/>
    <n v="0"/>
  </r>
  <r>
    <x v="24"/>
    <x v="0"/>
    <x v="0"/>
    <x v="1"/>
    <n v="0"/>
  </r>
  <r>
    <x v="24"/>
    <x v="0"/>
    <x v="0"/>
    <x v="2"/>
    <n v="3.5"/>
  </r>
  <r>
    <x v="24"/>
    <x v="0"/>
    <x v="0"/>
    <x v="3"/>
    <n v="0.2"/>
  </r>
  <r>
    <x v="24"/>
    <x v="0"/>
    <x v="0"/>
    <x v="4"/>
    <n v="0"/>
  </r>
  <r>
    <x v="24"/>
    <x v="0"/>
    <x v="0"/>
    <x v="5"/>
    <n v="0.04"/>
  </r>
  <r>
    <x v="24"/>
    <x v="0"/>
    <x v="0"/>
    <x v="6"/>
    <n v="0"/>
  </r>
  <r>
    <x v="24"/>
    <x v="0"/>
    <x v="0"/>
    <x v="7"/>
    <n v="0"/>
  </r>
  <r>
    <x v="24"/>
    <x v="0"/>
    <x v="0"/>
    <x v="8"/>
    <n v="1.1000000000000001"/>
  </r>
  <r>
    <x v="24"/>
    <x v="0"/>
    <x v="0"/>
    <x v="9"/>
    <n v="0"/>
  </r>
  <r>
    <x v="24"/>
    <x v="0"/>
    <x v="0"/>
    <x v="10"/>
    <n v="0"/>
  </r>
  <r>
    <x v="24"/>
    <x v="0"/>
    <x v="0"/>
    <x v="11"/>
    <n v="7.9"/>
  </r>
  <r>
    <x v="25"/>
    <x v="0"/>
    <x v="0"/>
    <x v="0"/>
    <n v="0"/>
  </r>
  <r>
    <x v="25"/>
    <x v="0"/>
    <x v="0"/>
    <x v="1"/>
    <n v="2.1"/>
  </r>
  <r>
    <x v="25"/>
    <x v="0"/>
    <x v="0"/>
    <x v="2"/>
    <n v="0"/>
  </r>
  <r>
    <x v="25"/>
    <x v="0"/>
    <x v="0"/>
    <x v="3"/>
    <n v="3.8"/>
  </r>
  <r>
    <x v="25"/>
    <x v="0"/>
    <x v="0"/>
    <x v="4"/>
    <n v="0.503"/>
  </r>
  <r>
    <x v="25"/>
    <x v="0"/>
    <x v="0"/>
    <x v="5"/>
    <n v="1.4"/>
  </r>
  <r>
    <x v="25"/>
    <x v="0"/>
    <x v="0"/>
    <x v="6"/>
    <n v="0"/>
  </r>
  <r>
    <x v="25"/>
    <x v="0"/>
    <x v="0"/>
    <x v="7"/>
    <n v="0"/>
  </r>
  <r>
    <x v="25"/>
    <x v="0"/>
    <x v="0"/>
    <x v="8"/>
    <n v="1.0999999999999999E-2"/>
  </r>
  <r>
    <x v="25"/>
    <x v="0"/>
    <x v="0"/>
    <x v="9"/>
    <n v="0.1"/>
  </r>
  <r>
    <x v="25"/>
    <x v="0"/>
    <x v="0"/>
    <x v="10"/>
    <n v="0.04"/>
  </r>
  <r>
    <x v="25"/>
    <x v="0"/>
    <x v="0"/>
    <x v="11"/>
    <n v="9.3000000000000007"/>
  </r>
  <r>
    <x v="26"/>
    <x v="0"/>
    <x v="0"/>
    <x v="0"/>
    <n v="4.0999999999999996"/>
  </r>
  <r>
    <x v="26"/>
    <x v="0"/>
    <x v="0"/>
    <x v="1"/>
    <n v="0"/>
  </r>
  <r>
    <x v="26"/>
    <x v="0"/>
    <x v="0"/>
    <x v="2"/>
    <n v="0"/>
  </r>
  <r>
    <x v="26"/>
    <x v="0"/>
    <x v="0"/>
    <x v="3"/>
    <n v="0"/>
  </r>
  <r>
    <x v="26"/>
    <x v="0"/>
    <x v="0"/>
    <x v="4"/>
    <n v="80.400000000000006"/>
  </r>
  <r>
    <x v="26"/>
    <x v="0"/>
    <x v="0"/>
    <x v="5"/>
    <n v="5.8"/>
  </r>
  <r>
    <x v="26"/>
    <x v="0"/>
    <x v="0"/>
    <x v="6"/>
    <n v="0"/>
  </r>
  <r>
    <x v="26"/>
    <x v="0"/>
    <x v="0"/>
    <x v="7"/>
    <n v="0.1"/>
  </r>
  <r>
    <x v="26"/>
    <x v="0"/>
    <x v="0"/>
    <x v="8"/>
    <n v="0.1"/>
  </r>
  <r>
    <x v="26"/>
    <x v="0"/>
    <x v="0"/>
    <x v="9"/>
    <n v="5.8"/>
  </r>
  <r>
    <x v="26"/>
    <x v="0"/>
    <x v="0"/>
    <x v="10"/>
    <n v="0"/>
  </r>
  <r>
    <x v="26"/>
    <x v="0"/>
    <x v="0"/>
    <x v="11"/>
    <n v="110.9"/>
  </r>
  <r>
    <x v="27"/>
    <x v="0"/>
    <x v="0"/>
    <x v="0"/>
    <n v="0"/>
  </r>
  <r>
    <x v="27"/>
    <x v="0"/>
    <x v="0"/>
    <x v="1"/>
    <n v="0"/>
  </r>
  <r>
    <x v="27"/>
    <x v="0"/>
    <x v="0"/>
    <x v="2"/>
    <n v="0"/>
  </r>
  <r>
    <x v="27"/>
    <x v="0"/>
    <x v="0"/>
    <x v="3"/>
    <n v="3.5"/>
  </r>
  <r>
    <x v="27"/>
    <x v="0"/>
    <x v="0"/>
    <x v="4"/>
    <n v="0"/>
  </r>
  <r>
    <x v="27"/>
    <x v="0"/>
    <x v="0"/>
    <x v="5"/>
    <n v="2.2999999999999998"/>
  </r>
  <r>
    <x v="27"/>
    <x v="0"/>
    <x v="0"/>
    <x v="6"/>
    <n v="0"/>
  </r>
  <r>
    <x v="27"/>
    <x v="0"/>
    <x v="0"/>
    <x v="7"/>
    <n v="0"/>
  </r>
  <r>
    <x v="27"/>
    <x v="0"/>
    <x v="0"/>
    <x v="8"/>
    <n v="136.6"/>
  </r>
  <r>
    <x v="27"/>
    <x v="0"/>
    <x v="0"/>
    <x v="9"/>
    <n v="0"/>
  </r>
  <r>
    <x v="27"/>
    <x v="0"/>
    <x v="0"/>
    <x v="10"/>
    <n v="0"/>
  </r>
  <r>
    <x v="27"/>
    <x v="0"/>
    <x v="0"/>
    <x v="11"/>
    <n v="126.8"/>
  </r>
  <r>
    <x v="28"/>
    <x v="0"/>
    <x v="0"/>
    <x v="0"/>
    <n v="0"/>
  </r>
  <r>
    <x v="28"/>
    <x v="0"/>
    <x v="0"/>
    <x v="1"/>
    <n v="67.2"/>
  </r>
  <r>
    <x v="28"/>
    <x v="0"/>
    <x v="0"/>
    <x v="2"/>
    <n v="49.6"/>
  </r>
  <r>
    <x v="28"/>
    <x v="0"/>
    <x v="0"/>
    <x v="3"/>
    <n v="3.2"/>
  </r>
  <r>
    <x v="28"/>
    <x v="0"/>
    <x v="0"/>
    <x v="4"/>
    <n v="8.6"/>
  </r>
  <r>
    <x v="28"/>
    <x v="0"/>
    <x v="0"/>
    <x v="5"/>
    <n v="7.3"/>
  </r>
  <r>
    <x v="28"/>
    <x v="0"/>
    <x v="0"/>
    <x v="6"/>
    <n v="0"/>
  </r>
  <r>
    <x v="28"/>
    <x v="0"/>
    <x v="0"/>
    <x v="7"/>
    <n v="2E-3"/>
  </r>
  <r>
    <x v="28"/>
    <x v="0"/>
    <x v="0"/>
    <x v="8"/>
    <n v="2.8000000000000003"/>
  </r>
  <r>
    <x v="28"/>
    <x v="0"/>
    <x v="0"/>
    <x v="9"/>
    <n v="7"/>
  </r>
  <r>
    <x v="28"/>
    <x v="0"/>
    <x v="0"/>
    <x v="10"/>
    <n v="0"/>
  </r>
  <r>
    <x v="28"/>
    <x v="0"/>
    <x v="0"/>
    <x v="11"/>
    <n v="147.70000000000002"/>
  </r>
  <r>
    <x v="29"/>
    <x v="0"/>
    <x v="0"/>
    <x v="0"/>
    <n v="0"/>
  </r>
  <r>
    <x v="29"/>
    <x v="0"/>
    <x v="0"/>
    <x v="1"/>
    <n v="11.1"/>
  </r>
  <r>
    <x v="29"/>
    <x v="0"/>
    <x v="0"/>
    <x v="2"/>
    <n v="0"/>
  </r>
  <r>
    <x v="29"/>
    <x v="0"/>
    <x v="0"/>
    <x v="3"/>
    <n v="6.3"/>
  </r>
  <r>
    <x v="29"/>
    <x v="0"/>
    <x v="0"/>
    <x v="4"/>
    <n v="0.30000000000000004"/>
  </r>
  <r>
    <x v="29"/>
    <x v="0"/>
    <x v="0"/>
    <x v="5"/>
    <n v="11.8"/>
  </r>
  <r>
    <x v="29"/>
    <x v="0"/>
    <x v="0"/>
    <x v="6"/>
    <n v="0"/>
  </r>
  <r>
    <x v="29"/>
    <x v="0"/>
    <x v="0"/>
    <x v="7"/>
    <n v="0.6"/>
  </r>
  <r>
    <x v="29"/>
    <x v="0"/>
    <x v="0"/>
    <x v="8"/>
    <n v="16.2"/>
  </r>
  <r>
    <x v="29"/>
    <x v="0"/>
    <x v="0"/>
    <x v="9"/>
    <n v="2.7"/>
  </r>
  <r>
    <x v="29"/>
    <x v="0"/>
    <x v="0"/>
    <x v="10"/>
    <n v="0"/>
  </r>
  <r>
    <x v="29"/>
    <x v="0"/>
    <x v="0"/>
    <x v="11"/>
    <n v="49.9"/>
  </r>
  <r>
    <x v="30"/>
    <x v="0"/>
    <x v="0"/>
    <x v="0"/>
    <n v="10.7"/>
  </r>
  <r>
    <x v="30"/>
    <x v="0"/>
    <x v="0"/>
    <x v="1"/>
    <n v="2.5"/>
  </r>
  <r>
    <x v="30"/>
    <x v="0"/>
    <x v="0"/>
    <x v="2"/>
    <n v="13.3"/>
  </r>
  <r>
    <x v="30"/>
    <x v="0"/>
    <x v="0"/>
    <x v="3"/>
    <n v="2.7"/>
  </r>
  <r>
    <x v="30"/>
    <x v="0"/>
    <x v="0"/>
    <x v="4"/>
    <n v="4.5"/>
  </r>
  <r>
    <x v="30"/>
    <x v="0"/>
    <x v="0"/>
    <x v="5"/>
    <n v="6.1"/>
  </r>
  <r>
    <x v="30"/>
    <x v="0"/>
    <x v="0"/>
    <x v="6"/>
    <n v="0"/>
  </r>
  <r>
    <x v="30"/>
    <x v="0"/>
    <x v="0"/>
    <x v="7"/>
    <n v="1.6"/>
  </r>
  <r>
    <x v="30"/>
    <x v="0"/>
    <x v="0"/>
    <x v="8"/>
    <n v="18.600000000000001"/>
  </r>
  <r>
    <x v="30"/>
    <x v="0"/>
    <x v="0"/>
    <x v="9"/>
    <n v="0.5"/>
  </r>
  <r>
    <x v="30"/>
    <x v="0"/>
    <x v="0"/>
    <x v="10"/>
    <n v="0"/>
  </r>
  <r>
    <x v="30"/>
    <x v="0"/>
    <x v="0"/>
    <x v="11"/>
    <n v="53.599999999999994"/>
  </r>
  <r>
    <x v="31"/>
    <x v="0"/>
    <x v="0"/>
    <x v="0"/>
    <n v="0"/>
  </r>
  <r>
    <x v="31"/>
    <x v="0"/>
    <x v="0"/>
    <x v="1"/>
    <n v="0"/>
  </r>
  <r>
    <x v="31"/>
    <x v="0"/>
    <x v="0"/>
    <x v="2"/>
    <n v="25.3"/>
  </r>
  <r>
    <x v="31"/>
    <x v="0"/>
    <x v="0"/>
    <x v="3"/>
    <n v="0.1"/>
  </r>
  <r>
    <x v="31"/>
    <x v="0"/>
    <x v="0"/>
    <x v="4"/>
    <n v="0"/>
  </r>
  <r>
    <x v="31"/>
    <x v="0"/>
    <x v="0"/>
    <x v="5"/>
    <n v="0"/>
  </r>
  <r>
    <x v="31"/>
    <x v="0"/>
    <x v="0"/>
    <x v="6"/>
    <n v="0"/>
  </r>
  <r>
    <x v="31"/>
    <x v="0"/>
    <x v="0"/>
    <x v="7"/>
    <n v="0"/>
  </r>
  <r>
    <x v="31"/>
    <x v="0"/>
    <x v="0"/>
    <x v="8"/>
    <n v="11.5"/>
  </r>
  <r>
    <x v="31"/>
    <x v="0"/>
    <x v="0"/>
    <x v="9"/>
    <n v="0"/>
  </r>
  <r>
    <x v="31"/>
    <x v="0"/>
    <x v="0"/>
    <x v="10"/>
    <n v="0"/>
  </r>
  <r>
    <x v="31"/>
    <x v="0"/>
    <x v="0"/>
    <x v="11"/>
    <n v="39.1"/>
  </r>
  <r>
    <x v="32"/>
    <x v="0"/>
    <x v="0"/>
    <x v="0"/>
    <n v="62.2"/>
  </r>
  <r>
    <x v="32"/>
    <x v="0"/>
    <x v="0"/>
    <x v="1"/>
    <n v="0.5"/>
  </r>
  <r>
    <x v="32"/>
    <x v="0"/>
    <x v="0"/>
    <x v="2"/>
    <n v="0"/>
  </r>
  <r>
    <x v="32"/>
    <x v="0"/>
    <x v="0"/>
    <x v="3"/>
    <n v="0.9"/>
  </r>
  <r>
    <x v="32"/>
    <x v="0"/>
    <x v="0"/>
    <x v="4"/>
    <n v="2.1"/>
  </r>
  <r>
    <x v="32"/>
    <x v="0"/>
    <x v="0"/>
    <x v="5"/>
    <n v="11.5"/>
  </r>
  <r>
    <x v="32"/>
    <x v="0"/>
    <x v="0"/>
    <x v="6"/>
    <n v="0"/>
  </r>
  <r>
    <x v="32"/>
    <x v="0"/>
    <x v="0"/>
    <x v="7"/>
    <n v="0"/>
  </r>
  <r>
    <x v="32"/>
    <x v="0"/>
    <x v="0"/>
    <x v="8"/>
    <n v="64.2"/>
  </r>
  <r>
    <x v="32"/>
    <x v="0"/>
    <x v="0"/>
    <x v="9"/>
    <n v="9.8000000000000007"/>
  </r>
  <r>
    <x v="32"/>
    <x v="0"/>
    <x v="0"/>
    <x v="10"/>
    <n v="0"/>
  </r>
  <r>
    <x v="32"/>
    <x v="0"/>
    <x v="0"/>
    <x v="11"/>
    <n v="135.6"/>
  </r>
  <r>
    <x v="33"/>
    <x v="0"/>
    <x v="0"/>
    <x v="0"/>
    <n v="6.1"/>
  </r>
  <r>
    <x v="33"/>
    <x v="0"/>
    <x v="0"/>
    <x v="1"/>
    <n v="0.5"/>
  </r>
  <r>
    <x v="33"/>
    <x v="0"/>
    <x v="0"/>
    <x v="2"/>
    <n v="2.8"/>
  </r>
  <r>
    <x v="33"/>
    <x v="0"/>
    <x v="0"/>
    <x v="3"/>
    <n v="0.01"/>
  </r>
  <r>
    <x v="33"/>
    <x v="0"/>
    <x v="0"/>
    <x v="4"/>
    <n v="0.1"/>
  </r>
  <r>
    <x v="33"/>
    <x v="0"/>
    <x v="0"/>
    <x v="5"/>
    <n v="2E-3"/>
  </r>
  <r>
    <x v="33"/>
    <x v="0"/>
    <x v="0"/>
    <x v="6"/>
    <n v="0"/>
  </r>
  <r>
    <x v="33"/>
    <x v="0"/>
    <x v="0"/>
    <x v="7"/>
    <n v="0.2"/>
  </r>
  <r>
    <x v="33"/>
    <x v="0"/>
    <x v="0"/>
    <x v="8"/>
    <n v="6.3"/>
  </r>
  <r>
    <x v="33"/>
    <x v="0"/>
    <x v="0"/>
    <x v="9"/>
    <n v="0.1"/>
  </r>
  <r>
    <x v="33"/>
    <x v="0"/>
    <x v="0"/>
    <x v="10"/>
    <n v="0.2"/>
  </r>
  <r>
    <x v="33"/>
    <x v="0"/>
    <x v="0"/>
    <x v="11"/>
    <n v="13.6"/>
  </r>
  <r>
    <x v="34"/>
    <x v="0"/>
    <x v="0"/>
    <x v="0"/>
    <n v="14.5"/>
  </r>
  <r>
    <x v="34"/>
    <x v="0"/>
    <x v="0"/>
    <x v="1"/>
    <n v="1"/>
  </r>
  <r>
    <x v="34"/>
    <x v="0"/>
    <x v="0"/>
    <x v="2"/>
    <n v="1.7"/>
  </r>
  <r>
    <x v="34"/>
    <x v="0"/>
    <x v="0"/>
    <x v="3"/>
    <n v="1.7"/>
  </r>
  <r>
    <x v="34"/>
    <x v="0"/>
    <x v="0"/>
    <x v="4"/>
    <n v="0.2"/>
  </r>
  <r>
    <x v="34"/>
    <x v="0"/>
    <x v="0"/>
    <x v="5"/>
    <n v="0.01"/>
  </r>
  <r>
    <x v="34"/>
    <x v="0"/>
    <x v="0"/>
    <x v="6"/>
    <n v="0"/>
  </r>
  <r>
    <x v="34"/>
    <x v="0"/>
    <x v="0"/>
    <x v="7"/>
    <n v="0.5"/>
  </r>
  <r>
    <x v="34"/>
    <x v="0"/>
    <x v="0"/>
    <x v="8"/>
    <n v="4.5"/>
  </r>
  <r>
    <x v="34"/>
    <x v="0"/>
    <x v="0"/>
    <x v="9"/>
    <n v="0.9"/>
  </r>
  <r>
    <x v="34"/>
    <x v="0"/>
    <x v="0"/>
    <x v="10"/>
    <n v="0.4"/>
  </r>
  <r>
    <x v="34"/>
    <x v="0"/>
    <x v="0"/>
    <x v="11"/>
    <n v="26.400000000000002"/>
  </r>
  <r>
    <x v="35"/>
    <x v="0"/>
    <x v="0"/>
    <x v="0"/>
    <n v="859"/>
  </r>
  <r>
    <x v="35"/>
    <x v="0"/>
    <x v="0"/>
    <x v="1"/>
    <n v="413.9"/>
  </r>
  <r>
    <x v="35"/>
    <x v="0"/>
    <x v="0"/>
    <x v="2"/>
    <n v="338.4"/>
  </r>
  <r>
    <x v="35"/>
    <x v="0"/>
    <x v="0"/>
    <x v="3"/>
    <n v="365.5"/>
  </r>
  <r>
    <x v="35"/>
    <x v="0"/>
    <x v="0"/>
    <x v="4"/>
    <n v="182.5"/>
  </r>
  <r>
    <x v="35"/>
    <x v="0"/>
    <x v="0"/>
    <x v="5"/>
    <n v="240"/>
  </r>
  <r>
    <x v="35"/>
    <x v="0"/>
    <x v="0"/>
    <x v="6"/>
    <n v="0"/>
  </r>
  <r>
    <x v="35"/>
    <x v="0"/>
    <x v="0"/>
    <x v="7"/>
    <n v="90.9"/>
  </r>
  <r>
    <x v="35"/>
    <x v="0"/>
    <x v="0"/>
    <x v="8"/>
    <n v="603"/>
  </r>
  <r>
    <x v="35"/>
    <x v="0"/>
    <x v="0"/>
    <x v="9"/>
    <n v="102.7"/>
  </r>
  <r>
    <x v="35"/>
    <x v="0"/>
    <x v="0"/>
    <x v="10"/>
    <n v="29.599999999999998"/>
  </r>
  <r>
    <x v="35"/>
    <x v="0"/>
    <x v="0"/>
    <x v="11"/>
    <n v="3258.1"/>
  </r>
  <r>
    <x v="0"/>
    <x v="1"/>
    <x v="0"/>
    <x v="0"/>
    <n v="0"/>
  </r>
  <r>
    <x v="0"/>
    <x v="1"/>
    <x v="0"/>
    <x v="1"/>
    <n v="3"/>
  </r>
  <r>
    <x v="0"/>
    <x v="1"/>
    <x v="0"/>
    <x v="2"/>
    <n v="0"/>
  </r>
  <r>
    <x v="0"/>
    <x v="1"/>
    <x v="0"/>
    <x v="3"/>
    <n v="7.5"/>
  </r>
  <r>
    <x v="0"/>
    <x v="1"/>
    <x v="0"/>
    <x v="4"/>
    <n v="3.6"/>
  </r>
  <r>
    <x v="0"/>
    <x v="1"/>
    <x v="0"/>
    <x v="5"/>
    <n v="3.6"/>
  </r>
  <r>
    <x v="0"/>
    <x v="1"/>
    <x v="0"/>
    <x v="6"/>
    <n v="0"/>
  </r>
  <r>
    <x v="0"/>
    <x v="1"/>
    <x v="0"/>
    <x v="7"/>
    <n v="0.4"/>
  </r>
  <r>
    <x v="0"/>
    <x v="1"/>
    <x v="0"/>
    <x v="8"/>
    <n v="36.300000000000004"/>
  </r>
  <r>
    <x v="0"/>
    <x v="1"/>
    <x v="0"/>
    <x v="9"/>
    <n v="2.5"/>
  </r>
  <r>
    <x v="0"/>
    <x v="1"/>
    <x v="0"/>
    <x v="10"/>
    <n v="7.8"/>
  </r>
  <r>
    <x v="0"/>
    <x v="1"/>
    <x v="0"/>
    <x v="11"/>
    <n v="74.699999999999989"/>
  </r>
  <r>
    <x v="1"/>
    <x v="1"/>
    <x v="0"/>
    <x v="0"/>
    <n v="0"/>
  </r>
  <r>
    <x v="1"/>
    <x v="1"/>
    <x v="0"/>
    <x v="1"/>
    <n v="0"/>
  </r>
  <r>
    <x v="1"/>
    <x v="1"/>
    <x v="0"/>
    <x v="2"/>
    <n v="8.5"/>
  </r>
  <r>
    <x v="1"/>
    <x v="1"/>
    <x v="0"/>
    <x v="3"/>
    <n v="0"/>
  </r>
  <r>
    <x v="1"/>
    <x v="1"/>
    <x v="0"/>
    <x v="4"/>
    <n v="0"/>
  </r>
  <r>
    <x v="1"/>
    <x v="1"/>
    <x v="0"/>
    <x v="5"/>
    <n v="0"/>
  </r>
  <r>
    <x v="1"/>
    <x v="1"/>
    <x v="0"/>
    <x v="6"/>
    <n v="0"/>
  </r>
  <r>
    <x v="1"/>
    <x v="1"/>
    <x v="0"/>
    <x v="7"/>
    <n v="0"/>
  </r>
  <r>
    <x v="1"/>
    <x v="1"/>
    <x v="0"/>
    <x v="8"/>
    <n v="5.6"/>
  </r>
  <r>
    <x v="1"/>
    <x v="1"/>
    <x v="0"/>
    <x v="9"/>
    <n v="0"/>
  </r>
  <r>
    <x v="1"/>
    <x v="1"/>
    <x v="0"/>
    <x v="10"/>
    <n v="0"/>
  </r>
  <r>
    <x v="1"/>
    <x v="1"/>
    <x v="0"/>
    <x v="11"/>
    <n v="12"/>
  </r>
  <r>
    <x v="2"/>
    <x v="1"/>
    <x v="0"/>
    <x v="0"/>
    <n v="24.6"/>
  </r>
  <r>
    <x v="2"/>
    <x v="1"/>
    <x v="0"/>
    <x v="1"/>
    <n v="4"/>
  </r>
  <r>
    <x v="2"/>
    <x v="1"/>
    <x v="0"/>
    <x v="2"/>
    <n v="0"/>
  </r>
  <r>
    <x v="2"/>
    <x v="1"/>
    <x v="0"/>
    <x v="3"/>
    <n v="20.8"/>
  </r>
  <r>
    <x v="2"/>
    <x v="1"/>
    <x v="0"/>
    <x v="4"/>
    <n v="1.2000000000000002"/>
  </r>
  <r>
    <x v="2"/>
    <x v="1"/>
    <x v="0"/>
    <x v="5"/>
    <n v="5.4"/>
  </r>
  <r>
    <x v="2"/>
    <x v="1"/>
    <x v="0"/>
    <x v="6"/>
    <n v="0"/>
  </r>
  <r>
    <x v="2"/>
    <x v="1"/>
    <x v="0"/>
    <x v="7"/>
    <n v="3"/>
  </r>
  <r>
    <x v="2"/>
    <x v="1"/>
    <x v="0"/>
    <x v="8"/>
    <n v="1.4000000000000001"/>
  </r>
  <r>
    <x v="2"/>
    <x v="1"/>
    <x v="0"/>
    <x v="9"/>
    <n v="2.8"/>
  </r>
  <r>
    <x v="2"/>
    <x v="1"/>
    <x v="0"/>
    <x v="10"/>
    <n v="2.2000000000000002"/>
  </r>
  <r>
    <x v="2"/>
    <x v="1"/>
    <x v="0"/>
    <x v="11"/>
    <n v="86.4"/>
  </r>
  <r>
    <x v="3"/>
    <x v="1"/>
    <x v="0"/>
    <x v="0"/>
    <n v="14.3"/>
  </r>
  <r>
    <x v="3"/>
    <x v="1"/>
    <x v="0"/>
    <x v="1"/>
    <n v="1"/>
  </r>
  <r>
    <x v="3"/>
    <x v="1"/>
    <x v="0"/>
    <x v="2"/>
    <n v="18.8"/>
  </r>
  <r>
    <x v="3"/>
    <x v="1"/>
    <x v="0"/>
    <x v="3"/>
    <n v="1.3"/>
  </r>
  <r>
    <x v="3"/>
    <x v="1"/>
    <x v="0"/>
    <x v="4"/>
    <n v="0"/>
  </r>
  <r>
    <x v="3"/>
    <x v="1"/>
    <x v="0"/>
    <x v="5"/>
    <n v="1.4"/>
  </r>
  <r>
    <x v="3"/>
    <x v="1"/>
    <x v="0"/>
    <x v="6"/>
    <n v="0"/>
  </r>
  <r>
    <x v="3"/>
    <x v="1"/>
    <x v="0"/>
    <x v="7"/>
    <n v="1.4"/>
  </r>
  <r>
    <x v="3"/>
    <x v="1"/>
    <x v="0"/>
    <x v="8"/>
    <n v="6.2"/>
  </r>
  <r>
    <x v="3"/>
    <x v="1"/>
    <x v="0"/>
    <x v="9"/>
    <n v="0.2"/>
  </r>
  <r>
    <x v="3"/>
    <x v="1"/>
    <x v="0"/>
    <x v="10"/>
    <n v="0"/>
  </r>
  <r>
    <x v="3"/>
    <x v="1"/>
    <x v="0"/>
    <x v="11"/>
    <n v="33.900000000000006"/>
  </r>
  <r>
    <x v="4"/>
    <x v="1"/>
    <x v="0"/>
    <x v="0"/>
    <n v="22.1"/>
  </r>
  <r>
    <x v="4"/>
    <x v="1"/>
    <x v="0"/>
    <x v="1"/>
    <n v="0"/>
  </r>
  <r>
    <x v="4"/>
    <x v="1"/>
    <x v="0"/>
    <x v="2"/>
    <n v="0"/>
  </r>
  <r>
    <x v="4"/>
    <x v="1"/>
    <x v="0"/>
    <x v="3"/>
    <n v="0"/>
  </r>
  <r>
    <x v="4"/>
    <x v="1"/>
    <x v="0"/>
    <x v="4"/>
    <n v="2.2000000000000002"/>
  </r>
  <r>
    <x v="4"/>
    <x v="1"/>
    <x v="0"/>
    <x v="5"/>
    <n v="0.1"/>
  </r>
  <r>
    <x v="4"/>
    <x v="1"/>
    <x v="0"/>
    <x v="6"/>
    <n v="0"/>
  </r>
  <r>
    <x v="4"/>
    <x v="1"/>
    <x v="0"/>
    <x v="7"/>
    <n v="0"/>
  </r>
  <r>
    <x v="4"/>
    <x v="1"/>
    <x v="0"/>
    <x v="8"/>
    <n v="39.6"/>
  </r>
  <r>
    <x v="4"/>
    <x v="1"/>
    <x v="0"/>
    <x v="9"/>
    <n v="0"/>
  </r>
  <r>
    <x v="4"/>
    <x v="1"/>
    <x v="0"/>
    <x v="10"/>
    <n v="2"/>
  </r>
  <r>
    <x v="4"/>
    <x v="1"/>
    <x v="0"/>
    <x v="11"/>
    <n v="65.7"/>
  </r>
  <r>
    <x v="5"/>
    <x v="1"/>
    <x v="0"/>
    <x v="0"/>
    <n v="0"/>
  </r>
  <r>
    <x v="5"/>
    <x v="1"/>
    <x v="0"/>
    <x v="1"/>
    <n v="0"/>
  </r>
  <r>
    <x v="5"/>
    <x v="1"/>
    <x v="0"/>
    <x v="2"/>
    <n v="0"/>
  </r>
  <r>
    <x v="5"/>
    <x v="1"/>
    <x v="0"/>
    <x v="3"/>
    <n v="0"/>
  </r>
  <r>
    <x v="5"/>
    <x v="1"/>
    <x v="0"/>
    <x v="4"/>
    <n v="4.2"/>
  </r>
  <r>
    <x v="5"/>
    <x v="1"/>
    <x v="0"/>
    <x v="5"/>
    <n v="0.2"/>
  </r>
  <r>
    <x v="5"/>
    <x v="1"/>
    <x v="0"/>
    <x v="6"/>
    <n v="0"/>
  </r>
  <r>
    <x v="5"/>
    <x v="1"/>
    <x v="0"/>
    <x v="7"/>
    <n v="0"/>
  </r>
  <r>
    <x v="5"/>
    <x v="1"/>
    <x v="0"/>
    <x v="8"/>
    <n v="0"/>
  </r>
  <r>
    <x v="5"/>
    <x v="1"/>
    <x v="0"/>
    <x v="9"/>
    <n v="0"/>
  </r>
  <r>
    <x v="5"/>
    <x v="1"/>
    <x v="0"/>
    <x v="10"/>
    <n v="0"/>
  </r>
  <r>
    <x v="5"/>
    <x v="1"/>
    <x v="0"/>
    <x v="11"/>
    <n v="4.4000000000000004"/>
  </r>
  <r>
    <x v="6"/>
    <x v="1"/>
    <x v="0"/>
    <x v="0"/>
    <n v="25.3"/>
  </r>
  <r>
    <x v="6"/>
    <x v="1"/>
    <x v="0"/>
    <x v="1"/>
    <n v="4.8"/>
  </r>
  <r>
    <x v="6"/>
    <x v="1"/>
    <x v="0"/>
    <x v="2"/>
    <n v="32.200000000000003"/>
  </r>
  <r>
    <x v="6"/>
    <x v="1"/>
    <x v="0"/>
    <x v="3"/>
    <n v="4.9000000000000004"/>
  </r>
  <r>
    <x v="6"/>
    <x v="1"/>
    <x v="0"/>
    <x v="4"/>
    <n v="0.1"/>
  </r>
  <r>
    <x v="6"/>
    <x v="1"/>
    <x v="0"/>
    <x v="5"/>
    <n v="0.6"/>
  </r>
  <r>
    <x v="6"/>
    <x v="1"/>
    <x v="0"/>
    <x v="6"/>
    <n v="0"/>
  </r>
  <r>
    <x v="6"/>
    <x v="1"/>
    <x v="0"/>
    <x v="7"/>
    <n v="2.2000000000000002"/>
  </r>
  <r>
    <x v="6"/>
    <x v="1"/>
    <x v="0"/>
    <x v="8"/>
    <n v="3"/>
  </r>
  <r>
    <x v="6"/>
    <x v="1"/>
    <x v="0"/>
    <x v="9"/>
    <n v="1.9"/>
  </r>
  <r>
    <x v="6"/>
    <x v="1"/>
    <x v="0"/>
    <x v="10"/>
    <n v="2.4"/>
  </r>
  <r>
    <x v="6"/>
    <x v="1"/>
    <x v="0"/>
    <x v="11"/>
    <n v="65"/>
  </r>
  <r>
    <x v="7"/>
    <x v="1"/>
    <x v="0"/>
    <x v="0"/>
    <n v="86.8"/>
  </r>
  <r>
    <x v="7"/>
    <x v="1"/>
    <x v="0"/>
    <x v="1"/>
    <n v="107.1"/>
  </r>
  <r>
    <x v="7"/>
    <x v="1"/>
    <x v="0"/>
    <x v="2"/>
    <n v="143.1"/>
  </r>
  <r>
    <x v="7"/>
    <x v="1"/>
    <x v="0"/>
    <x v="3"/>
    <n v="53.2"/>
  </r>
  <r>
    <x v="7"/>
    <x v="1"/>
    <x v="0"/>
    <x v="4"/>
    <n v="16.100000000000001"/>
  </r>
  <r>
    <x v="7"/>
    <x v="1"/>
    <x v="0"/>
    <x v="5"/>
    <n v="75.7"/>
  </r>
  <r>
    <x v="7"/>
    <x v="1"/>
    <x v="0"/>
    <x v="6"/>
    <n v="0"/>
  </r>
  <r>
    <x v="7"/>
    <x v="1"/>
    <x v="0"/>
    <x v="7"/>
    <n v="35.200000000000003"/>
  </r>
  <r>
    <x v="7"/>
    <x v="1"/>
    <x v="0"/>
    <x v="8"/>
    <n v="23.700000000000003"/>
  </r>
  <r>
    <x v="7"/>
    <x v="1"/>
    <x v="0"/>
    <x v="9"/>
    <n v="38.5"/>
  </r>
  <r>
    <x v="7"/>
    <x v="1"/>
    <x v="0"/>
    <x v="10"/>
    <n v="1.2"/>
  </r>
  <r>
    <x v="7"/>
    <x v="1"/>
    <x v="0"/>
    <x v="11"/>
    <n v="528.70000000000005"/>
  </r>
  <r>
    <x v="8"/>
    <x v="1"/>
    <x v="0"/>
    <x v="0"/>
    <n v="0"/>
  </r>
  <r>
    <x v="8"/>
    <x v="1"/>
    <x v="0"/>
    <x v="1"/>
    <n v="6.9"/>
  </r>
  <r>
    <x v="8"/>
    <x v="1"/>
    <x v="0"/>
    <x v="2"/>
    <n v="0"/>
  </r>
  <r>
    <x v="8"/>
    <x v="1"/>
    <x v="0"/>
    <x v="3"/>
    <n v="3.5"/>
  </r>
  <r>
    <x v="8"/>
    <x v="1"/>
    <x v="0"/>
    <x v="4"/>
    <n v="0.1"/>
  </r>
  <r>
    <x v="8"/>
    <x v="1"/>
    <x v="0"/>
    <x v="5"/>
    <n v="14.1"/>
  </r>
  <r>
    <x v="8"/>
    <x v="1"/>
    <x v="0"/>
    <x v="6"/>
    <n v="0"/>
  </r>
  <r>
    <x v="8"/>
    <x v="1"/>
    <x v="0"/>
    <x v="7"/>
    <n v="0.6"/>
  </r>
  <r>
    <x v="8"/>
    <x v="1"/>
    <x v="0"/>
    <x v="8"/>
    <n v="0"/>
  </r>
  <r>
    <x v="8"/>
    <x v="1"/>
    <x v="0"/>
    <x v="9"/>
    <n v="2.2999999999999998"/>
  </r>
  <r>
    <x v="8"/>
    <x v="1"/>
    <x v="0"/>
    <x v="10"/>
    <n v="0"/>
  </r>
  <r>
    <x v="8"/>
    <x v="1"/>
    <x v="0"/>
    <x v="11"/>
    <n v="32.4"/>
  </r>
  <r>
    <x v="9"/>
    <x v="1"/>
    <x v="0"/>
    <x v="0"/>
    <n v="0"/>
  </r>
  <r>
    <x v="9"/>
    <x v="1"/>
    <x v="0"/>
    <x v="1"/>
    <n v="0"/>
  </r>
  <r>
    <x v="9"/>
    <x v="1"/>
    <x v="0"/>
    <x v="2"/>
    <n v="0"/>
  </r>
  <r>
    <x v="9"/>
    <x v="1"/>
    <x v="0"/>
    <x v="3"/>
    <n v="0"/>
  </r>
  <r>
    <x v="9"/>
    <x v="1"/>
    <x v="0"/>
    <x v="4"/>
    <n v="7.6"/>
  </r>
  <r>
    <x v="9"/>
    <x v="1"/>
    <x v="0"/>
    <x v="5"/>
    <n v="0.7"/>
  </r>
  <r>
    <x v="9"/>
    <x v="1"/>
    <x v="0"/>
    <x v="6"/>
    <n v="0"/>
  </r>
  <r>
    <x v="9"/>
    <x v="1"/>
    <x v="0"/>
    <x v="7"/>
    <n v="0"/>
  </r>
  <r>
    <x v="9"/>
    <x v="1"/>
    <x v="0"/>
    <x v="8"/>
    <n v="0"/>
  </r>
  <r>
    <x v="9"/>
    <x v="1"/>
    <x v="0"/>
    <x v="9"/>
    <n v="0.8"/>
  </r>
  <r>
    <x v="9"/>
    <x v="1"/>
    <x v="0"/>
    <x v="10"/>
    <n v="0"/>
  </r>
  <r>
    <x v="9"/>
    <x v="1"/>
    <x v="0"/>
    <x v="11"/>
    <n v="8.1"/>
  </r>
  <r>
    <x v="10"/>
    <x v="1"/>
    <x v="0"/>
    <x v="0"/>
    <n v="54.8"/>
  </r>
  <r>
    <x v="10"/>
    <x v="1"/>
    <x v="0"/>
    <x v="1"/>
    <n v="48.6"/>
  </r>
  <r>
    <x v="10"/>
    <x v="1"/>
    <x v="0"/>
    <x v="2"/>
    <n v="4.5"/>
  </r>
  <r>
    <x v="10"/>
    <x v="1"/>
    <x v="0"/>
    <x v="3"/>
    <n v="48.6"/>
  </r>
  <r>
    <x v="10"/>
    <x v="1"/>
    <x v="0"/>
    <x v="4"/>
    <n v="13"/>
  </r>
  <r>
    <x v="10"/>
    <x v="1"/>
    <x v="0"/>
    <x v="5"/>
    <n v="48.1"/>
  </r>
  <r>
    <x v="10"/>
    <x v="1"/>
    <x v="0"/>
    <x v="6"/>
    <n v="0"/>
  </r>
  <r>
    <x v="10"/>
    <x v="1"/>
    <x v="0"/>
    <x v="7"/>
    <n v="13.3"/>
  </r>
  <r>
    <x v="10"/>
    <x v="1"/>
    <x v="0"/>
    <x v="8"/>
    <n v="30.8"/>
  </r>
  <r>
    <x v="10"/>
    <x v="1"/>
    <x v="0"/>
    <x v="9"/>
    <n v="4.5999999999999996"/>
  </r>
  <r>
    <x v="10"/>
    <x v="1"/>
    <x v="0"/>
    <x v="10"/>
    <n v="1.3"/>
  </r>
  <r>
    <x v="10"/>
    <x v="1"/>
    <x v="0"/>
    <x v="11"/>
    <n v="267.39999999999998"/>
  </r>
  <r>
    <x v="11"/>
    <x v="1"/>
    <x v="0"/>
    <x v="0"/>
    <n v="22.3"/>
  </r>
  <r>
    <x v="11"/>
    <x v="1"/>
    <x v="0"/>
    <x v="1"/>
    <n v="5.5"/>
  </r>
  <r>
    <x v="11"/>
    <x v="1"/>
    <x v="0"/>
    <x v="2"/>
    <n v="0"/>
  </r>
  <r>
    <x v="11"/>
    <x v="1"/>
    <x v="0"/>
    <x v="3"/>
    <n v="5"/>
  </r>
  <r>
    <x v="11"/>
    <x v="1"/>
    <x v="0"/>
    <x v="4"/>
    <n v="2.9000000000000004"/>
  </r>
  <r>
    <x v="11"/>
    <x v="1"/>
    <x v="0"/>
    <x v="5"/>
    <n v="2.2999999999999998"/>
  </r>
  <r>
    <x v="11"/>
    <x v="1"/>
    <x v="0"/>
    <x v="6"/>
    <n v="0"/>
  </r>
  <r>
    <x v="11"/>
    <x v="1"/>
    <x v="0"/>
    <x v="7"/>
    <n v="0"/>
  </r>
  <r>
    <x v="11"/>
    <x v="1"/>
    <x v="0"/>
    <x v="8"/>
    <n v="16.600000000000001"/>
  </r>
  <r>
    <x v="11"/>
    <x v="1"/>
    <x v="0"/>
    <x v="9"/>
    <n v="10.7"/>
  </r>
  <r>
    <x v="11"/>
    <x v="1"/>
    <x v="0"/>
    <x v="10"/>
    <n v="0.8"/>
  </r>
  <r>
    <x v="11"/>
    <x v="1"/>
    <x v="0"/>
    <x v="11"/>
    <n v="82.5"/>
  </r>
  <r>
    <x v="12"/>
    <x v="1"/>
    <x v="0"/>
    <x v="0"/>
    <n v="416.8"/>
  </r>
  <r>
    <x v="12"/>
    <x v="1"/>
    <x v="0"/>
    <x v="1"/>
    <n v="8.6"/>
  </r>
  <r>
    <x v="12"/>
    <x v="1"/>
    <x v="0"/>
    <x v="2"/>
    <n v="0"/>
  </r>
  <r>
    <x v="12"/>
    <x v="1"/>
    <x v="0"/>
    <x v="3"/>
    <n v="22.1"/>
  </r>
  <r>
    <x v="12"/>
    <x v="1"/>
    <x v="0"/>
    <x v="4"/>
    <n v="3.4"/>
  </r>
  <r>
    <x v="12"/>
    <x v="1"/>
    <x v="0"/>
    <x v="5"/>
    <n v="21.1"/>
  </r>
  <r>
    <x v="12"/>
    <x v="1"/>
    <x v="0"/>
    <x v="6"/>
    <n v="0"/>
  </r>
  <r>
    <x v="12"/>
    <x v="1"/>
    <x v="0"/>
    <x v="7"/>
    <n v="7.4"/>
  </r>
  <r>
    <x v="12"/>
    <x v="1"/>
    <x v="0"/>
    <x v="8"/>
    <n v="58.699999999999996"/>
  </r>
  <r>
    <x v="12"/>
    <x v="1"/>
    <x v="0"/>
    <x v="9"/>
    <n v="7.9"/>
  </r>
  <r>
    <x v="12"/>
    <x v="1"/>
    <x v="0"/>
    <x v="10"/>
    <n v="0"/>
  </r>
  <r>
    <x v="12"/>
    <x v="1"/>
    <x v="0"/>
    <x v="11"/>
    <n v="482.2"/>
  </r>
  <r>
    <x v="13"/>
    <x v="1"/>
    <x v="0"/>
    <x v="0"/>
    <n v="65.7"/>
  </r>
  <r>
    <x v="13"/>
    <x v="1"/>
    <x v="0"/>
    <x v="1"/>
    <n v="95"/>
  </r>
  <r>
    <x v="13"/>
    <x v="1"/>
    <x v="0"/>
    <x v="2"/>
    <n v="0"/>
  </r>
  <r>
    <x v="13"/>
    <x v="1"/>
    <x v="0"/>
    <x v="3"/>
    <n v="94.9"/>
  </r>
  <r>
    <x v="13"/>
    <x v="1"/>
    <x v="0"/>
    <x v="4"/>
    <n v="0"/>
  </r>
  <r>
    <x v="13"/>
    <x v="1"/>
    <x v="0"/>
    <x v="5"/>
    <n v="52.4"/>
  </r>
  <r>
    <x v="13"/>
    <x v="1"/>
    <x v="0"/>
    <x v="6"/>
    <n v="0"/>
  </r>
  <r>
    <x v="13"/>
    <x v="1"/>
    <x v="0"/>
    <x v="7"/>
    <n v="7.5"/>
  </r>
  <r>
    <x v="13"/>
    <x v="1"/>
    <x v="0"/>
    <x v="8"/>
    <n v="7.9"/>
  </r>
  <r>
    <x v="13"/>
    <x v="1"/>
    <x v="0"/>
    <x v="9"/>
    <n v="0"/>
  </r>
  <r>
    <x v="13"/>
    <x v="1"/>
    <x v="0"/>
    <x v="10"/>
    <n v="1.4"/>
  </r>
  <r>
    <x v="13"/>
    <x v="1"/>
    <x v="0"/>
    <x v="11"/>
    <n v="343.9"/>
  </r>
  <r>
    <x v="14"/>
    <x v="1"/>
    <x v="0"/>
    <x v="0"/>
    <n v="0"/>
  </r>
  <r>
    <x v="14"/>
    <x v="1"/>
    <x v="0"/>
    <x v="1"/>
    <n v="0"/>
  </r>
  <r>
    <x v="14"/>
    <x v="1"/>
    <x v="0"/>
    <x v="2"/>
    <n v="19.399999999999999"/>
  </r>
  <r>
    <x v="14"/>
    <x v="1"/>
    <x v="0"/>
    <x v="3"/>
    <n v="7.3"/>
  </r>
  <r>
    <x v="14"/>
    <x v="1"/>
    <x v="0"/>
    <x v="4"/>
    <n v="0"/>
  </r>
  <r>
    <x v="14"/>
    <x v="1"/>
    <x v="0"/>
    <x v="5"/>
    <n v="3.7"/>
  </r>
  <r>
    <x v="14"/>
    <x v="1"/>
    <x v="0"/>
    <x v="6"/>
    <n v="0"/>
  </r>
  <r>
    <x v="14"/>
    <x v="1"/>
    <x v="0"/>
    <x v="7"/>
    <n v="3.6"/>
  </r>
  <r>
    <x v="14"/>
    <x v="1"/>
    <x v="0"/>
    <x v="8"/>
    <n v="6.1000000000000005"/>
  </r>
  <r>
    <x v="14"/>
    <x v="1"/>
    <x v="0"/>
    <x v="9"/>
    <n v="0.2"/>
  </r>
  <r>
    <x v="14"/>
    <x v="1"/>
    <x v="0"/>
    <x v="10"/>
    <n v="1.3"/>
  </r>
  <r>
    <x v="14"/>
    <x v="1"/>
    <x v="0"/>
    <x v="11"/>
    <n v="51.300000000000004"/>
  </r>
  <r>
    <x v="15"/>
    <x v="1"/>
    <x v="0"/>
    <x v="0"/>
    <n v="0"/>
  </r>
  <r>
    <x v="15"/>
    <x v="1"/>
    <x v="0"/>
    <x v="1"/>
    <n v="2.1"/>
  </r>
  <r>
    <x v="15"/>
    <x v="1"/>
    <x v="0"/>
    <x v="2"/>
    <n v="0"/>
  </r>
  <r>
    <x v="15"/>
    <x v="1"/>
    <x v="0"/>
    <x v="3"/>
    <n v="0.8"/>
  </r>
  <r>
    <x v="15"/>
    <x v="1"/>
    <x v="0"/>
    <x v="4"/>
    <n v="0.2"/>
  </r>
  <r>
    <x v="15"/>
    <x v="1"/>
    <x v="0"/>
    <x v="5"/>
    <n v="0.8"/>
  </r>
  <r>
    <x v="15"/>
    <x v="1"/>
    <x v="0"/>
    <x v="6"/>
    <n v="0"/>
  </r>
  <r>
    <x v="15"/>
    <x v="1"/>
    <x v="0"/>
    <x v="7"/>
    <n v="0"/>
  </r>
  <r>
    <x v="15"/>
    <x v="1"/>
    <x v="0"/>
    <x v="8"/>
    <n v="5.7"/>
  </r>
  <r>
    <x v="15"/>
    <x v="1"/>
    <x v="0"/>
    <x v="9"/>
    <n v="0"/>
  </r>
  <r>
    <x v="15"/>
    <x v="1"/>
    <x v="0"/>
    <x v="10"/>
    <n v="0"/>
  </r>
  <r>
    <x v="15"/>
    <x v="1"/>
    <x v="0"/>
    <x v="11"/>
    <n v="17.2"/>
  </r>
  <r>
    <x v="16"/>
    <x v="1"/>
    <x v="0"/>
    <x v="0"/>
    <n v="14.9"/>
  </r>
  <r>
    <x v="16"/>
    <x v="1"/>
    <x v="0"/>
    <x v="1"/>
    <n v="0.5"/>
  </r>
  <r>
    <x v="16"/>
    <x v="1"/>
    <x v="0"/>
    <x v="2"/>
    <n v="5.5"/>
  </r>
  <r>
    <x v="16"/>
    <x v="1"/>
    <x v="0"/>
    <x v="3"/>
    <n v="3.2"/>
  </r>
  <r>
    <x v="16"/>
    <x v="1"/>
    <x v="0"/>
    <x v="4"/>
    <n v="0"/>
  </r>
  <r>
    <x v="16"/>
    <x v="1"/>
    <x v="0"/>
    <x v="5"/>
    <n v="0.7"/>
  </r>
  <r>
    <x v="16"/>
    <x v="1"/>
    <x v="0"/>
    <x v="6"/>
    <n v="0"/>
  </r>
  <r>
    <x v="16"/>
    <x v="1"/>
    <x v="0"/>
    <x v="7"/>
    <n v="0"/>
  </r>
  <r>
    <x v="16"/>
    <x v="1"/>
    <x v="0"/>
    <x v="8"/>
    <n v="0.2"/>
  </r>
  <r>
    <x v="16"/>
    <x v="1"/>
    <x v="0"/>
    <x v="9"/>
    <n v="1.6"/>
  </r>
  <r>
    <x v="16"/>
    <x v="1"/>
    <x v="0"/>
    <x v="10"/>
    <n v="0.5"/>
  </r>
  <r>
    <x v="16"/>
    <x v="1"/>
    <x v="0"/>
    <x v="11"/>
    <n v="40.799999999999997"/>
  </r>
  <r>
    <x v="17"/>
    <x v="1"/>
    <x v="0"/>
    <x v="0"/>
    <n v="0"/>
  </r>
  <r>
    <x v="17"/>
    <x v="1"/>
    <x v="0"/>
    <x v="1"/>
    <n v="4.8"/>
  </r>
  <r>
    <x v="17"/>
    <x v="1"/>
    <x v="0"/>
    <x v="2"/>
    <n v="2.5"/>
  </r>
  <r>
    <x v="17"/>
    <x v="1"/>
    <x v="0"/>
    <x v="3"/>
    <n v="11.5"/>
  </r>
  <r>
    <x v="17"/>
    <x v="1"/>
    <x v="0"/>
    <x v="4"/>
    <n v="0.1"/>
  </r>
  <r>
    <x v="17"/>
    <x v="1"/>
    <x v="0"/>
    <x v="5"/>
    <n v="6.5"/>
  </r>
  <r>
    <x v="17"/>
    <x v="1"/>
    <x v="0"/>
    <x v="6"/>
    <n v="0"/>
  </r>
  <r>
    <x v="17"/>
    <x v="1"/>
    <x v="0"/>
    <x v="7"/>
    <n v="0"/>
  </r>
  <r>
    <x v="17"/>
    <x v="1"/>
    <x v="0"/>
    <x v="8"/>
    <n v="1.1000000000000001"/>
  </r>
  <r>
    <x v="17"/>
    <x v="1"/>
    <x v="0"/>
    <x v="9"/>
    <n v="0"/>
  </r>
  <r>
    <x v="17"/>
    <x v="1"/>
    <x v="0"/>
    <x v="10"/>
    <n v="0.2"/>
  </r>
  <r>
    <x v="17"/>
    <x v="1"/>
    <x v="0"/>
    <x v="11"/>
    <n v="27.5"/>
  </r>
  <r>
    <x v="18"/>
    <x v="1"/>
    <x v="0"/>
    <x v="0"/>
    <n v="0"/>
  </r>
  <r>
    <x v="18"/>
    <x v="1"/>
    <x v="0"/>
    <x v="1"/>
    <n v="0"/>
  </r>
  <r>
    <x v="18"/>
    <x v="1"/>
    <x v="0"/>
    <x v="2"/>
    <n v="0"/>
  </r>
  <r>
    <x v="18"/>
    <x v="1"/>
    <x v="0"/>
    <x v="3"/>
    <n v="0"/>
  </r>
  <r>
    <x v="18"/>
    <x v="1"/>
    <x v="0"/>
    <x v="4"/>
    <n v="0"/>
  </r>
  <r>
    <x v="18"/>
    <x v="1"/>
    <x v="0"/>
    <x v="5"/>
    <n v="0"/>
  </r>
  <r>
    <x v="18"/>
    <x v="1"/>
    <x v="0"/>
    <x v="6"/>
    <n v="0"/>
  </r>
  <r>
    <x v="18"/>
    <x v="1"/>
    <x v="0"/>
    <x v="7"/>
    <n v="0"/>
  </r>
  <r>
    <x v="18"/>
    <x v="1"/>
    <x v="0"/>
    <x v="8"/>
    <n v="13.7"/>
  </r>
  <r>
    <x v="18"/>
    <x v="1"/>
    <x v="0"/>
    <x v="9"/>
    <n v="0"/>
  </r>
  <r>
    <x v="18"/>
    <x v="1"/>
    <x v="0"/>
    <x v="10"/>
    <n v="4.7"/>
  </r>
  <r>
    <x v="18"/>
    <x v="1"/>
    <x v="0"/>
    <x v="11"/>
    <n v="18.3"/>
  </r>
  <r>
    <x v="19"/>
    <x v="1"/>
    <x v="0"/>
    <x v="0"/>
    <n v="0"/>
  </r>
  <r>
    <x v="19"/>
    <x v="1"/>
    <x v="0"/>
    <x v="1"/>
    <n v="38.4"/>
  </r>
  <r>
    <x v="19"/>
    <x v="1"/>
    <x v="0"/>
    <x v="2"/>
    <n v="0"/>
  </r>
  <r>
    <x v="19"/>
    <x v="1"/>
    <x v="0"/>
    <x v="3"/>
    <n v="91.5"/>
  </r>
  <r>
    <x v="19"/>
    <x v="1"/>
    <x v="0"/>
    <x v="4"/>
    <n v="32.200000000000003"/>
  </r>
  <r>
    <x v="19"/>
    <x v="1"/>
    <x v="0"/>
    <x v="5"/>
    <n v="14.7"/>
  </r>
  <r>
    <x v="19"/>
    <x v="1"/>
    <x v="0"/>
    <x v="6"/>
    <n v="0"/>
  </r>
  <r>
    <x v="19"/>
    <x v="1"/>
    <x v="0"/>
    <x v="7"/>
    <n v="23.9"/>
  </r>
  <r>
    <x v="19"/>
    <x v="1"/>
    <x v="0"/>
    <x v="8"/>
    <n v="44.599999999999994"/>
  </r>
  <r>
    <x v="19"/>
    <x v="1"/>
    <x v="0"/>
    <x v="9"/>
    <n v="18.8"/>
  </r>
  <r>
    <x v="19"/>
    <x v="1"/>
    <x v="0"/>
    <x v="10"/>
    <n v="5.8"/>
  </r>
  <r>
    <x v="19"/>
    <x v="1"/>
    <x v="0"/>
    <x v="11"/>
    <n v="316.2"/>
  </r>
  <r>
    <x v="20"/>
    <x v="1"/>
    <x v="0"/>
    <x v="0"/>
    <n v="0"/>
  </r>
  <r>
    <x v="20"/>
    <x v="1"/>
    <x v="0"/>
    <x v="1"/>
    <n v="0"/>
  </r>
  <r>
    <x v="20"/>
    <x v="1"/>
    <x v="0"/>
    <x v="2"/>
    <n v="0"/>
  </r>
  <r>
    <x v="20"/>
    <x v="1"/>
    <x v="0"/>
    <x v="3"/>
    <n v="1.5"/>
  </r>
  <r>
    <x v="20"/>
    <x v="1"/>
    <x v="0"/>
    <x v="4"/>
    <n v="0.89999999999999991"/>
  </r>
  <r>
    <x v="20"/>
    <x v="1"/>
    <x v="0"/>
    <x v="5"/>
    <n v="0.8"/>
  </r>
  <r>
    <x v="20"/>
    <x v="1"/>
    <x v="0"/>
    <x v="6"/>
    <n v="0"/>
  </r>
  <r>
    <x v="20"/>
    <x v="1"/>
    <x v="0"/>
    <x v="7"/>
    <n v="0.1"/>
  </r>
  <r>
    <x v="20"/>
    <x v="1"/>
    <x v="0"/>
    <x v="8"/>
    <n v="1"/>
  </r>
  <r>
    <x v="20"/>
    <x v="1"/>
    <x v="0"/>
    <x v="9"/>
    <n v="0.4"/>
  </r>
  <r>
    <x v="20"/>
    <x v="1"/>
    <x v="0"/>
    <x v="10"/>
    <n v="0"/>
  </r>
  <r>
    <x v="20"/>
    <x v="1"/>
    <x v="0"/>
    <x v="11"/>
    <n v="11.8"/>
  </r>
  <r>
    <x v="21"/>
    <x v="1"/>
    <x v="0"/>
    <x v="0"/>
    <n v="0"/>
  </r>
  <r>
    <x v="21"/>
    <x v="1"/>
    <x v="0"/>
    <x v="1"/>
    <n v="0"/>
  </r>
  <r>
    <x v="21"/>
    <x v="1"/>
    <x v="0"/>
    <x v="2"/>
    <n v="0"/>
  </r>
  <r>
    <x v="21"/>
    <x v="1"/>
    <x v="0"/>
    <x v="3"/>
    <n v="0.8"/>
  </r>
  <r>
    <x v="21"/>
    <x v="1"/>
    <x v="0"/>
    <x v="4"/>
    <n v="0"/>
  </r>
  <r>
    <x v="21"/>
    <x v="1"/>
    <x v="0"/>
    <x v="5"/>
    <n v="0.1"/>
  </r>
  <r>
    <x v="21"/>
    <x v="1"/>
    <x v="0"/>
    <x v="6"/>
    <n v="0"/>
  </r>
  <r>
    <x v="21"/>
    <x v="1"/>
    <x v="0"/>
    <x v="7"/>
    <n v="0.1"/>
  </r>
  <r>
    <x v="21"/>
    <x v="1"/>
    <x v="0"/>
    <x v="8"/>
    <n v="1.5"/>
  </r>
  <r>
    <x v="21"/>
    <x v="1"/>
    <x v="0"/>
    <x v="9"/>
    <n v="0.1"/>
  </r>
  <r>
    <x v="21"/>
    <x v="1"/>
    <x v="0"/>
    <x v="10"/>
    <n v="0.1"/>
  </r>
  <r>
    <x v="21"/>
    <x v="1"/>
    <x v="0"/>
    <x v="11"/>
    <n v="8.3000000000000007"/>
  </r>
  <r>
    <x v="22"/>
    <x v="1"/>
    <x v="0"/>
    <x v="0"/>
    <n v="0"/>
  </r>
  <r>
    <x v="22"/>
    <x v="1"/>
    <x v="0"/>
    <x v="1"/>
    <n v="0"/>
  </r>
  <r>
    <x v="22"/>
    <x v="1"/>
    <x v="0"/>
    <x v="2"/>
    <n v="0"/>
  </r>
  <r>
    <x v="22"/>
    <x v="1"/>
    <x v="0"/>
    <x v="3"/>
    <n v="2"/>
  </r>
  <r>
    <x v="22"/>
    <x v="1"/>
    <x v="0"/>
    <x v="4"/>
    <n v="0.6"/>
  </r>
  <r>
    <x v="22"/>
    <x v="1"/>
    <x v="0"/>
    <x v="5"/>
    <n v="0.1"/>
  </r>
  <r>
    <x v="22"/>
    <x v="1"/>
    <x v="0"/>
    <x v="6"/>
    <n v="0"/>
  </r>
  <r>
    <x v="22"/>
    <x v="1"/>
    <x v="0"/>
    <x v="7"/>
    <n v="0"/>
  </r>
  <r>
    <x v="22"/>
    <x v="1"/>
    <x v="0"/>
    <x v="8"/>
    <n v="1.9"/>
  </r>
  <r>
    <x v="22"/>
    <x v="1"/>
    <x v="0"/>
    <x v="9"/>
    <n v="0.4"/>
  </r>
  <r>
    <x v="22"/>
    <x v="1"/>
    <x v="0"/>
    <x v="10"/>
    <n v="0.4"/>
  </r>
  <r>
    <x v="22"/>
    <x v="1"/>
    <x v="0"/>
    <x v="11"/>
    <n v="7.2"/>
  </r>
  <r>
    <x v="23"/>
    <x v="1"/>
    <x v="0"/>
    <x v="0"/>
    <n v="0"/>
  </r>
  <r>
    <x v="23"/>
    <x v="1"/>
    <x v="0"/>
    <x v="1"/>
    <n v="0"/>
  </r>
  <r>
    <x v="23"/>
    <x v="1"/>
    <x v="0"/>
    <x v="2"/>
    <n v="1.4"/>
  </r>
  <r>
    <x v="23"/>
    <x v="1"/>
    <x v="0"/>
    <x v="3"/>
    <n v="0"/>
  </r>
  <r>
    <x v="23"/>
    <x v="1"/>
    <x v="0"/>
    <x v="4"/>
    <n v="0"/>
  </r>
  <r>
    <x v="23"/>
    <x v="1"/>
    <x v="0"/>
    <x v="5"/>
    <n v="0"/>
  </r>
  <r>
    <x v="23"/>
    <x v="1"/>
    <x v="0"/>
    <x v="6"/>
    <n v="0"/>
  </r>
  <r>
    <x v="23"/>
    <x v="1"/>
    <x v="0"/>
    <x v="7"/>
    <n v="0"/>
  </r>
  <r>
    <x v="23"/>
    <x v="1"/>
    <x v="0"/>
    <x v="8"/>
    <n v="1.4"/>
  </r>
  <r>
    <x v="23"/>
    <x v="1"/>
    <x v="0"/>
    <x v="9"/>
    <n v="0"/>
  </r>
  <r>
    <x v="23"/>
    <x v="1"/>
    <x v="0"/>
    <x v="10"/>
    <n v="0"/>
  </r>
  <r>
    <x v="23"/>
    <x v="1"/>
    <x v="0"/>
    <x v="11"/>
    <n v="3.4"/>
  </r>
  <r>
    <x v="24"/>
    <x v="1"/>
    <x v="0"/>
    <x v="0"/>
    <n v="0"/>
  </r>
  <r>
    <x v="24"/>
    <x v="1"/>
    <x v="0"/>
    <x v="1"/>
    <n v="0"/>
  </r>
  <r>
    <x v="24"/>
    <x v="1"/>
    <x v="0"/>
    <x v="2"/>
    <n v="3.1"/>
  </r>
  <r>
    <x v="24"/>
    <x v="1"/>
    <x v="0"/>
    <x v="3"/>
    <n v="0.2"/>
  </r>
  <r>
    <x v="24"/>
    <x v="1"/>
    <x v="0"/>
    <x v="4"/>
    <n v="0"/>
  </r>
  <r>
    <x v="24"/>
    <x v="1"/>
    <x v="0"/>
    <x v="5"/>
    <n v="0.1"/>
  </r>
  <r>
    <x v="24"/>
    <x v="1"/>
    <x v="0"/>
    <x v="6"/>
    <n v="0"/>
  </r>
  <r>
    <x v="24"/>
    <x v="1"/>
    <x v="0"/>
    <x v="7"/>
    <n v="0"/>
  </r>
  <r>
    <x v="24"/>
    <x v="1"/>
    <x v="0"/>
    <x v="8"/>
    <n v="1.5"/>
  </r>
  <r>
    <x v="24"/>
    <x v="1"/>
    <x v="0"/>
    <x v="9"/>
    <n v="0"/>
  </r>
  <r>
    <x v="24"/>
    <x v="1"/>
    <x v="0"/>
    <x v="10"/>
    <n v="0"/>
  </r>
  <r>
    <x v="24"/>
    <x v="1"/>
    <x v="0"/>
    <x v="11"/>
    <n v="7.4"/>
  </r>
  <r>
    <x v="25"/>
    <x v="1"/>
    <x v="0"/>
    <x v="0"/>
    <n v="0"/>
  </r>
  <r>
    <x v="25"/>
    <x v="1"/>
    <x v="0"/>
    <x v="1"/>
    <n v="2"/>
  </r>
  <r>
    <x v="25"/>
    <x v="1"/>
    <x v="0"/>
    <x v="2"/>
    <n v="0"/>
  </r>
  <r>
    <x v="25"/>
    <x v="1"/>
    <x v="0"/>
    <x v="3"/>
    <n v="4.0999999999999996"/>
  </r>
  <r>
    <x v="25"/>
    <x v="1"/>
    <x v="0"/>
    <x v="4"/>
    <n v="0.5"/>
  </r>
  <r>
    <x v="25"/>
    <x v="1"/>
    <x v="0"/>
    <x v="5"/>
    <n v="1.8"/>
  </r>
  <r>
    <x v="25"/>
    <x v="1"/>
    <x v="0"/>
    <x v="6"/>
    <n v="0"/>
  </r>
  <r>
    <x v="25"/>
    <x v="1"/>
    <x v="0"/>
    <x v="7"/>
    <n v="0"/>
  </r>
  <r>
    <x v="25"/>
    <x v="1"/>
    <x v="0"/>
    <x v="8"/>
    <n v="0"/>
  </r>
  <r>
    <x v="25"/>
    <x v="1"/>
    <x v="0"/>
    <x v="9"/>
    <n v="0.1"/>
  </r>
  <r>
    <x v="25"/>
    <x v="1"/>
    <x v="0"/>
    <x v="10"/>
    <n v="0.1"/>
  </r>
  <r>
    <x v="25"/>
    <x v="1"/>
    <x v="0"/>
    <x v="11"/>
    <n v="9.4"/>
  </r>
  <r>
    <x v="26"/>
    <x v="1"/>
    <x v="0"/>
    <x v="0"/>
    <n v="4"/>
  </r>
  <r>
    <x v="26"/>
    <x v="1"/>
    <x v="0"/>
    <x v="1"/>
    <n v="0"/>
  </r>
  <r>
    <x v="26"/>
    <x v="1"/>
    <x v="0"/>
    <x v="2"/>
    <n v="0"/>
  </r>
  <r>
    <x v="26"/>
    <x v="1"/>
    <x v="0"/>
    <x v="3"/>
    <n v="0"/>
  </r>
  <r>
    <x v="26"/>
    <x v="1"/>
    <x v="0"/>
    <x v="4"/>
    <n v="88.4"/>
  </r>
  <r>
    <x v="26"/>
    <x v="1"/>
    <x v="0"/>
    <x v="5"/>
    <n v="7.1"/>
  </r>
  <r>
    <x v="26"/>
    <x v="1"/>
    <x v="0"/>
    <x v="6"/>
    <n v="0"/>
  </r>
  <r>
    <x v="26"/>
    <x v="1"/>
    <x v="0"/>
    <x v="7"/>
    <n v="0.1"/>
  </r>
  <r>
    <x v="26"/>
    <x v="1"/>
    <x v="0"/>
    <x v="8"/>
    <n v="0.1"/>
  </r>
  <r>
    <x v="26"/>
    <x v="1"/>
    <x v="0"/>
    <x v="9"/>
    <n v="4"/>
  </r>
  <r>
    <x v="26"/>
    <x v="1"/>
    <x v="0"/>
    <x v="10"/>
    <n v="0"/>
  </r>
  <r>
    <x v="26"/>
    <x v="1"/>
    <x v="0"/>
    <x v="11"/>
    <n v="112.5"/>
  </r>
  <r>
    <x v="27"/>
    <x v="1"/>
    <x v="0"/>
    <x v="0"/>
    <n v="0"/>
  </r>
  <r>
    <x v="27"/>
    <x v="1"/>
    <x v="0"/>
    <x v="1"/>
    <n v="0"/>
  </r>
  <r>
    <x v="27"/>
    <x v="1"/>
    <x v="0"/>
    <x v="2"/>
    <n v="0"/>
  </r>
  <r>
    <x v="27"/>
    <x v="1"/>
    <x v="0"/>
    <x v="3"/>
    <n v="3.5"/>
  </r>
  <r>
    <x v="27"/>
    <x v="1"/>
    <x v="0"/>
    <x v="4"/>
    <n v="0"/>
  </r>
  <r>
    <x v="27"/>
    <x v="1"/>
    <x v="0"/>
    <x v="5"/>
    <n v="2.5"/>
  </r>
  <r>
    <x v="27"/>
    <x v="1"/>
    <x v="0"/>
    <x v="6"/>
    <n v="0"/>
  </r>
  <r>
    <x v="27"/>
    <x v="1"/>
    <x v="0"/>
    <x v="7"/>
    <n v="0"/>
  </r>
  <r>
    <x v="27"/>
    <x v="1"/>
    <x v="0"/>
    <x v="8"/>
    <n v="139"/>
  </r>
  <r>
    <x v="27"/>
    <x v="1"/>
    <x v="0"/>
    <x v="9"/>
    <n v="0"/>
  </r>
  <r>
    <x v="27"/>
    <x v="1"/>
    <x v="0"/>
    <x v="10"/>
    <n v="0"/>
  </r>
  <r>
    <x v="27"/>
    <x v="1"/>
    <x v="0"/>
    <x v="11"/>
    <n v="130.4"/>
  </r>
  <r>
    <x v="28"/>
    <x v="1"/>
    <x v="0"/>
    <x v="0"/>
    <n v="0"/>
  </r>
  <r>
    <x v="28"/>
    <x v="1"/>
    <x v="0"/>
    <x v="1"/>
    <n v="69.099999999999994"/>
  </r>
  <r>
    <x v="28"/>
    <x v="1"/>
    <x v="0"/>
    <x v="2"/>
    <n v="49.5"/>
  </r>
  <r>
    <x v="28"/>
    <x v="1"/>
    <x v="0"/>
    <x v="3"/>
    <n v="4.0999999999999996"/>
  </r>
  <r>
    <x v="28"/>
    <x v="1"/>
    <x v="0"/>
    <x v="4"/>
    <n v="9.4"/>
  </r>
  <r>
    <x v="28"/>
    <x v="1"/>
    <x v="0"/>
    <x v="5"/>
    <n v="10.5"/>
  </r>
  <r>
    <x v="28"/>
    <x v="1"/>
    <x v="0"/>
    <x v="6"/>
    <n v="0"/>
  </r>
  <r>
    <x v="28"/>
    <x v="1"/>
    <x v="0"/>
    <x v="7"/>
    <n v="0"/>
  </r>
  <r>
    <x v="28"/>
    <x v="1"/>
    <x v="0"/>
    <x v="8"/>
    <n v="2.4"/>
  </r>
  <r>
    <x v="28"/>
    <x v="1"/>
    <x v="0"/>
    <x v="9"/>
    <n v="6.7"/>
  </r>
  <r>
    <x v="28"/>
    <x v="1"/>
    <x v="0"/>
    <x v="10"/>
    <n v="0.5"/>
  </r>
  <r>
    <x v="28"/>
    <x v="1"/>
    <x v="0"/>
    <x v="11"/>
    <n v="152"/>
  </r>
  <r>
    <x v="29"/>
    <x v="1"/>
    <x v="0"/>
    <x v="0"/>
    <n v="0"/>
  </r>
  <r>
    <x v="29"/>
    <x v="1"/>
    <x v="0"/>
    <x v="1"/>
    <n v="13.7"/>
  </r>
  <r>
    <x v="29"/>
    <x v="1"/>
    <x v="0"/>
    <x v="2"/>
    <n v="0"/>
  </r>
  <r>
    <x v="29"/>
    <x v="1"/>
    <x v="0"/>
    <x v="3"/>
    <n v="9.8000000000000007"/>
  </r>
  <r>
    <x v="29"/>
    <x v="1"/>
    <x v="0"/>
    <x v="4"/>
    <n v="0.30000000000000004"/>
  </r>
  <r>
    <x v="29"/>
    <x v="1"/>
    <x v="0"/>
    <x v="5"/>
    <n v="11.3"/>
  </r>
  <r>
    <x v="29"/>
    <x v="1"/>
    <x v="0"/>
    <x v="6"/>
    <n v="0"/>
  </r>
  <r>
    <x v="29"/>
    <x v="1"/>
    <x v="0"/>
    <x v="7"/>
    <n v="0.8"/>
  </r>
  <r>
    <x v="29"/>
    <x v="1"/>
    <x v="0"/>
    <x v="8"/>
    <n v="9.6999999999999993"/>
  </r>
  <r>
    <x v="29"/>
    <x v="1"/>
    <x v="0"/>
    <x v="9"/>
    <n v="2.6"/>
  </r>
  <r>
    <x v="29"/>
    <x v="1"/>
    <x v="0"/>
    <x v="10"/>
    <n v="0"/>
  </r>
  <r>
    <x v="29"/>
    <x v="1"/>
    <x v="0"/>
    <x v="11"/>
    <n v="50.5"/>
  </r>
  <r>
    <x v="30"/>
    <x v="1"/>
    <x v="0"/>
    <x v="0"/>
    <n v="10.7"/>
  </r>
  <r>
    <x v="30"/>
    <x v="1"/>
    <x v="0"/>
    <x v="1"/>
    <n v="1.7"/>
  </r>
  <r>
    <x v="30"/>
    <x v="1"/>
    <x v="0"/>
    <x v="2"/>
    <n v="14.5"/>
  </r>
  <r>
    <x v="30"/>
    <x v="1"/>
    <x v="0"/>
    <x v="3"/>
    <n v="4.5"/>
  </r>
  <r>
    <x v="30"/>
    <x v="1"/>
    <x v="0"/>
    <x v="4"/>
    <n v="4.3"/>
  </r>
  <r>
    <x v="30"/>
    <x v="1"/>
    <x v="0"/>
    <x v="5"/>
    <n v="7"/>
  </r>
  <r>
    <x v="30"/>
    <x v="1"/>
    <x v="0"/>
    <x v="6"/>
    <n v="0"/>
  </r>
  <r>
    <x v="30"/>
    <x v="1"/>
    <x v="0"/>
    <x v="7"/>
    <n v="2"/>
  </r>
  <r>
    <x v="30"/>
    <x v="1"/>
    <x v="0"/>
    <x v="8"/>
    <n v="16.5"/>
  </r>
  <r>
    <x v="30"/>
    <x v="1"/>
    <x v="0"/>
    <x v="9"/>
    <n v="0.5"/>
  </r>
  <r>
    <x v="30"/>
    <x v="1"/>
    <x v="0"/>
    <x v="10"/>
    <n v="0"/>
  </r>
  <r>
    <x v="30"/>
    <x v="1"/>
    <x v="0"/>
    <x v="11"/>
    <n v="55"/>
  </r>
  <r>
    <x v="31"/>
    <x v="1"/>
    <x v="0"/>
    <x v="0"/>
    <n v="0"/>
  </r>
  <r>
    <x v="31"/>
    <x v="1"/>
    <x v="0"/>
    <x v="1"/>
    <n v="0"/>
  </r>
  <r>
    <x v="31"/>
    <x v="1"/>
    <x v="0"/>
    <x v="2"/>
    <n v="30.5"/>
  </r>
  <r>
    <x v="31"/>
    <x v="1"/>
    <x v="0"/>
    <x v="3"/>
    <n v="0"/>
  </r>
  <r>
    <x v="31"/>
    <x v="1"/>
    <x v="0"/>
    <x v="4"/>
    <n v="0"/>
  </r>
  <r>
    <x v="31"/>
    <x v="1"/>
    <x v="0"/>
    <x v="5"/>
    <n v="0"/>
  </r>
  <r>
    <x v="31"/>
    <x v="1"/>
    <x v="0"/>
    <x v="6"/>
    <n v="0"/>
  </r>
  <r>
    <x v="31"/>
    <x v="1"/>
    <x v="0"/>
    <x v="7"/>
    <n v="0"/>
  </r>
  <r>
    <x v="31"/>
    <x v="1"/>
    <x v="0"/>
    <x v="8"/>
    <n v="10.6"/>
  </r>
  <r>
    <x v="31"/>
    <x v="1"/>
    <x v="0"/>
    <x v="9"/>
    <n v="0"/>
  </r>
  <r>
    <x v="31"/>
    <x v="1"/>
    <x v="0"/>
    <x v="10"/>
    <n v="0"/>
  </r>
  <r>
    <x v="31"/>
    <x v="1"/>
    <x v="0"/>
    <x v="11"/>
    <n v="40.4"/>
  </r>
  <r>
    <x v="32"/>
    <x v="1"/>
    <x v="0"/>
    <x v="0"/>
    <n v="54.3"/>
  </r>
  <r>
    <x v="32"/>
    <x v="1"/>
    <x v="0"/>
    <x v="1"/>
    <n v="0.5"/>
  </r>
  <r>
    <x v="32"/>
    <x v="1"/>
    <x v="0"/>
    <x v="2"/>
    <n v="0"/>
  </r>
  <r>
    <x v="32"/>
    <x v="1"/>
    <x v="0"/>
    <x v="3"/>
    <n v="1"/>
  </r>
  <r>
    <x v="32"/>
    <x v="1"/>
    <x v="0"/>
    <x v="4"/>
    <n v="2.2000000000000002"/>
  </r>
  <r>
    <x v="32"/>
    <x v="1"/>
    <x v="0"/>
    <x v="5"/>
    <n v="16.600000000000001"/>
  </r>
  <r>
    <x v="32"/>
    <x v="1"/>
    <x v="0"/>
    <x v="6"/>
    <n v="0"/>
  </r>
  <r>
    <x v="32"/>
    <x v="1"/>
    <x v="0"/>
    <x v="7"/>
    <n v="0"/>
  </r>
  <r>
    <x v="32"/>
    <x v="1"/>
    <x v="0"/>
    <x v="8"/>
    <n v="74"/>
  </r>
  <r>
    <x v="32"/>
    <x v="1"/>
    <x v="0"/>
    <x v="9"/>
    <n v="9.8000000000000007"/>
  </r>
  <r>
    <x v="32"/>
    <x v="1"/>
    <x v="0"/>
    <x v="10"/>
    <n v="0"/>
  </r>
  <r>
    <x v="32"/>
    <x v="1"/>
    <x v="0"/>
    <x v="11"/>
    <n v="135.9"/>
  </r>
  <r>
    <x v="33"/>
    <x v="1"/>
    <x v="0"/>
    <x v="0"/>
    <n v="5.4"/>
  </r>
  <r>
    <x v="33"/>
    <x v="1"/>
    <x v="0"/>
    <x v="1"/>
    <n v="0"/>
  </r>
  <r>
    <x v="33"/>
    <x v="1"/>
    <x v="0"/>
    <x v="2"/>
    <n v="3.8"/>
  </r>
  <r>
    <x v="33"/>
    <x v="1"/>
    <x v="0"/>
    <x v="3"/>
    <n v="0"/>
  </r>
  <r>
    <x v="33"/>
    <x v="1"/>
    <x v="0"/>
    <x v="4"/>
    <n v="0.1"/>
  </r>
  <r>
    <x v="33"/>
    <x v="1"/>
    <x v="0"/>
    <x v="5"/>
    <n v="0"/>
  </r>
  <r>
    <x v="33"/>
    <x v="1"/>
    <x v="0"/>
    <x v="6"/>
    <n v="0"/>
  </r>
  <r>
    <x v="33"/>
    <x v="1"/>
    <x v="0"/>
    <x v="7"/>
    <n v="0.2"/>
  </r>
  <r>
    <x v="33"/>
    <x v="1"/>
    <x v="0"/>
    <x v="8"/>
    <n v="4.0999999999999996"/>
  </r>
  <r>
    <x v="33"/>
    <x v="1"/>
    <x v="0"/>
    <x v="9"/>
    <n v="0.2"/>
  </r>
  <r>
    <x v="33"/>
    <x v="1"/>
    <x v="0"/>
    <x v="10"/>
    <n v="0.2"/>
  </r>
  <r>
    <x v="33"/>
    <x v="1"/>
    <x v="0"/>
    <x v="11"/>
    <n v="14"/>
  </r>
  <r>
    <x v="34"/>
    <x v="1"/>
    <x v="0"/>
    <x v="0"/>
    <n v="14.1"/>
  </r>
  <r>
    <x v="34"/>
    <x v="1"/>
    <x v="0"/>
    <x v="1"/>
    <n v="0.9"/>
  </r>
  <r>
    <x v="34"/>
    <x v="1"/>
    <x v="0"/>
    <x v="2"/>
    <n v="1.6"/>
  </r>
  <r>
    <x v="34"/>
    <x v="1"/>
    <x v="0"/>
    <x v="3"/>
    <n v="1.8"/>
  </r>
  <r>
    <x v="34"/>
    <x v="1"/>
    <x v="0"/>
    <x v="4"/>
    <n v="0.3"/>
  </r>
  <r>
    <x v="34"/>
    <x v="1"/>
    <x v="0"/>
    <x v="5"/>
    <n v="0"/>
  </r>
  <r>
    <x v="34"/>
    <x v="1"/>
    <x v="0"/>
    <x v="6"/>
    <n v="0"/>
  </r>
  <r>
    <x v="34"/>
    <x v="1"/>
    <x v="0"/>
    <x v="7"/>
    <n v="0.5"/>
  </r>
  <r>
    <x v="34"/>
    <x v="1"/>
    <x v="0"/>
    <x v="8"/>
    <n v="4.3"/>
  </r>
  <r>
    <x v="34"/>
    <x v="1"/>
    <x v="0"/>
    <x v="9"/>
    <n v="1.1000000000000001"/>
  </r>
  <r>
    <x v="34"/>
    <x v="1"/>
    <x v="0"/>
    <x v="10"/>
    <n v="0.6"/>
  </r>
  <r>
    <x v="34"/>
    <x v="1"/>
    <x v="0"/>
    <x v="11"/>
    <n v="27.599999999999998"/>
  </r>
  <r>
    <x v="35"/>
    <x v="1"/>
    <x v="0"/>
    <x v="0"/>
    <n v="836"/>
  </r>
  <r>
    <x v="35"/>
    <x v="1"/>
    <x v="0"/>
    <x v="1"/>
    <n v="418.3"/>
  </r>
  <r>
    <x v="35"/>
    <x v="1"/>
    <x v="0"/>
    <x v="2"/>
    <n v="338.9"/>
  </r>
  <r>
    <x v="35"/>
    <x v="1"/>
    <x v="0"/>
    <x v="3"/>
    <n v="409.4"/>
  </r>
  <r>
    <x v="35"/>
    <x v="1"/>
    <x v="0"/>
    <x v="4"/>
    <n v="194"/>
  </r>
  <r>
    <x v="35"/>
    <x v="1"/>
    <x v="0"/>
    <x v="5"/>
    <n v="310.2"/>
  </r>
  <r>
    <x v="35"/>
    <x v="1"/>
    <x v="0"/>
    <x v="6"/>
    <n v="0"/>
  </r>
  <r>
    <x v="35"/>
    <x v="1"/>
    <x v="0"/>
    <x v="7"/>
    <n v="102.3"/>
  </r>
  <r>
    <x v="35"/>
    <x v="1"/>
    <x v="0"/>
    <x v="8"/>
    <n v="569"/>
  </r>
  <r>
    <x v="35"/>
    <x v="1"/>
    <x v="0"/>
    <x v="9"/>
    <n v="118.7"/>
  </r>
  <r>
    <x v="35"/>
    <x v="1"/>
    <x v="0"/>
    <x v="10"/>
    <n v="33.599999999999994"/>
  </r>
  <r>
    <x v="35"/>
    <x v="1"/>
    <x v="0"/>
    <x v="11"/>
    <n v="3324.5"/>
  </r>
  <r>
    <x v="0"/>
    <x v="2"/>
    <x v="0"/>
    <x v="0"/>
    <n v="0"/>
  </r>
  <r>
    <x v="0"/>
    <x v="2"/>
    <x v="0"/>
    <x v="1"/>
    <n v="2"/>
  </r>
  <r>
    <x v="0"/>
    <x v="2"/>
    <x v="0"/>
    <x v="2"/>
    <n v="0"/>
  </r>
  <r>
    <x v="0"/>
    <x v="2"/>
    <x v="0"/>
    <x v="3"/>
    <n v="8.4"/>
  </r>
  <r>
    <x v="0"/>
    <x v="2"/>
    <x v="0"/>
    <x v="4"/>
    <n v="3.7"/>
  </r>
  <r>
    <x v="0"/>
    <x v="2"/>
    <x v="0"/>
    <x v="5"/>
    <n v="5.2"/>
  </r>
  <r>
    <x v="0"/>
    <x v="2"/>
    <x v="0"/>
    <x v="6"/>
    <n v="0"/>
  </r>
  <r>
    <x v="0"/>
    <x v="2"/>
    <x v="0"/>
    <x v="7"/>
    <n v="0"/>
  </r>
  <r>
    <x v="0"/>
    <x v="2"/>
    <x v="0"/>
    <x v="8"/>
    <n v="38.6"/>
  </r>
  <r>
    <x v="0"/>
    <x v="2"/>
    <x v="0"/>
    <x v="9"/>
    <n v="0"/>
  </r>
  <r>
    <x v="0"/>
    <x v="2"/>
    <x v="0"/>
    <x v="10"/>
    <n v="9.8000000000000007"/>
  </r>
  <r>
    <x v="0"/>
    <x v="2"/>
    <x v="0"/>
    <x v="11"/>
    <n v="74.8"/>
  </r>
  <r>
    <x v="1"/>
    <x v="2"/>
    <x v="0"/>
    <x v="0"/>
    <n v="0"/>
  </r>
  <r>
    <x v="1"/>
    <x v="2"/>
    <x v="0"/>
    <x v="1"/>
    <n v="0"/>
  </r>
  <r>
    <x v="1"/>
    <x v="2"/>
    <x v="0"/>
    <x v="2"/>
    <n v="10.5"/>
  </r>
  <r>
    <x v="1"/>
    <x v="2"/>
    <x v="0"/>
    <x v="3"/>
    <n v="0"/>
  </r>
  <r>
    <x v="1"/>
    <x v="2"/>
    <x v="0"/>
    <x v="4"/>
    <n v="0"/>
  </r>
  <r>
    <x v="1"/>
    <x v="2"/>
    <x v="0"/>
    <x v="5"/>
    <n v="0"/>
  </r>
  <r>
    <x v="1"/>
    <x v="2"/>
    <x v="0"/>
    <x v="6"/>
    <n v="0"/>
  </r>
  <r>
    <x v="1"/>
    <x v="2"/>
    <x v="0"/>
    <x v="7"/>
    <n v="0"/>
  </r>
  <r>
    <x v="1"/>
    <x v="2"/>
    <x v="0"/>
    <x v="8"/>
    <n v="5.5"/>
  </r>
  <r>
    <x v="1"/>
    <x v="2"/>
    <x v="0"/>
    <x v="9"/>
    <n v="0"/>
  </r>
  <r>
    <x v="1"/>
    <x v="2"/>
    <x v="0"/>
    <x v="10"/>
    <n v="0.1"/>
  </r>
  <r>
    <x v="1"/>
    <x v="2"/>
    <x v="0"/>
    <x v="11"/>
    <n v="12.3"/>
  </r>
  <r>
    <x v="2"/>
    <x v="2"/>
    <x v="0"/>
    <x v="0"/>
    <n v="41.3"/>
  </r>
  <r>
    <x v="2"/>
    <x v="2"/>
    <x v="0"/>
    <x v="1"/>
    <n v="2.5"/>
  </r>
  <r>
    <x v="2"/>
    <x v="2"/>
    <x v="0"/>
    <x v="2"/>
    <n v="0"/>
  </r>
  <r>
    <x v="2"/>
    <x v="2"/>
    <x v="0"/>
    <x v="3"/>
    <n v="20.2"/>
  </r>
  <r>
    <x v="2"/>
    <x v="2"/>
    <x v="0"/>
    <x v="4"/>
    <n v="0.1"/>
  </r>
  <r>
    <x v="2"/>
    <x v="2"/>
    <x v="0"/>
    <x v="5"/>
    <n v="2.7"/>
  </r>
  <r>
    <x v="2"/>
    <x v="2"/>
    <x v="0"/>
    <x v="6"/>
    <n v="2.4"/>
  </r>
  <r>
    <x v="2"/>
    <x v="2"/>
    <x v="0"/>
    <x v="7"/>
    <n v="2.9"/>
  </r>
  <r>
    <x v="2"/>
    <x v="2"/>
    <x v="0"/>
    <x v="8"/>
    <n v="1.4000000000000001"/>
  </r>
  <r>
    <x v="2"/>
    <x v="2"/>
    <x v="0"/>
    <x v="9"/>
    <n v="3.4"/>
  </r>
  <r>
    <x v="2"/>
    <x v="2"/>
    <x v="0"/>
    <x v="10"/>
    <n v="2.5"/>
  </r>
  <r>
    <x v="2"/>
    <x v="2"/>
    <x v="0"/>
    <x v="11"/>
    <n v="85.7"/>
  </r>
  <r>
    <x v="3"/>
    <x v="2"/>
    <x v="0"/>
    <x v="0"/>
    <n v="14.9"/>
  </r>
  <r>
    <x v="3"/>
    <x v="2"/>
    <x v="0"/>
    <x v="1"/>
    <n v="0.4"/>
  </r>
  <r>
    <x v="3"/>
    <x v="2"/>
    <x v="0"/>
    <x v="2"/>
    <n v="16.100000000000001"/>
  </r>
  <r>
    <x v="3"/>
    <x v="2"/>
    <x v="0"/>
    <x v="3"/>
    <n v="2.1"/>
  </r>
  <r>
    <x v="3"/>
    <x v="2"/>
    <x v="0"/>
    <x v="4"/>
    <n v="0"/>
  </r>
  <r>
    <x v="3"/>
    <x v="2"/>
    <x v="0"/>
    <x v="5"/>
    <n v="1.4"/>
  </r>
  <r>
    <x v="3"/>
    <x v="2"/>
    <x v="0"/>
    <x v="6"/>
    <n v="0"/>
  </r>
  <r>
    <x v="3"/>
    <x v="2"/>
    <x v="0"/>
    <x v="7"/>
    <n v="1.4"/>
  </r>
  <r>
    <x v="3"/>
    <x v="2"/>
    <x v="0"/>
    <x v="8"/>
    <n v="4.5999999999999996"/>
  </r>
  <r>
    <x v="3"/>
    <x v="2"/>
    <x v="0"/>
    <x v="9"/>
    <n v="0.3"/>
  </r>
  <r>
    <x v="3"/>
    <x v="2"/>
    <x v="0"/>
    <x v="10"/>
    <n v="0"/>
  </r>
  <r>
    <x v="3"/>
    <x v="2"/>
    <x v="0"/>
    <x v="11"/>
    <n v="34.6"/>
  </r>
  <r>
    <x v="4"/>
    <x v="2"/>
    <x v="0"/>
    <x v="0"/>
    <n v="20.2"/>
  </r>
  <r>
    <x v="4"/>
    <x v="2"/>
    <x v="0"/>
    <x v="1"/>
    <n v="0"/>
  </r>
  <r>
    <x v="4"/>
    <x v="2"/>
    <x v="0"/>
    <x v="2"/>
    <n v="0"/>
  </r>
  <r>
    <x v="4"/>
    <x v="2"/>
    <x v="0"/>
    <x v="3"/>
    <n v="0.3"/>
  </r>
  <r>
    <x v="4"/>
    <x v="2"/>
    <x v="0"/>
    <x v="4"/>
    <n v="1.1000000000000001"/>
  </r>
  <r>
    <x v="4"/>
    <x v="2"/>
    <x v="0"/>
    <x v="5"/>
    <n v="0.1"/>
  </r>
  <r>
    <x v="4"/>
    <x v="2"/>
    <x v="0"/>
    <x v="6"/>
    <n v="0"/>
  </r>
  <r>
    <x v="4"/>
    <x v="2"/>
    <x v="0"/>
    <x v="7"/>
    <n v="0.5"/>
  </r>
  <r>
    <x v="4"/>
    <x v="2"/>
    <x v="0"/>
    <x v="8"/>
    <n v="36.299999999999997"/>
  </r>
  <r>
    <x v="4"/>
    <x v="2"/>
    <x v="0"/>
    <x v="9"/>
    <n v="0.4"/>
  </r>
  <r>
    <x v="4"/>
    <x v="2"/>
    <x v="0"/>
    <x v="10"/>
    <n v="2.7"/>
  </r>
  <r>
    <x v="4"/>
    <x v="2"/>
    <x v="0"/>
    <x v="11"/>
    <n v="66"/>
  </r>
  <r>
    <x v="5"/>
    <x v="2"/>
    <x v="0"/>
    <x v="0"/>
    <n v="0"/>
  </r>
  <r>
    <x v="5"/>
    <x v="2"/>
    <x v="0"/>
    <x v="1"/>
    <n v="0"/>
  </r>
  <r>
    <x v="5"/>
    <x v="2"/>
    <x v="0"/>
    <x v="2"/>
    <n v="0"/>
  </r>
  <r>
    <x v="5"/>
    <x v="2"/>
    <x v="0"/>
    <x v="3"/>
    <n v="0"/>
  </r>
  <r>
    <x v="5"/>
    <x v="2"/>
    <x v="0"/>
    <x v="4"/>
    <n v="4.5"/>
  </r>
  <r>
    <x v="5"/>
    <x v="2"/>
    <x v="0"/>
    <x v="5"/>
    <n v="0.2"/>
  </r>
  <r>
    <x v="5"/>
    <x v="2"/>
    <x v="0"/>
    <x v="6"/>
    <n v="0"/>
  </r>
  <r>
    <x v="5"/>
    <x v="2"/>
    <x v="0"/>
    <x v="7"/>
    <n v="0"/>
  </r>
  <r>
    <x v="5"/>
    <x v="2"/>
    <x v="0"/>
    <x v="8"/>
    <n v="0"/>
  </r>
  <r>
    <x v="5"/>
    <x v="2"/>
    <x v="0"/>
    <x v="9"/>
    <n v="0"/>
  </r>
  <r>
    <x v="5"/>
    <x v="2"/>
    <x v="0"/>
    <x v="10"/>
    <n v="0"/>
  </r>
  <r>
    <x v="5"/>
    <x v="2"/>
    <x v="0"/>
    <x v="11"/>
    <n v="4.7"/>
  </r>
  <r>
    <x v="6"/>
    <x v="2"/>
    <x v="0"/>
    <x v="0"/>
    <n v="22.7"/>
  </r>
  <r>
    <x v="6"/>
    <x v="2"/>
    <x v="0"/>
    <x v="1"/>
    <n v="5.2"/>
  </r>
  <r>
    <x v="6"/>
    <x v="2"/>
    <x v="0"/>
    <x v="2"/>
    <n v="32.9"/>
  </r>
  <r>
    <x v="6"/>
    <x v="2"/>
    <x v="0"/>
    <x v="3"/>
    <n v="6.3"/>
  </r>
  <r>
    <x v="6"/>
    <x v="2"/>
    <x v="0"/>
    <x v="4"/>
    <n v="0.2"/>
  </r>
  <r>
    <x v="6"/>
    <x v="2"/>
    <x v="0"/>
    <x v="5"/>
    <n v="0.5"/>
  </r>
  <r>
    <x v="6"/>
    <x v="2"/>
    <x v="0"/>
    <x v="6"/>
    <n v="0"/>
  </r>
  <r>
    <x v="6"/>
    <x v="2"/>
    <x v="0"/>
    <x v="7"/>
    <n v="2.1"/>
  </r>
  <r>
    <x v="6"/>
    <x v="2"/>
    <x v="0"/>
    <x v="8"/>
    <n v="3.2"/>
  </r>
  <r>
    <x v="6"/>
    <x v="2"/>
    <x v="0"/>
    <x v="9"/>
    <n v="4.3"/>
  </r>
  <r>
    <x v="6"/>
    <x v="2"/>
    <x v="0"/>
    <x v="10"/>
    <n v="0"/>
  </r>
  <r>
    <x v="6"/>
    <x v="2"/>
    <x v="0"/>
    <x v="11"/>
    <n v="66.5"/>
  </r>
  <r>
    <x v="7"/>
    <x v="2"/>
    <x v="0"/>
    <x v="0"/>
    <n v="80"/>
  </r>
  <r>
    <x v="7"/>
    <x v="2"/>
    <x v="0"/>
    <x v="1"/>
    <n v="100.5"/>
  </r>
  <r>
    <x v="7"/>
    <x v="2"/>
    <x v="0"/>
    <x v="2"/>
    <n v="138.4"/>
  </r>
  <r>
    <x v="7"/>
    <x v="2"/>
    <x v="0"/>
    <x v="3"/>
    <n v="91.1"/>
  </r>
  <r>
    <x v="7"/>
    <x v="2"/>
    <x v="0"/>
    <x v="4"/>
    <n v="7.4"/>
  </r>
  <r>
    <x v="7"/>
    <x v="2"/>
    <x v="0"/>
    <x v="5"/>
    <n v="66.099999999999994"/>
  </r>
  <r>
    <x v="7"/>
    <x v="2"/>
    <x v="0"/>
    <x v="6"/>
    <n v="12.1"/>
  </r>
  <r>
    <x v="7"/>
    <x v="2"/>
    <x v="0"/>
    <x v="7"/>
    <n v="34.9"/>
  </r>
  <r>
    <x v="7"/>
    <x v="2"/>
    <x v="0"/>
    <x v="8"/>
    <n v="26.900000000000002"/>
  </r>
  <r>
    <x v="7"/>
    <x v="2"/>
    <x v="0"/>
    <x v="9"/>
    <n v="40.700000000000003"/>
  </r>
  <r>
    <x v="7"/>
    <x v="2"/>
    <x v="0"/>
    <x v="10"/>
    <n v="11.7"/>
  </r>
  <r>
    <x v="7"/>
    <x v="2"/>
    <x v="0"/>
    <x v="11"/>
    <n v="555.9"/>
  </r>
  <r>
    <x v="8"/>
    <x v="2"/>
    <x v="0"/>
    <x v="0"/>
    <n v="0"/>
  </r>
  <r>
    <x v="8"/>
    <x v="2"/>
    <x v="0"/>
    <x v="1"/>
    <n v="8.1"/>
  </r>
  <r>
    <x v="8"/>
    <x v="2"/>
    <x v="0"/>
    <x v="2"/>
    <n v="0"/>
  </r>
  <r>
    <x v="8"/>
    <x v="2"/>
    <x v="0"/>
    <x v="3"/>
    <n v="2.2000000000000002"/>
  </r>
  <r>
    <x v="8"/>
    <x v="2"/>
    <x v="0"/>
    <x v="4"/>
    <n v="0.1"/>
  </r>
  <r>
    <x v="8"/>
    <x v="2"/>
    <x v="0"/>
    <x v="5"/>
    <n v="8.1"/>
  </r>
  <r>
    <x v="8"/>
    <x v="2"/>
    <x v="0"/>
    <x v="6"/>
    <n v="4.7"/>
  </r>
  <r>
    <x v="8"/>
    <x v="2"/>
    <x v="0"/>
    <x v="7"/>
    <n v="0.7"/>
  </r>
  <r>
    <x v="8"/>
    <x v="2"/>
    <x v="0"/>
    <x v="8"/>
    <n v="0"/>
  </r>
  <r>
    <x v="8"/>
    <x v="2"/>
    <x v="0"/>
    <x v="9"/>
    <n v="3.5"/>
  </r>
  <r>
    <x v="8"/>
    <x v="2"/>
    <x v="0"/>
    <x v="10"/>
    <n v="1.4"/>
  </r>
  <r>
    <x v="8"/>
    <x v="2"/>
    <x v="0"/>
    <x v="11"/>
    <n v="34.700000000000003"/>
  </r>
  <r>
    <x v="9"/>
    <x v="2"/>
    <x v="0"/>
    <x v="0"/>
    <n v="0"/>
  </r>
  <r>
    <x v="9"/>
    <x v="2"/>
    <x v="0"/>
    <x v="1"/>
    <n v="0"/>
  </r>
  <r>
    <x v="9"/>
    <x v="2"/>
    <x v="0"/>
    <x v="2"/>
    <n v="0"/>
  </r>
  <r>
    <x v="9"/>
    <x v="2"/>
    <x v="0"/>
    <x v="3"/>
    <n v="0"/>
  </r>
  <r>
    <x v="9"/>
    <x v="2"/>
    <x v="0"/>
    <x v="4"/>
    <n v="9"/>
  </r>
  <r>
    <x v="9"/>
    <x v="2"/>
    <x v="0"/>
    <x v="5"/>
    <n v="0.6"/>
  </r>
  <r>
    <x v="9"/>
    <x v="2"/>
    <x v="0"/>
    <x v="6"/>
    <n v="0"/>
  </r>
  <r>
    <x v="9"/>
    <x v="2"/>
    <x v="0"/>
    <x v="7"/>
    <n v="0"/>
  </r>
  <r>
    <x v="9"/>
    <x v="2"/>
    <x v="0"/>
    <x v="8"/>
    <n v="0"/>
  </r>
  <r>
    <x v="9"/>
    <x v="2"/>
    <x v="0"/>
    <x v="9"/>
    <n v="0.7"/>
  </r>
  <r>
    <x v="9"/>
    <x v="2"/>
    <x v="0"/>
    <x v="10"/>
    <n v="0.1"/>
  </r>
  <r>
    <x v="9"/>
    <x v="2"/>
    <x v="0"/>
    <x v="11"/>
    <n v="8.4"/>
  </r>
  <r>
    <x v="10"/>
    <x v="2"/>
    <x v="0"/>
    <x v="0"/>
    <n v="56.1"/>
  </r>
  <r>
    <x v="10"/>
    <x v="2"/>
    <x v="0"/>
    <x v="1"/>
    <n v="34.200000000000003"/>
  </r>
  <r>
    <x v="10"/>
    <x v="2"/>
    <x v="0"/>
    <x v="2"/>
    <n v="3.3"/>
  </r>
  <r>
    <x v="10"/>
    <x v="2"/>
    <x v="0"/>
    <x v="3"/>
    <n v="51.2"/>
  </r>
  <r>
    <x v="10"/>
    <x v="2"/>
    <x v="0"/>
    <x v="4"/>
    <n v="10.4"/>
  </r>
  <r>
    <x v="10"/>
    <x v="2"/>
    <x v="0"/>
    <x v="5"/>
    <n v="47.7"/>
  </r>
  <r>
    <x v="10"/>
    <x v="2"/>
    <x v="0"/>
    <x v="6"/>
    <n v="0"/>
  </r>
  <r>
    <x v="10"/>
    <x v="2"/>
    <x v="0"/>
    <x v="7"/>
    <n v="8"/>
  </r>
  <r>
    <x v="10"/>
    <x v="2"/>
    <x v="0"/>
    <x v="8"/>
    <n v="39.199999999999996"/>
  </r>
  <r>
    <x v="10"/>
    <x v="2"/>
    <x v="0"/>
    <x v="9"/>
    <n v="3.4"/>
  </r>
  <r>
    <x v="10"/>
    <x v="2"/>
    <x v="0"/>
    <x v="10"/>
    <n v="8.6999999999999993"/>
  </r>
  <r>
    <x v="10"/>
    <x v="2"/>
    <x v="0"/>
    <x v="11"/>
    <n v="269.8"/>
  </r>
  <r>
    <x v="11"/>
    <x v="2"/>
    <x v="0"/>
    <x v="0"/>
    <n v="22.3"/>
  </r>
  <r>
    <x v="11"/>
    <x v="2"/>
    <x v="0"/>
    <x v="1"/>
    <n v="6.9"/>
  </r>
  <r>
    <x v="11"/>
    <x v="2"/>
    <x v="0"/>
    <x v="2"/>
    <n v="0"/>
  </r>
  <r>
    <x v="11"/>
    <x v="2"/>
    <x v="0"/>
    <x v="3"/>
    <n v="3.5"/>
  </r>
  <r>
    <x v="11"/>
    <x v="2"/>
    <x v="0"/>
    <x v="4"/>
    <n v="3.1"/>
  </r>
  <r>
    <x v="11"/>
    <x v="2"/>
    <x v="0"/>
    <x v="5"/>
    <n v="3.1"/>
  </r>
  <r>
    <x v="11"/>
    <x v="2"/>
    <x v="0"/>
    <x v="6"/>
    <n v="0"/>
  </r>
  <r>
    <x v="11"/>
    <x v="2"/>
    <x v="0"/>
    <x v="7"/>
    <n v="0"/>
  </r>
  <r>
    <x v="11"/>
    <x v="2"/>
    <x v="0"/>
    <x v="8"/>
    <n v="15.6"/>
  </r>
  <r>
    <x v="11"/>
    <x v="2"/>
    <x v="0"/>
    <x v="9"/>
    <n v="10.8"/>
  </r>
  <r>
    <x v="11"/>
    <x v="2"/>
    <x v="0"/>
    <x v="10"/>
    <n v="0.9"/>
  </r>
  <r>
    <x v="11"/>
    <x v="2"/>
    <x v="0"/>
    <x v="11"/>
    <n v="85"/>
  </r>
  <r>
    <x v="12"/>
    <x v="2"/>
    <x v="0"/>
    <x v="0"/>
    <n v="384"/>
  </r>
  <r>
    <x v="12"/>
    <x v="2"/>
    <x v="0"/>
    <x v="1"/>
    <n v="7.3"/>
  </r>
  <r>
    <x v="12"/>
    <x v="2"/>
    <x v="0"/>
    <x v="2"/>
    <n v="0"/>
  </r>
  <r>
    <x v="12"/>
    <x v="2"/>
    <x v="0"/>
    <x v="3"/>
    <n v="35.1"/>
  </r>
  <r>
    <x v="12"/>
    <x v="2"/>
    <x v="0"/>
    <x v="4"/>
    <n v="3.5"/>
  </r>
  <r>
    <x v="12"/>
    <x v="2"/>
    <x v="0"/>
    <x v="5"/>
    <n v="20.7"/>
  </r>
  <r>
    <x v="12"/>
    <x v="2"/>
    <x v="0"/>
    <x v="6"/>
    <n v="0"/>
  </r>
  <r>
    <x v="12"/>
    <x v="2"/>
    <x v="0"/>
    <x v="7"/>
    <n v="8.4"/>
  </r>
  <r>
    <x v="12"/>
    <x v="2"/>
    <x v="0"/>
    <x v="8"/>
    <n v="64"/>
  </r>
  <r>
    <x v="12"/>
    <x v="2"/>
    <x v="0"/>
    <x v="9"/>
    <n v="4.2"/>
  </r>
  <r>
    <x v="12"/>
    <x v="2"/>
    <x v="0"/>
    <x v="10"/>
    <n v="4.3"/>
  </r>
  <r>
    <x v="12"/>
    <x v="2"/>
    <x v="0"/>
    <x v="11"/>
    <n v="489.8"/>
  </r>
  <r>
    <x v="13"/>
    <x v="2"/>
    <x v="0"/>
    <x v="0"/>
    <n v="66.8"/>
  </r>
  <r>
    <x v="13"/>
    <x v="2"/>
    <x v="0"/>
    <x v="1"/>
    <n v="30.2"/>
  </r>
  <r>
    <x v="13"/>
    <x v="2"/>
    <x v="0"/>
    <x v="2"/>
    <n v="0"/>
  </r>
  <r>
    <x v="13"/>
    <x v="2"/>
    <x v="0"/>
    <x v="3"/>
    <n v="150.1"/>
  </r>
  <r>
    <x v="13"/>
    <x v="2"/>
    <x v="0"/>
    <x v="4"/>
    <n v="0.1"/>
  </r>
  <r>
    <x v="13"/>
    <x v="2"/>
    <x v="0"/>
    <x v="5"/>
    <n v="25.3"/>
  </r>
  <r>
    <x v="13"/>
    <x v="2"/>
    <x v="0"/>
    <x v="6"/>
    <n v="12.7"/>
  </r>
  <r>
    <x v="13"/>
    <x v="2"/>
    <x v="0"/>
    <x v="7"/>
    <n v="9.6"/>
  </r>
  <r>
    <x v="13"/>
    <x v="2"/>
    <x v="0"/>
    <x v="8"/>
    <n v="7.5"/>
  </r>
  <r>
    <x v="13"/>
    <x v="2"/>
    <x v="0"/>
    <x v="9"/>
    <n v="18"/>
  </r>
  <r>
    <x v="13"/>
    <x v="2"/>
    <x v="0"/>
    <x v="10"/>
    <n v="0.1"/>
  </r>
  <r>
    <x v="13"/>
    <x v="2"/>
    <x v="0"/>
    <x v="11"/>
    <n v="338"/>
  </r>
  <r>
    <x v="14"/>
    <x v="2"/>
    <x v="0"/>
    <x v="0"/>
    <n v="0"/>
  </r>
  <r>
    <x v="14"/>
    <x v="2"/>
    <x v="0"/>
    <x v="1"/>
    <n v="0"/>
  </r>
  <r>
    <x v="14"/>
    <x v="2"/>
    <x v="0"/>
    <x v="2"/>
    <n v="14.9"/>
  </r>
  <r>
    <x v="14"/>
    <x v="2"/>
    <x v="0"/>
    <x v="3"/>
    <n v="12.5"/>
  </r>
  <r>
    <x v="14"/>
    <x v="2"/>
    <x v="0"/>
    <x v="4"/>
    <n v="0"/>
  </r>
  <r>
    <x v="14"/>
    <x v="2"/>
    <x v="0"/>
    <x v="5"/>
    <n v="4.3"/>
  </r>
  <r>
    <x v="14"/>
    <x v="2"/>
    <x v="0"/>
    <x v="6"/>
    <n v="0"/>
  </r>
  <r>
    <x v="14"/>
    <x v="2"/>
    <x v="0"/>
    <x v="7"/>
    <n v="3.7"/>
  </r>
  <r>
    <x v="14"/>
    <x v="2"/>
    <x v="0"/>
    <x v="8"/>
    <n v="5.5"/>
  </r>
  <r>
    <x v="14"/>
    <x v="2"/>
    <x v="0"/>
    <x v="9"/>
    <n v="0.3"/>
  </r>
  <r>
    <x v="14"/>
    <x v="2"/>
    <x v="0"/>
    <x v="10"/>
    <n v="1.3"/>
  </r>
  <r>
    <x v="14"/>
    <x v="2"/>
    <x v="0"/>
    <x v="11"/>
    <n v="51.3"/>
  </r>
  <r>
    <x v="15"/>
    <x v="2"/>
    <x v="0"/>
    <x v="0"/>
    <n v="0"/>
  </r>
  <r>
    <x v="15"/>
    <x v="2"/>
    <x v="0"/>
    <x v="1"/>
    <n v="2.4"/>
  </r>
  <r>
    <x v="15"/>
    <x v="2"/>
    <x v="0"/>
    <x v="2"/>
    <n v="0"/>
  </r>
  <r>
    <x v="15"/>
    <x v="2"/>
    <x v="0"/>
    <x v="3"/>
    <n v="1.3"/>
  </r>
  <r>
    <x v="15"/>
    <x v="2"/>
    <x v="0"/>
    <x v="4"/>
    <n v="0"/>
  </r>
  <r>
    <x v="15"/>
    <x v="2"/>
    <x v="0"/>
    <x v="5"/>
    <n v="1"/>
  </r>
  <r>
    <x v="15"/>
    <x v="2"/>
    <x v="0"/>
    <x v="6"/>
    <n v="0"/>
  </r>
  <r>
    <x v="15"/>
    <x v="2"/>
    <x v="0"/>
    <x v="7"/>
    <n v="0.1"/>
  </r>
  <r>
    <x v="15"/>
    <x v="2"/>
    <x v="0"/>
    <x v="8"/>
    <n v="6.1"/>
  </r>
  <r>
    <x v="15"/>
    <x v="2"/>
    <x v="0"/>
    <x v="9"/>
    <n v="0.30000000000000004"/>
  </r>
  <r>
    <x v="15"/>
    <x v="2"/>
    <x v="0"/>
    <x v="10"/>
    <n v="0.1"/>
  </r>
  <r>
    <x v="15"/>
    <x v="2"/>
    <x v="0"/>
    <x v="11"/>
    <n v="17.600000000000001"/>
  </r>
  <r>
    <x v="16"/>
    <x v="2"/>
    <x v="0"/>
    <x v="0"/>
    <n v="15.1"/>
  </r>
  <r>
    <x v="16"/>
    <x v="2"/>
    <x v="0"/>
    <x v="1"/>
    <n v="0.1"/>
  </r>
  <r>
    <x v="16"/>
    <x v="2"/>
    <x v="0"/>
    <x v="2"/>
    <n v="5.4"/>
  </r>
  <r>
    <x v="16"/>
    <x v="2"/>
    <x v="0"/>
    <x v="3"/>
    <n v="4.5"/>
  </r>
  <r>
    <x v="16"/>
    <x v="2"/>
    <x v="0"/>
    <x v="4"/>
    <n v="0"/>
  </r>
  <r>
    <x v="16"/>
    <x v="2"/>
    <x v="0"/>
    <x v="5"/>
    <n v="0.7"/>
  </r>
  <r>
    <x v="16"/>
    <x v="2"/>
    <x v="0"/>
    <x v="6"/>
    <n v="0"/>
  </r>
  <r>
    <x v="16"/>
    <x v="2"/>
    <x v="0"/>
    <x v="7"/>
    <n v="0"/>
  </r>
  <r>
    <x v="16"/>
    <x v="2"/>
    <x v="0"/>
    <x v="8"/>
    <n v="0.3"/>
  </r>
  <r>
    <x v="16"/>
    <x v="2"/>
    <x v="0"/>
    <x v="9"/>
    <n v="1.7"/>
  </r>
  <r>
    <x v="16"/>
    <x v="2"/>
    <x v="0"/>
    <x v="10"/>
    <n v="0.4"/>
  </r>
  <r>
    <x v="16"/>
    <x v="2"/>
    <x v="0"/>
    <x v="11"/>
    <n v="40.9"/>
  </r>
  <r>
    <x v="17"/>
    <x v="2"/>
    <x v="0"/>
    <x v="0"/>
    <n v="0"/>
  </r>
  <r>
    <x v="17"/>
    <x v="2"/>
    <x v="0"/>
    <x v="1"/>
    <n v="4.5999999999999996"/>
  </r>
  <r>
    <x v="17"/>
    <x v="2"/>
    <x v="0"/>
    <x v="2"/>
    <n v="0"/>
  </r>
  <r>
    <x v="17"/>
    <x v="2"/>
    <x v="0"/>
    <x v="3"/>
    <n v="14.2"/>
  </r>
  <r>
    <x v="17"/>
    <x v="2"/>
    <x v="0"/>
    <x v="4"/>
    <n v="2.6"/>
  </r>
  <r>
    <x v="17"/>
    <x v="2"/>
    <x v="0"/>
    <x v="5"/>
    <n v="6.1"/>
  </r>
  <r>
    <x v="17"/>
    <x v="2"/>
    <x v="0"/>
    <x v="6"/>
    <n v="0"/>
  </r>
  <r>
    <x v="17"/>
    <x v="2"/>
    <x v="0"/>
    <x v="7"/>
    <n v="0"/>
  </r>
  <r>
    <x v="17"/>
    <x v="2"/>
    <x v="0"/>
    <x v="8"/>
    <n v="1"/>
  </r>
  <r>
    <x v="17"/>
    <x v="2"/>
    <x v="0"/>
    <x v="9"/>
    <n v="0"/>
  </r>
  <r>
    <x v="17"/>
    <x v="2"/>
    <x v="0"/>
    <x v="10"/>
    <n v="0.4"/>
  </r>
  <r>
    <x v="17"/>
    <x v="2"/>
    <x v="0"/>
    <x v="11"/>
    <n v="28.1"/>
  </r>
  <r>
    <x v="18"/>
    <x v="2"/>
    <x v="0"/>
    <x v="0"/>
    <n v="0"/>
  </r>
  <r>
    <x v="18"/>
    <x v="2"/>
    <x v="0"/>
    <x v="1"/>
    <n v="0"/>
  </r>
  <r>
    <x v="18"/>
    <x v="2"/>
    <x v="0"/>
    <x v="2"/>
    <n v="0"/>
  </r>
  <r>
    <x v="18"/>
    <x v="2"/>
    <x v="0"/>
    <x v="3"/>
    <n v="0"/>
  </r>
  <r>
    <x v="18"/>
    <x v="2"/>
    <x v="0"/>
    <x v="4"/>
    <n v="0"/>
  </r>
  <r>
    <x v="18"/>
    <x v="2"/>
    <x v="0"/>
    <x v="5"/>
    <n v="0"/>
  </r>
  <r>
    <x v="18"/>
    <x v="2"/>
    <x v="0"/>
    <x v="6"/>
    <n v="0"/>
  </r>
  <r>
    <x v="18"/>
    <x v="2"/>
    <x v="0"/>
    <x v="7"/>
    <n v="0"/>
  </r>
  <r>
    <x v="18"/>
    <x v="2"/>
    <x v="0"/>
    <x v="8"/>
    <n v="13.4"/>
  </r>
  <r>
    <x v="18"/>
    <x v="2"/>
    <x v="0"/>
    <x v="9"/>
    <n v="0"/>
  </r>
  <r>
    <x v="18"/>
    <x v="2"/>
    <x v="0"/>
    <x v="10"/>
    <n v="4.7"/>
  </r>
  <r>
    <x v="18"/>
    <x v="2"/>
    <x v="0"/>
    <x v="11"/>
    <n v="18.100000000000001"/>
  </r>
  <r>
    <x v="19"/>
    <x v="2"/>
    <x v="0"/>
    <x v="0"/>
    <n v="0"/>
  </r>
  <r>
    <x v="19"/>
    <x v="2"/>
    <x v="0"/>
    <x v="1"/>
    <n v="41.8"/>
  </r>
  <r>
    <x v="19"/>
    <x v="2"/>
    <x v="0"/>
    <x v="2"/>
    <n v="0"/>
  </r>
  <r>
    <x v="19"/>
    <x v="2"/>
    <x v="0"/>
    <x v="3"/>
    <n v="109.3"/>
  </r>
  <r>
    <x v="19"/>
    <x v="2"/>
    <x v="0"/>
    <x v="4"/>
    <n v="5.4"/>
  </r>
  <r>
    <x v="19"/>
    <x v="2"/>
    <x v="0"/>
    <x v="5"/>
    <n v="17.399999999999999"/>
  </r>
  <r>
    <x v="19"/>
    <x v="2"/>
    <x v="0"/>
    <x v="6"/>
    <n v="0"/>
  </r>
  <r>
    <x v="19"/>
    <x v="2"/>
    <x v="0"/>
    <x v="7"/>
    <n v="22.5"/>
  </r>
  <r>
    <x v="19"/>
    <x v="2"/>
    <x v="0"/>
    <x v="8"/>
    <n v="42.3"/>
  </r>
  <r>
    <x v="19"/>
    <x v="2"/>
    <x v="0"/>
    <x v="9"/>
    <n v="16.399999999999999"/>
  </r>
  <r>
    <x v="19"/>
    <x v="2"/>
    <x v="0"/>
    <x v="10"/>
    <n v="18.599999999999998"/>
  </r>
  <r>
    <x v="19"/>
    <x v="2"/>
    <x v="0"/>
    <x v="11"/>
    <n v="310.79999999999995"/>
  </r>
  <r>
    <x v="20"/>
    <x v="2"/>
    <x v="0"/>
    <x v="0"/>
    <n v="0"/>
  </r>
  <r>
    <x v="20"/>
    <x v="2"/>
    <x v="0"/>
    <x v="1"/>
    <n v="0"/>
  </r>
  <r>
    <x v="20"/>
    <x v="2"/>
    <x v="0"/>
    <x v="2"/>
    <n v="0"/>
  </r>
  <r>
    <x v="20"/>
    <x v="2"/>
    <x v="0"/>
    <x v="3"/>
    <n v="0.8"/>
  </r>
  <r>
    <x v="20"/>
    <x v="2"/>
    <x v="0"/>
    <x v="4"/>
    <n v="0.2"/>
  </r>
  <r>
    <x v="20"/>
    <x v="2"/>
    <x v="0"/>
    <x v="5"/>
    <n v="1.1000000000000001"/>
  </r>
  <r>
    <x v="20"/>
    <x v="2"/>
    <x v="0"/>
    <x v="6"/>
    <n v="0"/>
  </r>
  <r>
    <x v="20"/>
    <x v="2"/>
    <x v="0"/>
    <x v="7"/>
    <n v="0.1"/>
  </r>
  <r>
    <x v="20"/>
    <x v="2"/>
    <x v="0"/>
    <x v="8"/>
    <n v="1"/>
  </r>
  <r>
    <x v="20"/>
    <x v="2"/>
    <x v="0"/>
    <x v="9"/>
    <n v="0.30000000000000004"/>
  </r>
  <r>
    <x v="20"/>
    <x v="2"/>
    <x v="0"/>
    <x v="10"/>
    <n v="0.4"/>
  </r>
  <r>
    <x v="20"/>
    <x v="2"/>
    <x v="0"/>
    <x v="11"/>
    <n v="12.200000000000001"/>
  </r>
  <r>
    <x v="21"/>
    <x v="2"/>
    <x v="0"/>
    <x v="0"/>
    <n v="0"/>
  </r>
  <r>
    <x v="21"/>
    <x v="2"/>
    <x v="0"/>
    <x v="1"/>
    <n v="0"/>
  </r>
  <r>
    <x v="21"/>
    <x v="2"/>
    <x v="0"/>
    <x v="2"/>
    <n v="0"/>
  </r>
  <r>
    <x v="21"/>
    <x v="2"/>
    <x v="0"/>
    <x v="3"/>
    <n v="0.3"/>
  </r>
  <r>
    <x v="21"/>
    <x v="2"/>
    <x v="0"/>
    <x v="4"/>
    <n v="0"/>
  </r>
  <r>
    <x v="21"/>
    <x v="2"/>
    <x v="0"/>
    <x v="5"/>
    <n v="0.1"/>
  </r>
  <r>
    <x v="21"/>
    <x v="2"/>
    <x v="0"/>
    <x v="6"/>
    <n v="0"/>
  </r>
  <r>
    <x v="21"/>
    <x v="2"/>
    <x v="0"/>
    <x v="7"/>
    <n v="0.1"/>
  </r>
  <r>
    <x v="21"/>
    <x v="2"/>
    <x v="0"/>
    <x v="8"/>
    <n v="1.5"/>
  </r>
  <r>
    <x v="21"/>
    <x v="2"/>
    <x v="0"/>
    <x v="9"/>
    <n v="0.1"/>
  </r>
  <r>
    <x v="21"/>
    <x v="2"/>
    <x v="0"/>
    <x v="10"/>
    <n v="0.1"/>
  </r>
  <r>
    <x v="21"/>
    <x v="2"/>
    <x v="0"/>
    <x v="11"/>
    <n v="8.4"/>
  </r>
  <r>
    <x v="22"/>
    <x v="2"/>
    <x v="0"/>
    <x v="0"/>
    <n v="0"/>
  </r>
  <r>
    <x v="22"/>
    <x v="2"/>
    <x v="0"/>
    <x v="1"/>
    <n v="0"/>
  </r>
  <r>
    <x v="22"/>
    <x v="2"/>
    <x v="0"/>
    <x v="2"/>
    <n v="0"/>
  </r>
  <r>
    <x v="22"/>
    <x v="2"/>
    <x v="0"/>
    <x v="3"/>
    <n v="2.2000000000000002"/>
  </r>
  <r>
    <x v="22"/>
    <x v="2"/>
    <x v="0"/>
    <x v="4"/>
    <n v="0.6"/>
  </r>
  <r>
    <x v="22"/>
    <x v="2"/>
    <x v="0"/>
    <x v="5"/>
    <n v="0.1"/>
  </r>
  <r>
    <x v="22"/>
    <x v="2"/>
    <x v="0"/>
    <x v="6"/>
    <n v="0"/>
  </r>
  <r>
    <x v="22"/>
    <x v="2"/>
    <x v="0"/>
    <x v="7"/>
    <n v="0"/>
  </r>
  <r>
    <x v="22"/>
    <x v="2"/>
    <x v="0"/>
    <x v="8"/>
    <n v="2.5"/>
  </r>
  <r>
    <x v="22"/>
    <x v="2"/>
    <x v="0"/>
    <x v="9"/>
    <n v="0.8"/>
  </r>
  <r>
    <x v="22"/>
    <x v="2"/>
    <x v="0"/>
    <x v="10"/>
    <n v="0"/>
  </r>
  <r>
    <x v="22"/>
    <x v="2"/>
    <x v="0"/>
    <x v="11"/>
    <n v="7.3"/>
  </r>
  <r>
    <x v="23"/>
    <x v="2"/>
    <x v="0"/>
    <x v="0"/>
    <n v="0"/>
  </r>
  <r>
    <x v="23"/>
    <x v="2"/>
    <x v="0"/>
    <x v="1"/>
    <n v="0"/>
  </r>
  <r>
    <x v="23"/>
    <x v="2"/>
    <x v="0"/>
    <x v="2"/>
    <n v="1.2"/>
  </r>
  <r>
    <x v="23"/>
    <x v="2"/>
    <x v="0"/>
    <x v="3"/>
    <n v="0"/>
  </r>
  <r>
    <x v="23"/>
    <x v="2"/>
    <x v="0"/>
    <x v="4"/>
    <n v="0"/>
  </r>
  <r>
    <x v="23"/>
    <x v="2"/>
    <x v="0"/>
    <x v="5"/>
    <n v="0"/>
  </r>
  <r>
    <x v="23"/>
    <x v="2"/>
    <x v="0"/>
    <x v="6"/>
    <n v="0"/>
  </r>
  <r>
    <x v="23"/>
    <x v="2"/>
    <x v="0"/>
    <x v="7"/>
    <n v="0"/>
  </r>
  <r>
    <x v="23"/>
    <x v="2"/>
    <x v="0"/>
    <x v="8"/>
    <n v="1.7999999999999998"/>
  </r>
  <r>
    <x v="23"/>
    <x v="2"/>
    <x v="0"/>
    <x v="9"/>
    <n v="0"/>
  </r>
  <r>
    <x v="23"/>
    <x v="2"/>
    <x v="0"/>
    <x v="10"/>
    <n v="0"/>
  </r>
  <r>
    <x v="23"/>
    <x v="2"/>
    <x v="0"/>
    <x v="11"/>
    <n v="3.2"/>
  </r>
  <r>
    <x v="24"/>
    <x v="2"/>
    <x v="0"/>
    <x v="0"/>
    <n v="0"/>
  </r>
  <r>
    <x v="24"/>
    <x v="2"/>
    <x v="0"/>
    <x v="1"/>
    <n v="0"/>
  </r>
  <r>
    <x v="24"/>
    <x v="2"/>
    <x v="0"/>
    <x v="2"/>
    <n v="2.8"/>
  </r>
  <r>
    <x v="24"/>
    <x v="2"/>
    <x v="0"/>
    <x v="3"/>
    <n v="0.6"/>
  </r>
  <r>
    <x v="24"/>
    <x v="2"/>
    <x v="0"/>
    <x v="4"/>
    <n v="0"/>
  </r>
  <r>
    <x v="24"/>
    <x v="2"/>
    <x v="0"/>
    <x v="5"/>
    <n v="0.1"/>
  </r>
  <r>
    <x v="24"/>
    <x v="2"/>
    <x v="0"/>
    <x v="6"/>
    <n v="0"/>
  </r>
  <r>
    <x v="24"/>
    <x v="2"/>
    <x v="0"/>
    <x v="7"/>
    <n v="0"/>
  </r>
  <r>
    <x v="24"/>
    <x v="2"/>
    <x v="0"/>
    <x v="8"/>
    <n v="1.6"/>
  </r>
  <r>
    <x v="24"/>
    <x v="2"/>
    <x v="0"/>
    <x v="9"/>
    <n v="0"/>
  </r>
  <r>
    <x v="24"/>
    <x v="2"/>
    <x v="0"/>
    <x v="10"/>
    <n v="0"/>
  </r>
  <r>
    <x v="24"/>
    <x v="2"/>
    <x v="0"/>
    <x v="11"/>
    <n v="7.1"/>
  </r>
  <r>
    <x v="26"/>
    <x v="2"/>
    <x v="0"/>
    <x v="0"/>
    <n v="3.1"/>
  </r>
  <r>
    <x v="26"/>
    <x v="2"/>
    <x v="0"/>
    <x v="1"/>
    <n v="20.6"/>
  </r>
  <r>
    <x v="26"/>
    <x v="2"/>
    <x v="0"/>
    <x v="2"/>
    <n v="0"/>
  </r>
  <r>
    <x v="26"/>
    <x v="2"/>
    <x v="0"/>
    <x v="3"/>
    <n v="73"/>
  </r>
  <r>
    <x v="26"/>
    <x v="2"/>
    <x v="0"/>
    <x v="4"/>
    <n v="0"/>
  </r>
  <r>
    <x v="26"/>
    <x v="2"/>
    <x v="0"/>
    <x v="5"/>
    <n v="5.8"/>
  </r>
  <r>
    <x v="26"/>
    <x v="2"/>
    <x v="0"/>
    <x v="6"/>
    <n v="2"/>
  </r>
  <r>
    <x v="26"/>
    <x v="2"/>
    <x v="0"/>
    <x v="7"/>
    <n v="1.5"/>
  </r>
  <r>
    <x v="26"/>
    <x v="2"/>
    <x v="0"/>
    <x v="8"/>
    <n v="0.1"/>
  </r>
  <r>
    <x v="26"/>
    <x v="2"/>
    <x v="0"/>
    <x v="9"/>
    <n v="3.5"/>
  </r>
  <r>
    <x v="26"/>
    <x v="2"/>
    <x v="0"/>
    <x v="10"/>
    <n v="0"/>
  </r>
  <r>
    <x v="26"/>
    <x v="2"/>
    <x v="0"/>
    <x v="11"/>
    <n v="114.5"/>
  </r>
  <r>
    <x v="27"/>
    <x v="2"/>
    <x v="0"/>
    <x v="0"/>
    <n v="0"/>
  </r>
  <r>
    <x v="27"/>
    <x v="2"/>
    <x v="0"/>
    <x v="1"/>
    <n v="0"/>
  </r>
  <r>
    <x v="27"/>
    <x v="2"/>
    <x v="0"/>
    <x v="2"/>
    <n v="0"/>
  </r>
  <r>
    <x v="27"/>
    <x v="2"/>
    <x v="0"/>
    <x v="3"/>
    <n v="3.1"/>
  </r>
  <r>
    <x v="27"/>
    <x v="2"/>
    <x v="0"/>
    <x v="4"/>
    <n v="0"/>
  </r>
  <r>
    <x v="27"/>
    <x v="2"/>
    <x v="0"/>
    <x v="5"/>
    <n v="2.1"/>
  </r>
  <r>
    <x v="27"/>
    <x v="2"/>
    <x v="0"/>
    <x v="6"/>
    <n v="0"/>
  </r>
  <r>
    <x v="27"/>
    <x v="2"/>
    <x v="0"/>
    <x v="7"/>
    <n v="0"/>
  </r>
  <r>
    <x v="27"/>
    <x v="2"/>
    <x v="0"/>
    <x v="8"/>
    <n v="143.4"/>
  </r>
  <r>
    <x v="27"/>
    <x v="2"/>
    <x v="0"/>
    <x v="9"/>
    <n v="0"/>
  </r>
  <r>
    <x v="27"/>
    <x v="2"/>
    <x v="0"/>
    <x v="10"/>
    <n v="0.2"/>
  </r>
  <r>
    <x v="27"/>
    <x v="2"/>
    <x v="0"/>
    <x v="11"/>
    <n v="133.19999999999999"/>
  </r>
  <r>
    <x v="28"/>
    <x v="2"/>
    <x v="0"/>
    <x v="0"/>
    <n v="0"/>
  </r>
  <r>
    <x v="28"/>
    <x v="2"/>
    <x v="0"/>
    <x v="1"/>
    <n v="71.7"/>
  </r>
  <r>
    <x v="28"/>
    <x v="2"/>
    <x v="0"/>
    <x v="2"/>
    <n v="46.5"/>
  </r>
  <r>
    <x v="28"/>
    <x v="2"/>
    <x v="0"/>
    <x v="3"/>
    <n v="6.8"/>
  </r>
  <r>
    <x v="28"/>
    <x v="2"/>
    <x v="0"/>
    <x v="4"/>
    <n v="1.7"/>
  </r>
  <r>
    <x v="28"/>
    <x v="2"/>
    <x v="0"/>
    <x v="5"/>
    <n v="12.2"/>
  </r>
  <r>
    <x v="28"/>
    <x v="2"/>
    <x v="0"/>
    <x v="6"/>
    <n v="0"/>
  </r>
  <r>
    <x v="28"/>
    <x v="2"/>
    <x v="0"/>
    <x v="7"/>
    <n v="0.1"/>
  </r>
  <r>
    <x v="28"/>
    <x v="2"/>
    <x v="0"/>
    <x v="8"/>
    <n v="2.6"/>
  </r>
  <r>
    <x v="28"/>
    <x v="2"/>
    <x v="0"/>
    <x v="9"/>
    <n v="7.2"/>
  </r>
  <r>
    <x v="28"/>
    <x v="2"/>
    <x v="0"/>
    <x v="10"/>
    <n v="5.2"/>
  </r>
  <r>
    <x v="28"/>
    <x v="2"/>
    <x v="0"/>
    <x v="11"/>
    <n v="156.10000000000002"/>
  </r>
  <r>
    <x v="29"/>
    <x v="2"/>
    <x v="0"/>
    <x v="0"/>
    <n v="0"/>
  </r>
  <r>
    <x v="29"/>
    <x v="2"/>
    <x v="0"/>
    <x v="1"/>
    <n v="11.7"/>
  </r>
  <r>
    <x v="29"/>
    <x v="2"/>
    <x v="0"/>
    <x v="2"/>
    <n v="0"/>
  </r>
  <r>
    <x v="29"/>
    <x v="2"/>
    <x v="0"/>
    <x v="3"/>
    <n v="11.6"/>
  </r>
  <r>
    <x v="29"/>
    <x v="2"/>
    <x v="0"/>
    <x v="4"/>
    <n v="0.4"/>
  </r>
  <r>
    <x v="29"/>
    <x v="2"/>
    <x v="0"/>
    <x v="5"/>
    <n v="12.2"/>
  </r>
  <r>
    <x v="29"/>
    <x v="2"/>
    <x v="0"/>
    <x v="6"/>
    <n v="0"/>
  </r>
  <r>
    <x v="29"/>
    <x v="2"/>
    <x v="0"/>
    <x v="7"/>
    <n v="0.8"/>
  </r>
  <r>
    <x v="29"/>
    <x v="2"/>
    <x v="0"/>
    <x v="8"/>
    <n v="16.600000000000001"/>
  </r>
  <r>
    <x v="29"/>
    <x v="2"/>
    <x v="0"/>
    <x v="9"/>
    <n v="2.7"/>
  </r>
  <r>
    <x v="29"/>
    <x v="2"/>
    <x v="0"/>
    <x v="10"/>
    <n v="0"/>
  </r>
  <r>
    <x v="29"/>
    <x v="2"/>
    <x v="0"/>
    <x v="11"/>
    <n v="50.8"/>
  </r>
  <r>
    <x v="30"/>
    <x v="2"/>
    <x v="0"/>
    <x v="0"/>
    <n v="10.4"/>
  </r>
  <r>
    <x v="30"/>
    <x v="2"/>
    <x v="0"/>
    <x v="1"/>
    <n v="1.4"/>
  </r>
  <r>
    <x v="30"/>
    <x v="2"/>
    <x v="0"/>
    <x v="2"/>
    <n v="12.8"/>
  </r>
  <r>
    <x v="30"/>
    <x v="2"/>
    <x v="0"/>
    <x v="3"/>
    <n v="4.5999999999999996"/>
  </r>
  <r>
    <x v="30"/>
    <x v="2"/>
    <x v="0"/>
    <x v="4"/>
    <n v="4.7"/>
  </r>
  <r>
    <x v="30"/>
    <x v="2"/>
    <x v="0"/>
    <x v="5"/>
    <n v="6.5"/>
  </r>
  <r>
    <x v="30"/>
    <x v="2"/>
    <x v="0"/>
    <x v="6"/>
    <n v="0"/>
  </r>
  <r>
    <x v="30"/>
    <x v="2"/>
    <x v="0"/>
    <x v="7"/>
    <n v="1.8"/>
  </r>
  <r>
    <x v="30"/>
    <x v="2"/>
    <x v="0"/>
    <x v="8"/>
    <n v="18"/>
  </r>
  <r>
    <x v="30"/>
    <x v="2"/>
    <x v="0"/>
    <x v="9"/>
    <n v="0.4"/>
  </r>
  <r>
    <x v="30"/>
    <x v="2"/>
    <x v="0"/>
    <x v="10"/>
    <n v="0"/>
  </r>
  <r>
    <x v="30"/>
    <x v="2"/>
    <x v="0"/>
    <x v="11"/>
    <n v="55.699999999999996"/>
  </r>
  <r>
    <x v="31"/>
    <x v="2"/>
    <x v="0"/>
    <x v="0"/>
    <n v="0"/>
  </r>
  <r>
    <x v="31"/>
    <x v="2"/>
    <x v="0"/>
    <x v="1"/>
    <n v="0"/>
  </r>
  <r>
    <x v="31"/>
    <x v="2"/>
    <x v="0"/>
    <x v="2"/>
    <n v="30.8"/>
  </r>
  <r>
    <x v="31"/>
    <x v="2"/>
    <x v="0"/>
    <x v="3"/>
    <n v="0.1"/>
  </r>
  <r>
    <x v="31"/>
    <x v="2"/>
    <x v="0"/>
    <x v="4"/>
    <n v="0"/>
  </r>
  <r>
    <x v="31"/>
    <x v="2"/>
    <x v="0"/>
    <x v="5"/>
    <n v="0"/>
  </r>
  <r>
    <x v="31"/>
    <x v="2"/>
    <x v="0"/>
    <x v="6"/>
    <n v="0"/>
  </r>
  <r>
    <x v="31"/>
    <x v="2"/>
    <x v="0"/>
    <x v="7"/>
    <n v="0"/>
  </r>
  <r>
    <x v="31"/>
    <x v="2"/>
    <x v="0"/>
    <x v="8"/>
    <n v="11.299999999999999"/>
  </r>
  <r>
    <x v="31"/>
    <x v="2"/>
    <x v="0"/>
    <x v="9"/>
    <n v="0"/>
  </r>
  <r>
    <x v="31"/>
    <x v="2"/>
    <x v="0"/>
    <x v="10"/>
    <n v="0"/>
  </r>
  <r>
    <x v="31"/>
    <x v="2"/>
    <x v="0"/>
    <x v="11"/>
    <n v="39.799999999999997"/>
  </r>
  <r>
    <x v="32"/>
    <x v="2"/>
    <x v="0"/>
    <x v="0"/>
    <n v="60.5"/>
  </r>
  <r>
    <x v="32"/>
    <x v="2"/>
    <x v="0"/>
    <x v="1"/>
    <n v="0.3"/>
  </r>
  <r>
    <x v="32"/>
    <x v="2"/>
    <x v="0"/>
    <x v="2"/>
    <n v="0"/>
  </r>
  <r>
    <x v="32"/>
    <x v="2"/>
    <x v="0"/>
    <x v="3"/>
    <n v="1.3"/>
  </r>
  <r>
    <x v="32"/>
    <x v="2"/>
    <x v="0"/>
    <x v="4"/>
    <n v="1.7"/>
  </r>
  <r>
    <x v="32"/>
    <x v="2"/>
    <x v="0"/>
    <x v="5"/>
    <n v="15.4"/>
  </r>
  <r>
    <x v="32"/>
    <x v="2"/>
    <x v="0"/>
    <x v="6"/>
    <n v="0"/>
  </r>
  <r>
    <x v="32"/>
    <x v="2"/>
    <x v="0"/>
    <x v="7"/>
    <n v="0"/>
  </r>
  <r>
    <x v="32"/>
    <x v="2"/>
    <x v="0"/>
    <x v="8"/>
    <n v="61.2"/>
  </r>
  <r>
    <x v="32"/>
    <x v="2"/>
    <x v="0"/>
    <x v="9"/>
    <n v="9"/>
  </r>
  <r>
    <x v="32"/>
    <x v="2"/>
    <x v="0"/>
    <x v="10"/>
    <n v="2"/>
  </r>
  <r>
    <x v="32"/>
    <x v="2"/>
    <x v="0"/>
    <x v="11"/>
    <n v="139.80000000000001"/>
  </r>
  <r>
    <x v="33"/>
    <x v="2"/>
    <x v="0"/>
    <x v="0"/>
    <n v="5.4"/>
  </r>
  <r>
    <x v="33"/>
    <x v="2"/>
    <x v="0"/>
    <x v="1"/>
    <n v="0"/>
  </r>
  <r>
    <x v="33"/>
    <x v="2"/>
    <x v="0"/>
    <x v="2"/>
    <n v="4.4000000000000004"/>
  </r>
  <r>
    <x v="33"/>
    <x v="2"/>
    <x v="0"/>
    <x v="3"/>
    <n v="0"/>
  </r>
  <r>
    <x v="33"/>
    <x v="2"/>
    <x v="0"/>
    <x v="4"/>
    <n v="0"/>
  </r>
  <r>
    <x v="33"/>
    <x v="2"/>
    <x v="0"/>
    <x v="5"/>
    <n v="0"/>
  </r>
  <r>
    <x v="33"/>
    <x v="2"/>
    <x v="0"/>
    <x v="6"/>
    <n v="0"/>
  </r>
  <r>
    <x v="33"/>
    <x v="2"/>
    <x v="0"/>
    <x v="7"/>
    <n v="0.2"/>
  </r>
  <r>
    <x v="33"/>
    <x v="2"/>
    <x v="0"/>
    <x v="8"/>
    <n v="4.7"/>
  </r>
  <r>
    <x v="33"/>
    <x v="2"/>
    <x v="0"/>
    <x v="9"/>
    <n v="0.2"/>
  </r>
  <r>
    <x v="33"/>
    <x v="2"/>
    <x v="0"/>
    <x v="10"/>
    <n v="0.30000000000000004"/>
  </r>
  <r>
    <x v="33"/>
    <x v="2"/>
    <x v="0"/>
    <x v="11"/>
    <n v="14.200000000000001"/>
  </r>
  <r>
    <x v="34"/>
    <x v="2"/>
    <x v="0"/>
    <x v="0"/>
    <n v="13.8"/>
  </r>
  <r>
    <x v="34"/>
    <x v="2"/>
    <x v="0"/>
    <x v="1"/>
    <n v="0.9"/>
  </r>
  <r>
    <x v="34"/>
    <x v="2"/>
    <x v="0"/>
    <x v="2"/>
    <n v="1.5"/>
  </r>
  <r>
    <x v="34"/>
    <x v="2"/>
    <x v="0"/>
    <x v="3"/>
    <n v="1.9"/>
  </r>
  <r>
    <x v="34"/>
    <x v="2"/>
    <x v="0"/>
    <x v="4"/>
    <n v="0.3"/>
  </r>
  <r>
    <x v="34"/>
    <x v="2"/>
    <x v="0"/>
    <x v="5"/>
    <n v="0"/>
  </r>
  <r>
    <x v="34"/>
    <x v="2"/>
    <x v="0"/>
    <x v="6"/>
    <n v="0"/>
  </r>
  <r>
    <x v="34"/>
    <x v="2"/>
    <x v="0"/>
    <x v="7"/>
    <n v="0.5"/>
  </r>
  <r>
    <x v="34"/>
    <x v="2"/>
    <x v="0"/>
    <x v="8"/>
    <n v="4.8000000000000007"/>
  </r>
  <r>
    <x v="34"/>
    <x v="2"/>
    <x v="0"/>
    <x v="9"/>
    <n v="1.6"/>
  </r>
  <r>
    <x v="34"/>
    <x v="2"/>
    <x v="0"/>
    <x v="10"/>
    <n v="0.1"/>
  </r>
  <r>
    <x v="34"/>
    <x v="2"/>
    <x v="0"/>
    <x v="11"/>
    <n v="28"/>
  </r>
  <r>
    <x v="36"/>
    <x v="2"/>
    <x v="0"/>
    <x v="0"/>
    <n v="0"/>
  </r>
  <r>
    <x v="36"/>
    <x v="2"/>
    <x v="0"/>
    <x v="1"/>
    <n v="52.7"/>
  </r>
  <r>
    <x v="36"/>
    <x v="2"/>
    <x v="0"/>
    <x v="2"/>
    <n v="37.9"/>
  </r>
  <r>
    <x v="36"/>
    <x v="2"/>
    <x v="0"/>
    <x v="3"/>
    <n v="88.4"/>
  </r>
  <r>
    <x v="36"/>
    <x v="2"/>
    <x v="0"/>
    <x v="4"/>
    <n v="2.5"/>
  </r>
  <r>
    <x v="36"/>
    <x v="2"/>
    <x v="0"/>
    <x v="5"/>
    <n v="15.4"/>
  </r>
  <r>
    <x v="36"/>
    <x v="2"/>
    <x v="0"/>
    <x v="6"/>
    <n v="0"/>
  </r>
  <r>
    <x v="36"/>
    <x v="2"/>
    <x v="0"/>
    <x v="7"/>
    <n v="0"/>
  </r>
  <r>
    <x v="36"/>
    <x v="2"/>
    <x v="0"/>
    <x v="8"/>
    <n v="66.900000000000006"/>
  </r>
  <r>
    <x v="36"/>
    <x v="2"/>
    <x v="0"/>
    <x v="9"/>
    <n v="2"/>
  </r>
  <r>
    <x v="36"/>
    <x v="2"/>
    <x v="0"/>
    <x v="10"/>
    <n v="4.3"/>
  </r>
  <r>
    <x v="36"/>
    <x v="2"/>
    <x v="0"/>
    <x v="11"/>
    <n v="275.2"/>
  </r>
  <r>
    <x v="35"/>
    <x v="2"/>
    <x v="0"/>
    <x v="0"/>
    <n v="816.6"/>
  </r>
  <r>
    <x v="35"/>
    <x v="2"/>
    <x v="0"/>
    <x v="1"/>
    <n v="405.4"/>
  </r>
  <r>
    <x v="35"/>
    <x v="2"/>
    <x v="0"/>
    <x v="2"/>
    <n v="359.3"/>
  </r>
  <r>
    <x v="35"/>
    <x v="2"/>
    <x v="0"/>
    <x v="3"/>
    <n v="707"/>
  </r>
  <r>
    <x v="35"/>
    <x v="2"/>
    <x v="0"/>
    <x v="4"/>
    <n v="63"/>
  </r>
  <r>
    <x v="35"/>
    <x v="2"/>
    <x v="0"/>
    <x v="5"/>
    <n v="282.3"/>
  </r>
  <r>
    <x v="35"/>
    <x v="2"/>
    <x v="0"/>
    <x v="6"/>
    <n v="33.799999999999997"/>
  </r>
  <r>
    <x v="35"/>
    <x v="2"/>
    <x v="0"/>
    <x v="7"/>
    <n v="100"/>
  </r>
  <r>
    <x v="35"/>
    <x v="2"/>
    <x v="0"/>
    <x v="8"/>
    <n v="649.4"/>
  </r>
  <r>
    <x v="35"/>
    <x v="2"/>
    <x v="0"/>
    <x v="9"/>
    <n v="136"/>
  </r>
  <r>
    <x v="35"/>
    <x v="2"/>
    <x v="0"/>
    <x v="10"/>
    <n v="80.300000000000011"/>
  </r>
  <r>
    <x v="35"/>
    <x v="2"/>
    <x v="0"/>
    <x v="11"/>
    <n v="3638.6"/>
  </r>
  <r>
    <x v="37"/>
    <x v="2"/>
    <x v="0"/>
    <x v="0"/>
    <n v="796.4"/>
  </r>
  <r>
    <x v="37"/>
    <x v="2"/>
    <x v="0"/>
    <x v="1"/>
    <n v="352.7"/>
  </r>
  <r>
    <x v="37"/>
    <x v="2"/>
    <x v="0"/>
    <x v="2"/>
    <n v="276.2"/>
  </r>
  <r>
    <x v="37"/>
    <x v="2"/>
    <x v="0"/>
    <x v="3"/>
    <n v="614.6"/>
  </r>
  <r>
    <x v="37"/>
    <x v="2"/>
    <x v="0"/>
    <x v="4"/>
    <n v="59.4"/>
  </r>
  <r>
    <x v="37"/>
    <x v="2"/>
    <x v="0"/>
    <x v="5"/>
    <n v="264.5"/>
  </r>
  <r>
    <x v="37"/>
    <x v="2"/>
    <x v="0"/>
    <x v="6"/>
    <n v="33.799999999999997"/>
  </r>
  <r>
    <x v="37"/>
    <x v="2"/>
    <x v="0"/>
    <x v="7"/>
    <n v="99.5"/>
  </r>
  <r>
    <x v="37"/>
    <x v="2"/>
    <x v="0"/>
    <x v="8"/>
    <n v="369.2"/>
  </r>
  <r>
    <x v="37"/>
    <x v="2"/>
    <x v="0"/>
    <x v="9"/>
    <n v="133.69999999999999"/>
  </r>
  <r>
    <x v="37"/>
    <x v="2"/>
    <x v="0"/>
    <x v="10"/>
    <n v="68.099999999999994"/>
  </r>
  <r>
    <x v="37"/>
    <x v="2"/>
    <x v="0"/>
    <x v="11"/>
    <n v="3083.5"/>
  </r>
  <r>
    <x v="38"/>
    <x v="3"/>
    <x v="0"/>
    <x v="0"/>
    <n v="0"/>
  </r>
  <r>
    <x v="38"/>
    <x v="3"/>
    <x v="0"/>
    <x v="1"/>
    <n v="0"/>
  </r>
  <r>
    <x v="38"/>
    <x v="3"/>
    <x v="0"/>
    <x v="2"/>
    <n v="0"/>
  </r>
  <r>
    <x v="38"/>
    <x v="3"/>
    <x v="0"/>
    <x v="3"/>
    <n v="0"/>
  </r>
  <r>
    <x v="38"/>
    <x v="3"/>
    <x v="0"/>
    <x v="4"/>
    <n v="0"/>
  </r>
  <r>
    <x v="38"/>
    <x v="3"/>
    <x v="0"/>
    <x v="5"/>
    <n v="0"/>
  </r>
  <r>
    <x v="38"/>
    <x v="3"/>
    <x v="0"/>
    <x v="6"/>
    <n v="0"/>
  </r>
  <r>
    <x v="38"/>
    <x v="3"/>
    <x v="0"/>
    <x v="7"/>
    <n v="0"/>
  </r>
  <r>
    <x v="38"/>
    <x v="3"/>
    <x v="0"/>
    <x v="8"/>
    <n v="8.1000000000000014"/>
  </r>
  <r>
    <x v="38"/>
    <x v="3"/>
    <x v="0"/>
    <x v="9"/>
    <n v="0"/>
  </r>
  <r>
    <x v="38"/>
    <x v="3"/>
    <x v="0"/>
    <x v="10"/>
    <n v="0"/>
  </r>
  <r>
    <x v="38"/>
    <x v="3"/>
    <x v="0"/>
    <x v="11"/>
    <n v="7.2"/>
  </r>
  <r>
    <x v="0"/>
    <x v="3"/>
    <x v="0"/>
    <x v="0"/>
    <n v="0"/>
  </r>
  <r>
    <x v="0"/>
    <x v="3"/>
    <x v="0"/>
    <x v="1"/>
    <n v="1.8"/>
  </r>
  <r>
    <x v="0"/>
    <x v="3"/>
    <x v="0"/>
    <x v="2"/>
    <n v="0"/>
  </r>
  <r>
    <x v="0"/>
    <x v="3"/>
    <x v="0"/>
    <x v="3"/>
    <n v="9.8000000000000007"/>
  </r>
  <r>
    <x v="0"/>
    <x v="3"/>
    <x v="0"/>
    <x v="4"/>
    <n v="3.3000000000000003"/>
  </r>
  <r>
    <x v="0"/>
    <x v="3"/>
    <x v="0"/>
    <x v="5"/>
    <n v="5.9"/>
  </r>
  <r>
    <x v="0"/>
    <x v="3"/>
    <x v="0"/>
    <x v="6"/>
    <n v="0"/>
  </r>
  <r>
    <x v="0"/>
    <x v="3"/>
    <x v="0"/>
    <x v="7"/>
    <n v="0"/>
  </r>
  <r>
    <x v="0"/>
    <x v="3"/>
    <x v="0"/>
    <x v="8"/>
    <n v="37.700000000000003"/>
  </r>
  <r>
    <x v="0"/>
    <x v="3"/>
    <x v="0"/>
    <x v="9"/>
    <n v="0"/>
  </r>
  <r>
    <x v="0"/>
    <x v="3"/>
    <x v="0"/>
    <x v="10"/>
    <n v="8.9"/>
  </r>
  <r>
    <x v="0"/>
    <x v="3"/>
    <x v="0"/>
    <x v="11"/>
    <n v="76.5"/>
  </r>
  <r>
    <x v="1"/>
    <x v="3"/>
    <x v="0"/>
    <x v="0"/>
    <n v="0"/>
  </r>
  <r>
    <x v="1"/>
    <x v="3"/>
    <x v="0"/>
    <x v="1"/>
    <n v="0"/>
  </r>
  <r>
    <x v="1"/>
    <x v="3"/>
    <x v="0"/>
    <x v="2"/>
    <n v="10.8"/>
  </r>
  <r>
    <x v="1"/>
    <x v="3"/>
    <x v="0"/>
    <x v="3"/>
    <n v="0"/>
  </r>
  <r>
    <x v="1"/>
    <x v="3"/>
    <x v="0"/>
    <x v="4"/>
    <n v="0"/>
  </r>
  <r>
    <x v="1"/>
    <x v="3"/>
    <x v="0"/>
    <x v="5"/>
    <n v="0.1"/>
  </r>
  <r>
    <x v="1"/>
    <x v="3"/>
    <x v="0"/>
    <x v="6"/>
    <n v="0"/>
  </r>
  <r>
    <x v="1"/>
    <x v="3"/>
    <x v="0"/>
    <x v="7"/>
    <n v="0"/>
  </r>
  <r>
    <x v="1"/>
    <x v="3"/>
    <x v="0"/>
    <x v="8"/>
    <n v="6.1999999999999993"/>
  </r>
  <r>
    <x v="1"/>
    <x v="3"/>
    <x v="0"/>
    <x v="9"/>
    <n v="0"/>
  </r>
  <r>
    <x v="1"/>
    <x v="3"/>
    <x v="0"/>
    <x v="10"/>
    <n v="0.1"/>
  </r>
  <r>
    <x v="1"/>
    <x v="3"/>
    <x v="0"/>
    <x v="11"/>
    <n v="12.7"/>
  </r>
  <r>
    <x v="2"/>
    <x v="3"/>
    <x v="0"/>
    <x v="0"/>
    <n v="27"/>
  </r>
  <r>
    <x v="2"/>
    <x v="3"/>
    <x v="0"/>
    <x v="1"/>
    <n v="0"/>
  </r>
  <r>
    <x v="2"/>
    <x v="3"/>
    <x v="0"/>
    <x v="2"/>
    <n v="0"/>
  </r>
  <r>
    <x v="2"/>
    <x v="3"/>
    <x v="0"/>
    <x v="3"/>
    <n v="24.200000000000003"/>
  </r>
  <r>
    <x v="2"/>
    <x v="3"/>
    <x v="0"/>
    <x v="4"/>
    <n v="0.1"/>
  </r>
  <r>
    <x v="2"/>
    <x v="3"/>
    <x v="0"/>
    <x v="5"/>
    <n v="3.7"/>
  </r>
  <r>
    <x v="2"/>
    <x v="3"/>
    <x v="0"/>
    <x v="6"/>
    <n v="3.4"/>
  </r>
  <r>
    <x v="2"/>
    <x v="3"/>
    <x v="0"/>
    <x v="7"/>
    <n v="3.5"/>
  </r>
  <r>
    <x v="2"/>
    <x v="3"/>
    <x v="0"/>
    <x v="8"/>
    <n v="1.3"/>
  </r>
  <r>
    <x v="2"/>
    <x v="3"/>
    <x v="0"/>
    <x v="9"/>
    <n v="3.5"/>
  </r>
  <r>
    <x v="2"/>
    <x v="3"/>
    <x v="0"/>
    <x v="10"/>
    <n v="2.5"/>
  </r>
  <r>
    <x v="2"/>
    <x v="3"/>
    <x v="0"/>
    <x v="11"/>
    <n v="86.399999999999991"/>
  </r>
  <r>
    <x v="3"/>
    <x v="3"/>
    <x v="0"/>
    <x v="0"/>
    <n v="15.3"/>
  </r>
  <r>
    <x v="3"/>
    <x v="3"/>
    <x v="0"/>
    <x v="1"/>
    <n v="0.3"/>
  </r>
  <r>
    <x v="3"/>
    <x v="3"/>
    <x v="0"/>
    <x v="2"/>
    <n v="16.8"/>
  </r>
  <r>
    <x v="3"/>
    <x v="3"/>
    <x v="0"/>
    <x v="3"/>
    <n v="1.7"/>
  </r>
  <r>
    <x v="3"/>
    <x v="3"/>
    <x v="0"/>
    <x v="4"/>
    <n v="0"/>
  </r>
  <r>
    <x v="3"/>
    <x v="3"/>
    <x v="0"/>
    <x v="5"/>
    <n v="1.4"/>
  </r>
  <r>
    <x v="3"/>
    <x v="3"/>
    <x v="0"/>
    <x v="6"/>
    <n v="0"/>
  </r>
  <r>
    <x v="3"/>
    <x v="3"/>
    <x v="0"/>
    <x v="7"/>
    <n v="1.4"/>
  </r>
  <r>
    <x v="3"/>
    <x v="3"/>
    <x v="0"/>
    <x v="8"/>
    <n v="5.3000000000000007"/>
  </r>
  <r>
    <x v="3"/>
    <x v="3"/>
    <x v="0"/>
    <x v="9"/>
    <n v="0.3"/>
  </r>
  <r>
    <x v="3"/>
    <x v="3"/>
    <x v="0"/>
    <x v="10"/>
    <n v="0"/>
  </r>
  <r>
    <x v="3"/>
    <x v="3"/>
    <x v="0"/>
    <x v="11"/>
    <n v="34.5"/>
  </r>
  <r>
    <x v="4"/>
    <x v="3"/>
    <x v="0"/>
    <x v="0"/>
    <n v="24.4"/>
  </r>
  <r>
    <x v="4"/>
    <x v="3"/>
    <x v="0"/>
    <x v="1"/>
    <n v="0"/>
  </r>
  <r>
    <x v="4"/>
    <x v="3"/>
    <x v="0"/>
    <x v="2"/>
    <n v="0"/>
  </r>
  <r>
    <x v="4"/>
    <x v="3"/>
    <x v="0"/>
    <x v="3"/>
    <n v="1"/>
  </r>
  <r>
    <x v="4"/>
    <x v="3"/>
    <x v="0"/>
    <x v="4"/>
    <n v="0"/>
  </r>
  <r>
    <x v="4"/>
    <x v="3"/>
    <x v="0"/>
    <x v="5"/>
    <n v="0.1"/>
  </r>
  <r>
    <x v="4"/>
    <x v="3"/>
    <x v="0"/>
    <x v="6"/>
    <n v="0"/>
  </r>
  <r>
    <x v="4"/>
    <x v="3"/>
    <x v="0"/>
    <x v="7"/>
    <n v="1.2"/>
  </r>
  <r>
    <x v="4"/>
    <x v="3"/>
    <x v="0"/>
    <x v="8"/>
    <n v="37.4"/>
  </r>
  <r>
    <x v="4"/>
    <x v="3"/>
    <x v="0"/>
    <x v="9"/>
    <n v="0.7"/>
  </r>
  <r>
    <x v="4"/>
    <x v="3"/>
    <x v="0"/>
    <x v="10"/>
    <n v="2.7"/>
  </r>
  <r>
    <x v="4"/>
    <x v="3"/>
    <x v="0"/>
    <x v="11"/>
    <n v="66.3"/>
  </r>
  <r>
    <x v="5"/>
    <x v="3"/>
    <x v="0"/>
    <x v="0"/>
    <n v="0"/>
  </r>
  <r>
    <x v="5"/>
    <x v="3"/>
    <x v="0"/>
    <x v="1"/>
    <n v="0"/>
  </r>
  <r>
    <x v="5"/>
    <x v="3"/>
    <x v="0"/>
    <x v="2"/>
    <n v="0"/>
  </r>
  <r>
    <x v="5"/>
    <x v="3"/>
    <x v="0"/>
    <x v="3"/>
    <n v="0"/>
  </r>
  <r>
    <x v="5"/>
    <x v="3"/>
    <x v="0"/>
    <x v="4"/>
    <n v="4.8"/>
  </r>
  <r>
    <x v="5"/>
    <x v="3"/>
    <x v="0"/>
    <x v="5"/>
    <n v="0.2"/>
  </r>
  <r>
    <x v="5"/>
    <x v="3"/>
    <x v="0"/>
    <x v="6"/>
    <n v="0"/>
  </r>
  <r>
    <x v="5"/>
    <x v="3"/>
    <x v="0"/>
    <x v="7"/>
    <n v="0"/>
  </r>
  <r>
    <x v="5"/>
    <x v="3"/>
    <x v="0"/>
    <x v="8"/>
    <n v="0"/>
  </r>
  <r>
    <x v="5"/>
    <x v="3"/>
    <x v="0"/>
    <x v="9"/>
    <n v="0"/>
  </r>
  <r>
    <x v="5"/>
    <x v="3"/>
    <x v="0"/>
    <x v="10"/>
    <n v="0"/>
  </r>
  <r>
    <x v="5"/>
    <x v="3"/>
    <x v="0"/>
    <x v="11"/>
    <n v="5"/>
  </r>
  <r>
    <x v="6"/>
    <x v="3"/>
    <x v="0"/>
    <x v="0"/>
    <n v="28.3"/>
  </r>
  <r>
    <x v="6"/>
    <x v="3"/>
    <x v="0"/>
    <x v="1"/>
    <n v="3.2"/>
  </r>
  <r>
    <x v="6"/>
    <x v="3"/>
    <x v="0"/>
    <x v="2"/>
    <n v="34.200000000000003"/>
  </r>
  <r>
    <x v="6"/>
    <x v="3"/>
    <x v="0"/>
    <x v="3"/>
    <n v="6"/>
  </r>
  <r>
    <x v="6"/>
    <x v="3"/>
    <x v="0"/>
    <x v="4"/>
    <n v="0.1"/>
  </r>
  <r>
    <x v="6"/>
    <x v="3"/>
    <x v="0"/>
    <x v="5"/>
    <n v="0.6"/>
  </r>
  <r>
    <x v="6"/>
    <x v="3"/>
    <x v="0"/>
    <x v="6"/>
    <n v="0"/>
  </r>
  <r>
    <x v="6"/>
    <x v="3"/>
    <x v="0"/>
    <x v="7"/>
    <n v="2.2999999999999998"/>
  </r>
  <r>
    <x v="6"/>
    <x v="3"/>
    <x v="0"/>
    <x v="8"/>
    <n v="2.7"/>
  </r>
  <r>
    <x v="6"/>
    <x v="3"/>
    <x v="0"/>
    <x v="9"/>
    <n v="4.4000000000000004"/>
  </r>
  <r>
    <x v="6"/>
    <x v="3"/>
    <x v="0"/>
    <x v="10"/>
    <n v="0"/>
  </r>
  <r>
    <x v="6"/>
    <x v="3"/>
    <x v="0"/>
    <x v="11"/>
    <n v="68"/>
  </r>
  <r>
    <x v="7"/>
    <x v="3"/>
    <x v="0"/>
    <x v="0"/>
    <n v="71.900000000000006"/>
  </r>
  <r>
    <x v="7"/>
    <x v="3"/>
    <x v="0"/>
    <x v="1"/>
    <n v="72.900000000000006"/>
  </r>
  <r>
    <x v="7"/>
    <x v="3"/>
    <x v="0"/>
    <x v="2"/>
    <n v="134.80000000000001"/>
  </r>
  <r>
    <x v="7"/>
    <x v="3"/>
    <x v="0"/>
    <x v="3"/>
    <n v="87.3"/>
  </r>
  <r>
    <x v="7"/>
    <x v="3"/>
    <x v="0"/>
    <x v="4"/>
    <n v="5.8000000000000007"/>
  </r>
  <r>
    <x v="7"/>
    <x v="3"/>
    <x v="0"/>
    <x v="5"/>
    <n v="88.2"/>
  </r>
  <r>
    <x v="7"/>
    <x v="3"/>
    <x v="0"/>
    <x v="6"/>
    <n v="19"/>
  </r>
  <r>
    <x v="7"/>
    <x v="3"/>
    <x v="0"/>
    <x v="7"/>
    <n v="41.2"/>
  </r>
  <r>
    <x v="7"/>
    <x v="3"/>
    <x v="0"/>
    <x v="8"/>
    <n v="25.099999999999998"/>
  </r>
  <r>
    <x v="7"/>
    <x v="3"/>
    <x v="0"/>
    <x v="9"/>
    <n v="40.1"/>
  </r>
  <r>
    <x v="7"/>
    <x v="3"/>
    <x v="0"/>
    <x v="10"/>
    <n v="11.3"/>
  </r>
  <r>
    <x v="7"/>
    <x v="3"/>
    <x v="0"/>
    <x v="11"/>
    <n v="546.4"/>
  </r>
  <r>
    <x v="8"/>
    <x v="3"/>
    <x v="0"/>
    <x v="0"/>
    <n v="0"/>
  </r>
  <r>
    <x v="8"/>
    <x v="3"/>
    <x v="0"/>
    <x v="1"/>
    <n v="6.9"/>
  </r>
  <r>
    <x v="8"/>
    <x v="3"/>
    <x v="0"/>
    <x v="2"/>
    <n v="0"/>
  </r>
  <r>
    <x v="8"/>
    <x v="3"/>
    <x v="0"/>
    <x v="3"/>
    <n v="2.2000000000000002"/>
  </r>
  <r>
    <x v="8"/>
    <x v="3"/>
    <x v="0"/>
    <x v="4"/>
    <n v="0.1"/>
  </r>
  <r>
    <x v="8"/>
    <x v="3"/>
    <x v="0"/>
    <x v="5"/>
    <n v="9.3000000000000007"/>
  </r>
  <r>
    <x v="8"/>
    <x v="3"/>
    <x v="0"/>
    <x v="6"/>
    <n v="4.5999999999999996"/>
  </r>
  <r>
    <x v="8"/>
    <x v="3"/>
    <x v="0"/>
    <x v="7"/>
    <n v="1"/>
  </r>
  <r>
    <x v="8"/>
    <x v="3"/>
    <x v="0"/>
    <x v="8"/>
    <n v="0"/>
  </r>
  <r>
    <x v="8"/>
    <x v="3"/>
    <x v="0"/>
    <x v="9"/>
    <n v="3.6"/>
  </r>
  <r>
    <x v="8"/>
    <x v="3"/>
    <x v="0"/>
    <x v="10"/>
    <n v="1.3"/>
  </r>
  <r>
    <x v="8"/>
    <x v="3"/>
    <x v="0"/>
    <x v="11"/>
    <n v="34.1"/>
  </r>
  <r>
    <x v="9"/>
    <x v="3"/>
    <x v="0"/>
    <x v="0"/>
    <n v="0"/>
  </r>
  <r>
    <x v="9"/>
    <x v="3"/>
    <x v="0"/>
    <x v="1"/>
    <n v="0"/>
  </r>
  <r>
    <x v="9"/>
    <x v="3"/>
    <x v="0"/>
    <x v="2"/>
    <n v="0"/>
  </r>
  <r>
    <x v="9"/>
    <x v="3"/>
    <x v="0"/>
    <x v="3"/>
    <n v="0"/>
  </r>
  <r>
    <x v="9"/>
    <x v="3"/>
    <x v="0"/>
    <x v="4"/>
    <n v="8.8000000000000007"/>
  </r>
  <r>
    <x v="9"/>
    <x v="3"/>
    <x v="0"/>
    <x v="5"/>
    <n v="0.6"/>
  </r>
  <r>
    <x v="9"/>
    <x v="3"/>
    <x v="0"/>
    <x v="6"/>
    <n v="0"/>
  </r>
  <r>
    <x v="9"/>
    <x v="3"/>
    <x v="0"/>
    <x v="7"/>
    <n v="0"/>
  </r>
  <r>
    <x v="9"/>
    <x v="3"/>
    <x v="0"/>
    <x v="8"/>
    <n v="0.1"/>
  </r>
  <r>
    <x v="9"/>
    <x v="3"/>
    <x v="0"/>
    <x v="9"/>
    <n v="0.7"/>
  </r>
  <r>
    <x v="9"/>
    <x v="3"/>
    <x v="0"/>
    <x v="10"/>
    <n v="0"/>
  </r>
  <r>
    <x v="9"/>
    <x v="3"/>
    <x v="0"/>
    <x v="11"/>
    <n v="8.6999999999999993"/>
  </r>
  <r>
    <x v="10"/>
    <x v="3"/>
    <x v="0"/>
    <x v="0"/>
    <n v="53.2"/>
  </r>
  <r>
    <x v="10"/>
    <x v="3"/>
    <x v="0"/>
    <x v="1"/>
    <n v="11.7"/>
  </r>
  <r>
    <x v="10"/>
    <x v="3"/>
    <x v="0"/>
    <x v="2"/>
    <n v="25.6"/>
  </r>
  <r>
    <x v="10"/>
    <x v="3"/>
    <x v="0"/>
    <x v="3"/>
    <n v="53.7"/>
  </r>
  <r>
    <x v="10"/>
    <x v="3"/>
    <x v="0"/>
    <x v="4"/>
    <n v="12"/>
  </r>
  <r>
    <x v="10"/>
    <x v="3"/>
    <x v="0"/>
    <x v="5"/>
    <n v="49.6"/>
  </r>
  <r>
    <x v="10"/>
    <x v="3"/>
    <x v="0"/>
    <x v="6"/>
    <n v="0"/>
  </r>
  <r>
    <x v="10"/>
    <x v="3"/>
    <x v="0"/>
    <x v="7"/>
    <n v="7.8"/>
  </r>
  <r>
    <x v="10"/>
    <x v="3"/>
    <x v="0"/>
    <x v="8"/>
    <n v="36.1"/>
  </r>
  <r>
    <x v="10"/>
    <x v="3"/>
    <x v="0"/>
    <x v="9"/>
    <n v="3.5999999999999996"/>
  </r>
  <r>
    <x v="10"/>
    <x v="3"/>
    <x v="0"/>
    <x v="10"/>
    <n v="7.7000000000000011"/>
  </r>
  <r>
    <x v="10"/>
    <x v="3"/>
    <x v="0"/>
    <x v="11"/>
    <n v="272.09999999999997"/>
  </r>
  <r>
    <x v="11"/>
    <x v="3"/>
    <x v="0"/>
    <x v="0"/>
    <n v="21.9"/>
  </r>
  <r>
    <x v="11"/>
    <x v="3"/>
    <x v="0"/>
    <x v="1"/>
    <n v="5.8"/>
  </r>
  <r>
    <x v="11"/>
    <x v="3"/>
    <x v="0"/>
    <x v="2"/>
    <n v="0"/>
  </r>
  <r>
    <x v="11"/>
    <x v="3"/>
    <x v="0"/>
    <x v="3"/>
    <n v="3.9"/>
  </r>
  <r>
    <x v="11"/>
    <x v="3"/>
    <x v="0"/>
    <x v="4"/>
    <n v="3.2"/>
  </r>
  <r>
    <x v="11"/>
    <x v="3"/>
    <x v="0"/>
    <x v="5"/>
    <n v="5.9"/>
  </r>
  <r>
    <x v="11"/>
    <x v="3"/>
    <x v="0"/>
    <x v="6"/>
    <n v="0"/>
  </r>
  <r>
    <x v="11"/>
    <x v="3"/>
    <x v="0"/>
    <x v="7"/>
    <n v="0.2"/>
  </r>
  <r>
    <x v="11"/>
    <x v="3"/>
    <x v="0"/>
    <x v="8"/>
    <n v="13.1"/>
  </r>
  <r>
    <x v="11"/>
    <x v="3"/>
    <x v="0"/>
    <x v="9"/>
    <n v="12.5"/>
  </r>
  <r>
    <x v="11"/>
    <x v="3"/>
    <x v="0"/>
    <x v="10"/>
    <n v="0.9"/>
  </r>
  <r>
    <x v="11"/>
    <x v="3"/>
    <x v="0"/>
    <x v="11"/>
    <n v="87.4"/>
  </r>
  <r>
    <x v="12"/>
    <x v="3"/>
    <x v="0"/>
    <x v="0"/>
    <n v="393.2"/>
  </r>
  <r>
    <x v="12"/>
    <x v="3"/>
    <x v="0"/>
    <x v="1"/>
    <n v="5.8"/>
  </r>
  <r>
    <x v="12"/>
    <x v="3"/>
    <x v="0"/>
    <x v="2"/>
    <n v="0"/>
  </r>
  <r>
    <x v="12"/>
    <x v="3"/>
    <x v="0"/>
    <x v="3"/>
    <n v="31.4"/>
  </r>
  <r>
    <x v="12"/>
    <x v="3"/>
    <x v="0"/>
    <x v="4"/>
    <n v="2.2000000000000002"/>
  </r>
  <r>
    <x v="12"/>
    <x v="3"/>
    <x v="0"/>
    <x v="5"/>
    <n v="27.8"/>
  </r>
  <r>
    <x v="12"/>
    <x v="3"/>
    <x v="0"/>
    <x v="6"/>
    <n v="0"/>
  </r>
  <r>
    <x v="12"/>
    <x v="3"/>
    <x v="0"/>
    <x v="7"/>
    <n v="10.199999999999999"/>
  </r>
  <r>
    <x v="12"/>
    <x v="3"/>
    <x v="0"/>
    <x v="8"/>
    <n v="68.3"/>
  </r>
  <r>
    <x v="12"/>
    <x v="3"/>
    <x v="0"/>
    <x v="9"/>
    <n v="5.1999999999999993"/>
  </r>
  <r>
    <x v="12"/>
    <x v="3"/>
    <x v="0"/>
    <x v="10"/>
    <n v="4.5"/>
  </r>
  <r>
    <x v="12"/>
    <x v="3"/>
    <x v="0"/>
    <x v="11"/>
    <n v="485.6"/>
  </r>
  <r>
    <x v="13"/>
    <x v="3"/>
    <x v="0"/>
    <x v="0"/>
    <n v="60.7"/>
  </r>
  <r>
    <x v="13"/>
    <x v="3"/>
    <x v="0"/>
    <x v="1"/>
    <n v="16.8"/>
  </r>
  <r>
    <x v="13"/>
    <x v="3"/>
    <x v="0"/>
    <x v="2"/>
    <n v="0"/>
  </r>
  <r>
    <x v="13"/>
    <x v="3"/>
    <x v="0"/>
    <x v="3"/>
    <n v="129.9"/>
  </r>
  <r>
    <x v="13"/>
    <x v="3"/>
    <x v="0"/>
    <x v="4"/>
    <n v="0"/>
  </r>
  <r>
    <x v="13"/>
    <x v="3"/>
    <x v="0"/>
    <x v="5"/>
    <n v="25.6"/>
  </r>
  <r>
    <x v="13"/>
    <x v="3"/>
    <x v="0"/>
    <x v="6"/>
    <n v="16.7"/>
  </r>
  <r>
    <x v="13"/>
    <x v="3"/>
    <x v="0"/>
    <x v="7"/>
    <n v="11.8"/>
  </r>
  <r>
    <x v="13"/>
    <x v="3"/>
    <x v="0"/>
    <x v="8"/>
    <n v="5.9"/>
  </r>
  <r>
    <x v="13"/>
    <x v="3"/>
    <x v="0"/>
    <x v="9"/>
    <n v="17.900000000000002"/>
  </r>
  <r>
    <x v="13"/>
    <x v="3"/>
    <x v="0"/>
    <x v="10"/>
    <n v="0.4"/>
  </r>
  <r>
    <x v="13"/>
    <x v="3"/>
    <x v="0"/>
    <x v="11"/>
    <n v="307.39999999999998"/>
  </r>
  <r>
    <x v="14"/>
    <x v="3"/>
    <x v="0"/>
    <x v="0"/>
    <n v="0"/>
  </r>
  <r>
    <x v="14"/>
    <x v="3"/>
    <x v="0"/>
    <x v="1"/>
    <n v="0"/>
  </r>
  <r>
    <x v="14"/>
    <x v="3"/>
    <x v="0"/>
    <x v="2"/>
    <n v="14.9"/>
  </r>
  <r>
    <x v="14"/>
    <x v="3"/>
    <x v="0"/>
    <x v="3"/>
    <n v="14.1"/>
  </r>
  <r>
    <x v="14"/>
    <x v="3"/>
    <x v="0"/>
    <x v="4"/>
    <n v="0"/>
  </r>
  <r>
    <x v="14"/>
    <x v="3"/>
    <x v="0"/>
    <x v="5"/>
    <n v="5.6"/>
  </r>
  <r>
    <x v="14"/>
    <x v="3"/>
    <x v="0"/>
    <x v="6"/>
    <n v="0"/>
  </r>
  <r>
    <x v="14"/>
    <x v="3"/>
    <x v="0"/>
    <x v="7"/>
    <n v="3.5"/>
  </r>
  <r>
    <x v="14"/>
    <x v="3"/>
    <x v="0"/>
    <x v="8"/>
    <n v="5.7"/>
  </r>
  <r>
    <x v="14"/>
    <x v="3"/>
    <x v="0"/>
    <x v="9"/>
    <n v="0.3"/>
  </r>
  <r>
    <x v="14"/>
    <x v="3"/>
    <x v="0"/>
    <x v="10"/>
    <n v="1.1000000000000001"/>
  </r>
  <r>
    <x v="14"/>
    <x v="3"/>
    <x v="0"/>
    <x v="11"/>
    <n v="51.6"/>
  </r>
  <r>
    <x v="15"/>
    <x v="3"/>
    <x v="0"/>
    <x v="0"/>
    <n v="0"/>
  </r>
  <r>
    <x v="15"/>
    <x v="3"/>
    <x v="0"/>
    <x v="1"/>
    <n v="1.3"/>
  </r>
  <r>
    <x v="15"/>
    <x v="3"/>
    <x v="0"/>
    <x v="2"/>
    <n v="0"/>
  </r>
  <r>
    <x v="15"/>
    <x v="3"/>
    <x v="0"/>
    <x v="3"/>
    <n v="1.9"/>
  </r>
  <r>
    <x v="15"/>
    <x v="3"/>
    <x v="0"/>
    <x v="4"/>
    <n v="0"/>
  </r>
  <r>
    <x v="15"/>
    <x v="3"/>
    <x v="0"/>
    <x v="5"/>
    <n v="1.3"/>
  </r>
  <r>
    <x v="15"/>
    <x v="3"/>
    <x v="0"/>
    <x v="6"/>
    <n v="0"/>
  </r>
  <r>
    <x v="15"/>
    <x v="3"/>
    <x v="0"/>
    <x v="7"/>
    <n v="0.1"/>
  </r>
  <r>
    <x v="15"/>
    <x v="3"/>
    <x v="0"/>
    <x v="8"/>
    <n v="6.8999999999999995"/>
  </r>
  <r>
    <x v="15"/>
    <x v="3"/>
    <x v="0"/>
    <x v="9"/>
    <n v="0.6"/>
  </r>
  <r>
    <x v="15"/>
    <x v="3"/>
    <x v="0"/>
    <x v="10"/>
    <n v="0"/>
  </r>
  <r>
    <x v="15"/>
    <x v="3"/>
    <x v="0"/>
    <x v="11"/>
    <n v="18.3"/>
  </r>
  <r>
    <x v="16"/>
    <x v="3"/>
    <x v="0"/>
    <x v="0"/>
    <n v="14.8"/>
  </r>
  <r>
    <x v="16"/>
    <x v="3"/>
    <x v="0"/>
    <x v="1"/>
    <n v="0"/>
  </r>
  <r>
    <x v="16"/>
    <x v="3"/>
    <x v="0"/>
    <x v="2"/>
    <n v="4.5"/>
  </r>
  <r>
    <x v="16"/>
    <x v="3"/>
    <x v="0"/>
    <x v="3"/>
    <n v="5.4"/>
  </r>
  <r>
    <x v="16"/>
    <x v="3"/>
    <x v="0"/>
    <x v="4"/>
    <n v="0.1"/>
  </r>
  <r>
    <x v="16"/>
    <x v="3"/>
    <x v="0"/>
    <x v="5"/>
    <n v="0.6"/>
  </r>
  <r>
    <x v="16"/>
    <x v="3"/>
    <x v="0"/>
    <x v="6"/>
    <n v="0"/>
  </r>
  <r>
    <x v="16"/>
    <x v="3"/>
    <x v="0"/>
    <x v="7"/>
    <n v="0.3"/>
  </r>
  <r>
    <x v="16"/>
    <x v="3"/>
    <x v="0"/>
    <x v="8"/>
    <n v="0.2"/>
  </r>
  <r>
    <x v="16"/>
    <x v="3"/>
    <x v="0"/>
    <x v="9"/>
    <n v="2"/>
  </r>
  <r>
    <x v="16"/>
    <x v="3"/>
    <x v="0"/>
    <x v="10"/>
    <n v="0.4"/>
  </r>
  <r>
    <x v="16"/>
    <x v="3"/>
    <x v="0"/>
    <x v="11"/>
    <n v="42.5"/>
  </r>
  <r>
    <x v="17"/>
    <x v="3"/>
    <x v="0"/>
    <x v="0"/>
    <n v="0"/>
  </r>
  <r>
    <x v="17"/>
    <x v="3"/>
    <x v="0"/>
    <x v="1"/>
    <n v="2.1"/>
  </r>
  <r>
    <x v="17"/>
    <x v="3"/>
    <x v="0"/>
    <x v="2"/>
    <n v="0"/>
  </r>
  <r>
    <x v="17"/>
    <x v="3"/>
    <x v="0"/>
    <x v="3"/>
    <n v="14.9"/>
  </r>
  <r>
    <x v="17"/>
    <x v="3"/>
    <x v="0"/>
    <x v="4"/>
    <n v="2.3000000000000003"/>
  </r>
  <r>
    <x v="17"/>
    <x v="3"/>
    <x v="0"/>
    <x v="5"/>
    <n v="8.4"/>
  </r>
  <r>
    <x v="17"/>
    <x v="3"/>
    <x v="0"/>
    <x v="6"/>
    <n v="0"/>
  </r>
  <r>
    <x v="17"/>
    <x v="3"/>
    <x v="0"/>
    <x v="7"/>
    <n v="0"/>
  </r>
  <r>
    <x v="17"/>
    <x v="3"/>
    <x v="0"/>
    <x v="8"/>
    <n v="0.89999999999999991"/>
  </r>
  <r>
    <x v="17"/>
    <x v="3"/>
    <x v="0"/>
    <x v="9"/>
    <n v="0"/>
  </r>
  <r>
    <x v="17"/>
    <x v="3"/>
    <x v="0"/>
    <x v="10"/>
    <n v="0.8"/>
  </r>
  <r>
    <x v="17"/>
    <x v="3"/>
    <x v="0"/>
    <x v="11"/>
    <n v="29.2"/>
  </r>
  <r>
    <x v="18"/>
    <x v="3"/>
    <x v="0"/>
    <x v="0"/>
    <n v="0"/>
  </r>
  <r>
    <x v="18"/>
    <x v="3"/>
    <x v="0"/>
    <x v="1"/>
    <n v="0"/>
  </r>
  <r>
    <x v="18"/>
    <x v="3"/>
    <x v="0"/>
    <x v="2"/>
    <n v="0"/>
  </r>
  <r>
    <x v="18"/>
    <x v="3"/>
    <x v="0"/>
    <x v="3"/>
    <n v="0"/>
  </r>
  <r>
    <x v="18"/>
    <x v="3"/>
    <x v="0"/>
    <x v="4"/>
    <n v="0"/>
  </r>
  <r>
    <x v="18"/>
    <x v="3"/>
    <x v="0"/>
    <x v="5"/>
    <n v="0"/>
  </r>
  <r>
    <x v="18"/>
    <x v="3"/>
    <x v="0"/>
    <x v="6"/>
    <n v="0"/>
  </r>
  <r>
    <x v="18"/>
    <x v="3"/>
    <x v="0"/>
    <x v="7"/>
    <n v="0"/>
  </r>
  <r>
    <x v="18"/>
    <x v="3"/>
    <x v="0"/>
    <x v="8"/>
    <n v="13.7"/>
  </r>
  <r>
    <x v="18"/>
    <x v="3"/>
    <x v="0"/>
    <x v="9"/>
    <n v="0"/>
  </r>
  <r>
    <x v="18"/>
    <x v="3"/>
    <x v="0"/>
    <x v="10"/>
    <n v="5.6"/>
  </r>
  <r>
    <x v="18"/>
    <x v="3"/>
    <x v="0"/>
    <x v="11"/>
    <n v="19.3"/>
  </r>
  <r>
    <x v="19"/>
    <x v="3"/>
    <x v="0"/>
    <x v="0"/>
    <n v="0"/>
  </r>
  <r>
    <x v="19"/>
    <x v="3"/>
    <x v="0"/>
    <x v="1"/>
    <n v="28.8"/>
  </r>
  <r>
    <x v="19"/>
    <x v="3"/>
    <x v="0"/>
    <x v="2"/>
    <n v="0"/>
  </r>
  <r>
    <x v="19"/>
    <x v="3"/>
    <x v="0"/>
    <x v="3"/>
    <n v="126.2"/>
  </r>
  <r>
    <x v="19"/>
    <x v="3"/>
    <x v="0"/>
    <x v="4"/>
    <n v="3.6"/>
  </r>
  <r>
    <x v="19"/>
    <x v="3"/>
    <x v="0"/>
    <x v="5"/>
    <n v="17.3"/>
  </r>
  <r>
    <x v="19"/>
    <x v="3"/>
    <x v="0"/>
    <x v="6"/>
    <n v="0"/>
  </r>
  <r>
    <x v="19"/>
    <x v="3"/>
    <x v="0"/>
    <x v="7"/>
    <n v="22.9"/>
  </r>
  <r>
    <x v="19"/>
    <x v="3"/>
    <x v="0"/>
    <x v="8"/>
    <n v="49.5"/>
  </r>
  <r>
    <x v="19"/>
    <x v="3"/>
    <x v="0"/>
    <x v="9"/>
    <n v="14.899999999999999"/>
  </r>
  <r>
    <x v="19"/>
    <x v="3"/>
    <x v="0"/>
    <x v="10"/>
    <n v="17.100000000000001"/>
  </r>
  <r>
    <x v="19"/>
    <x v="3"/>
    <x v="0"/>
    <x v="11"/>
    <n v="324.39999999999998"/>
  </r>
  <r>
    <x v="20"/>
    <x v="3"/>
    <x v="0"/>
    <x v="0"/>
    <n v="0"/>
  </r>
  <r>
    <x v="20"/>
    <x v="3"/>
    <x v="0"/>
    <x v="1"/>
    <n v="0"/>
  </r>
  <r>
    <x v="20"/>
    <x v="3"/>
    <x v="0"/>
    <x v="2"/>
    <n v="0"/>
  </r>
  <r>
    <x v="20"/>
    <x v="3"/>
    <x v="0"/>
    <x v="3"/>
    <n v="0.3"/>
  </r>
  <r>
    <x v="20"/>
    <x v="3"/>
    <x v="0"/>
    <x v="4"/>
    <n v="0.1"/>
  </r>
  <r>
    <x v="20"/>
    <x v="3"/>
    <x v="0"/>
    <x v="5"/>
    <n v="1.1000000000000001"/>
  </r>
  <r>
    <x v="20"/>
    <x v="3"/>
    <x v="0"/>
    <x v="6"/>
    <n v="0"/>
  </r>
  <r>
    <x v="20"/>
    <x v="3"/>
    <x v="0"/>
    <x v="7"/>
    <n v="0.1"/>
  </r>
  <r>
    <x v="20"/>
    <x v="3"/>
    <x v="0"/>
    <x v="8"/>
    <n v="0.9"/>
  </r>
  <r>
    <x v="20"/>
    <x v="3"/>
    <x v="0"/>
    <x v="9"/>
    <n v="0.30000000000000004"/>
  </r>
  <r>
    <x v="20"/>
    <x v="3"/>
    <x v="0"/>
    <x v="10"/>
    <n v="0.4"/>
  </r>
  <r>
    <x v="20"/>
    <x v="3"/>
    <x v="0"/>
    <x v="11"/>
    <n v="12.799999999999999"/>
  </r>
  <r>
    <x v="21"/>
    <x v="3"/>
    <x v="0"/>
    <x v="0"/>
    <n v="0"/>
  </r>
  <r>
    <x v="21"/>
    <x v="3"/>
    <x v="0"/>
    <x v="1"/>
    <n v="0"/>
  </r>
  <r>
    <x v="21"/>
    <x v="3"/>
    <x v="0"/>
    <x v="2"/>
    <n v="0"/>
  </r>
  <r>
    <x v="21"/>
    <x v="3"/>
    <x v="0"/>
    <x v="3"/>
    <n v="0.2"/>
  </r>
  <r>
    <x v="21"/>
    <x v="3"/>
    <x v="0"/>
    <x v="4"/>
    <n v="0"/>
  </r>
  <r>
    <x v="21"/>
    <x v="3"/>
    <x v="0"/>
    <x v="5"/>
    <n v="0.3"/>
  </r>
  <r>
    <x v="21"/>
    <x v="3"/>
    <x v="0"/>
    <x v="6"/>
    <n v="0"/>
  </r>
  <r>
    <x v="21"/>
    <x v="3"/>
    <x v="0"/>
    <x v="7"/>
    <n v="0.1"/>
  </r>
  <r>
    <x v="21"/>
    <x v="3"/>
    <x v="0"/>
    <x v="8"/>
    <n v="1.3"/>
  </r>
  <r>
    <x v="21"/>
    <x v="3"/>
    <x v="0"/>
    <x v="9"/>
    <n v="0.1"/>
  </r>
  <r>
    <x v="21"/>
    <x v="3"/>
    <x v="0"/>
    <x v="10"/>
    <n v="0.1"/>
  </r>
  <r>
    <x v="21"/>
    <x v="3"/>
    <x v="0"/>
    <x v="11"/>
    <n v="8.1"/>
  </r>
  <r>
    <x v="22"/>
    <x v="3"/>
    <x v="0"/>
    <x v="0"/>
    <n v="0"/>
  </r>
  <r>
    <x v="22"/>
    <x v="3"/>
    <x v="0"/>
    <x v="1"/>
    <n v="0"/>
  </r>
  <r>
    <x v="22"/>
    <x v="3"/>
    <x v="0"/>
    <x v="2"/>
    <n v="0"/>
  </r>
  <r>
    <x v="22"/>
    <x v="3"/>
    <x v="0"/>
    <x v="3"/>
    <n v="2.6"/>
  </r>
  <r>
    <x v="22"/>
    <x v="3"/>
    <x v="0"/>
    <x v="4"/>
    <n v="0.5"/>
  </r>
  <r>
    <x v="22"/>
    <x v="3"/>
    <x v="0"/>
    <x v="5"/>
    <n v="0.1"/>
  </r>
  <r>
    <x v="22"/>
    <x v="3"/>
    <x v="0"/>
    <x v="6"/>
    <n v="0"/>
  </r>
  <r>
    <x v="22"/>
    <x v="3"/>
    <x v="0"/>
    <x v="7"/>
    <n v="0"/>
  </r>
  <r>
    <x v="22"/>
    <x v="3"/>
    <x v="0"/>
    <x v="8"/>
    <n v="2.4"/>
  </r>
  <r>
    <x v="22"/>
    <x v="3"/>
    <x v="0"/>
    <x v="9"/>
    <n v="0.9"/>
  </r>
  <r>
    <x v="22"/>
    <x v="3"/>
    <x v="0"/>
    <x v="10"/>
    <n v="0"/>
  </r>
  <r>
    <x v="22"/>
    <x v="3"/>
    <x v="0"/>
    <x v="11"/>
    <n v="7.4"/>
  </r>
  <r>
    <x v="23"/>
    <x v="3"/>
    <x v="0"/>
    <x v="0"/>
    <n v="0"/>
  </r>
  <r>
    <x v="23"/>
    <x v="3"/>
    <x v="0"/>
    <x v="1"/>
    <n v="0"/>
  </r>
  <r>
    <x v="23"/>
    <x v="3"/>
    <x v="0"/>
    <x v="2"/>
    <n v="1.4"/>
  </r>
  <r>
    <x v="23"/>
    <x v="3"/>
    <x v="0"/>
    <x v="3"/>
    <n v="0"/>
  </r>
  <r>
    <x v="23"/>
    <x v="3"/>
    <x v="0"/>
    <x v="4"/>
    <n v="0"/>
  </r>
  <r>
    <x v="23"/>
    <x v="3"/>
    <x v="0"/>
    <x v="5"/>
    <n v="0.2"/>
  </r>
  <r>
    <x v="23"/>
    <x v="3"/>
    <x v="0"/>
    <x v="6"/>
    <n v="0"/>
  </r>
  <r>
    <x v="23"/>
    <x v="3"/>
    <x v="0"/>
    <x v="7"/>
    <n v="0"/>
  </r>
  <r>
    <x v="23"/>
    <x v="3"/>
    <x v="0"/>
    <x v="8"/>
    <n v="2"/>
  </r>
  <r>
    <x v="23"/>
    <x v="3"/>
    <x v="0"/>
    <x v="9"/>
    <n v="0"/>
  </r>
  <r>
    <x v="23"/>
    <x v="3"/>
    <x v="0"/>
    <x v="10"/>
    <n v="0"/>
  </r>
  <r>
    <x v="23"/>
    <x v="3"/>
    <x v="0"/>
    <x v="11"/>
    <n v="3.4"/>
  </r>
  <r>
    <x v="24"/>
    <x v="3"/>
    <x v="0"/>
    <x v="0"/>
    <n v="0"/>
  </r>
  <r>
    <x v="24"/>
    <x v="3"/>
    <x v="0"/>
    <x v="1"/>
    <n v="0"/>
  </r>
  <r>
    <x v="24"/>
    <x v="3"/>
    <x v="0"/>
    <x v="2"/>
    <n v="2.7"/>
  </r>
  <r>
    <x v="24"/>
    <x v="3"/>
    <x v="0"/>
    <x v="3"/>
    <n v="0.7"/>
  </r>
  <r>
    <x v="24"/>
    <x v="3"/>
    <x v="0"/>
    <x v="4"/>
    <n v="0"/>
  </r>
  <r>
    <x v="24"/>
    <x v="3"/>
    <x v="0"/>
    <x v="5"/>
    <n v="0.1"/>
  </r>
  <r>
    <x v="24"/>
    <x v="3"/>
    <x v="0"/>
    <x v="6"/>
    <n v="0"/>
  </r>
  <r>
    <x v="24"/>
    <x v="3"/>
    <x v="0"/>
    <x v="7"/>
    <n v="0"/>
  </r>
  <r>
    <x v="24"/>
    <x v="3"/>
    <x v="0"/>
    <x v="8"/>
    <n v="1.5999999999999999"/>
  </r>
  <r>
    <x v="24"/>
    <x v="3"/>
    <x v="0"/>
    <x v="9"/>
    <n v="0.1"/>
  </r>
  <r>
    <x v="24"/>
    <x v="3"/>
    <x v="0"/>
    <x v="10"/>
    <n v="0"/>
  </r>
  <r>
    <x v="24"/>
    <x v="3"/>
    <x v="0"/>
    <x v="11"/>
    <n v="7.1"/>
  </r>
  <r>
    <x v="26"/>
    <x v="3"/>
    <x v="0"/>
    <x v="0"/>
    <n v="2.8"/>
  </r>
  <r>
    <x v="26"/>
    <x v="3"/>
    <x v="0"/>
    <x v="1"/>
    <n v="16.7"/>
  </r>
  <r>
    <x v="26"/>
    <x v="3"/>
    <x v="0"/>
    <x v="2"/>
    <n v="0"/>
  </r>
  <r>
    <x v="26"/>
    <x v="3"/>
    <x v="0"/>
    <x v="3"/>
    <n v="71.400000000000006"/>
  </r>
  <r>
    <x v="26"/>
    <x v="3"/>
    <x v="0"/>
    <x v="4"/>
    <n v="0"/>
  </r>
  <r>
    <x v="26"/>
    <x v="3"/>
    <x v="0"/>
    <x v="5"/>
    <n v="7.4"/>
  </r>
  <r>
    <x v="26"/>
    <x v="3"/>
    <x v="0"/>
    <x v="6"/>
    <n v="3.5"/>
  </r>
  <r>
    <x v="26"/>
    <x v="3"/>
    <x v="0"/>
    <x v="7"/>
    <n v="3.1"/>
  </r>
  <r>
    <x v="26"/>
    <x v="3"/>
    <x v="0"/>
    <x v="8"/>
    <n v="0.1"/>
  </r>
  <r>
    <x v="26"/>
    <x v="3"/>
    <x v="0"/>
    <x v="9"/>
    <n v="3.5"/>
  </r>
  <r>
    <x v="26"/>
    <x v="3"/>
    <x v="0"/>
    <x v="10"/>
    <n v="0"/>
  </r>
  <r>
    <x v="26"/>
    <x v="3"/>
    <x v="0"/>
    <x v="11"/>
    <n v="116.5"/>
  </r>
  <r>
    <x v="27"/>
    <x v="3"/>
    <x v="0"/>
    <x v="0"/>
    <n v="0"/>
  </r>
  <r>
    <x v="27"/>
    <x v="3"/>
    <x v="0"/>
    <x v="1"/>
    <n v="0"/>
  </r>
  <r>
    <x v="27"/>
    <x v="3"/>
    <x v="0"/>
    <x v="2"/>
    <n v="0"/>
  </r>
  <r>
    <x v="27"/>
    <x v="3"/>
    <x v="0"/>
    <x v="3"/>
    <n v="3.2"/>
  </r>
  <r>
    <x v="27"/>
    <x v="3"/>
    <x v="0"/>
    <x v="4"/>
    <n v="0"/>
  </r>
  <r>
    <x v="27"/>
    <x v="3"/>
    <x v="0"/>
    <x v="5"/>
    <n v="3.4"/>
  </r>
  <r>
    <x v="27"/>
    <x v="3"/>
    <x v="0"/>
    <x v="6"/>
    <n v="0"/>
  </r>
  <r>
    <x v="27"/>
    <x v="3"/>
    <x v="0"/>
    <x v="7"/>
    <n v="0"/>
  </r>
  <r>
    <x v="27"/>
    <x v="3"/>
    <x v="0"/>
    <x v="8"/>
    <n v="138"/>
  </r>
  <r>
    <x v="27"/>
    <x v="3"/>
    <x v="0"/>
    <x v="9"/>
    <n v="0"/>
  </r>
  <r>
    <x v="27"/>
    <x v="3"/>
    <x v="0"/>
    <x v="10"/>
    <n v="1.1000000000000001"/>
  </r>
  <r>
    <x v="27"/>
    <x v="3"/>
    <x v="0"/>
    <x v="11"/>
    <n v="135.5"/>
  </r>
  <r>
    <x v="28"/>
    <x v="3"/>
    <x v="0"/>
    <x v="0"/>
    <n v="0"/>
  </r>
  <r>
    <x v="28"/>
    <x v="3"/>
    <x v="0"/>
    <x v="1"/>
    <n v="75.2"/>
  </r>
  <r>
    <x v="28"/>
    <x v="3"/>
    <x v="0"/>
    <x v="2"/>
    <n v="44.8"/>
  </r>
  <r>
    <x v="28"/>
    <x v="3"/>
    <x v="0"/>
    <x v="3"/>
    <n v="14.3"/>
  </r>
  <r>
    <x v="28"/>
    <x v="3"/>
    <x v="0"/>
    <x v="4"/>
    <n v="1.6"/>
  </r>
  <r>
    <x v="28"/>
    <x v="3"/>
    <x v="0"/>
    <x v="5"/>
    <n v="12.5"/>
  </r>
  <r>
    <x v="28"/>
    <x v="3"/>
    <x v="0"/>
    <x v="6"/>
    <n v="0"/>
  </r>
  <r>
    <x v="28"/>
    <x v="3"/>
    <x v="0"/>
    <x v="7"/>
    <n v="0.3"/>
  </r>
  <r>
    <x v="28"/>
    <x v="3"/>
    <x v="0"/>
    <x v="8"/>
    <n v="2.3000000000000003"/>
  </r>
  <r>
    <x v="28"/>
    <x v="3"/>
    <x v="0"/>
    <x v="9"/>
    <n v="5.7"/>
  </r>
  <r>
    <x v="28"/>
    <x v="3"/>
    <x v="0"/>
    <x v="10"/>
    <n v="0.3"/>
  </r>
  <r>
    <x v="28"/>
    <x v="3"/>
    <x v="0"/>
    <x v="11"/>
    <n v="162.79999999999998"/>
  </r>
  <r>
    <x v="29"/>
    <x v="3"/>
    <x v="0"/>
    <x v="0"/>
    <n v="0"/>
  </r>
  <r>
    <x v="29"/>
    <x v="3"/>
    <x v="0"/>
    <x v="1"/>
    <n v="11.1"/>
  </r>
  <r>
    <x v="29"/>
    <x v="3"/>
    <x v="0"/>
    <x v="2"/>
    <n v="0"/>
  </r>
  <r>
    <x v="29"/>
    <x v="3"/>
    <x v="0"/>
    <x v="3"/>
    <n v="14.4"/>
  </r>
  <r>
    <x v="29"/>
    <x v="3"/>
    <x v="0"/>
    <x v="4"/>
    <n v="0.1"/>
  </r>
  <r>
    <x v="29"/>
    <x v="3"/>
    <x v="0"/>
    <x v="5"/>
    <n v="12.4"/>
  </r>
  <r>
    <x v="29"/>
    <x v="3"/>
    <x v="0"/>
    <x v="6"/>
    <n v="0"/>
  </r>
  <r>
    <x v="29"/>
    <x v="3"/>
    <x v="0"/>
    <x v="7"/>
    <n v="0.8"/>
  </r>
  <r>
    <x v="29"/>
    <x v="3"/>
    <x v="0"/>
    <x v="8"/>
    <n v="13.4"/>
  </r>
  <r>
    <x v="29"/>
    <x v="3"/>
    <x v="0"/>
    <x v="9"/>
    <n v="2.8"/>
  </r>
  <r>
    <x v="29"/>
    <x v="3"/>
    <x v="0"/>
    <x v="10"/>
    <n v="0.2"/>
  </r>
  <r>
    <x v="29"/>
    <x v="3"/>
    <x v="0"/>
    <x v="11"/>
    <n v="52.5"/>
  </r>
  <r>
    <x v="30"/>
    <x v="3"/>
    <x v="0"/>
    <x v="0"/>
    <n v="10.4"/>
  </r>
  <r>
    <x v="30"/>
    <x v="3"/>
    <x v="0"/>
    <x v="1"/>
    <n v="1"/>
  </r>
  <r>
    <x v="30"/>
    <x v="3"/>
    <x v="0"/>
    <x v="2"/>
    <n v="13"/>
  </r>
  <r>
    <x v="30"/>
    <x v="3"/>
    <x v="0"/>
    <x v="3"/>
    <n v="5"/>
  </r>
  <r>
    <x v="30"/>
    <x v="3"/>
    <x v="0"/>
    <x v="4"/>
    <n v="5.2"/>
  </r>
  <r>
    <x v="30"/>
    <x v="3"/>
    <x v="0"/>
    <x v="5"/>
    <n v="6.3"/>
  </r>
  <r>
    <x v="30"/>
    <x v="3"/>
    <x v="0"/>
    <x v="6"/>
    <n v="0"/>
  </r>
  <r>
    <x v="30"/>
    <x v="3"/>
    <x v="0"/>
    <x v="7"/>
    <n v="1.8"/>
  </r>
  <r>
    <x v="30"/>
    <x v="3"/>
    <x v="0"/>
    <x v="8"/>
    <n v="17.7"/>
  </r>
  <r>
    <x v="30"/>
    <x v="3"/>
    <x v="0"/>
    <x v="9"/>
    <n v="0.3"/>
  </r>
  <r>
    <x v="30"/>
    <x v="3"/>
    <x v="0"/>
    <x v="10"/>
    <n v="0"/>
  </r>
  <r>
    <x v="30"/>
    <x v="3"/>
    <x v="0"/>
    <x v="11"/>
    <n v="58.1"/>
  </r>
  <r>
    <x v="31"/>
    <x v="3"/>
    <x v="0"/>
    <x v="0"/>
    <n v="0"/>
  </r>
  <r>
    <x v="31"/>
    <x v="3"/>
    <x v="0"/>
    <x v="1"/>
    <n v="0"/>
  </r>
  <r>
    <x v="31"/>
    <x v="3"/>
    <x v="0"/>
    <x v="2"/>
    <n v="28.1"/>
  </r>
  <r>
    <x v="31"/>
    <x v="3"/>
    <x v="0"/>
    <x v="3"/>
    <n v="0.2"/>
  </r>
  <r>
    <x v="31"/>
    <x v="3"/>
    <x v="0"/>
    <x v="4"/>
    <n v="0"/>
  </r>
  <r>
    <x v="31"/>
    <x v="3"/>
    <x v="0"/>
    <x v="5"/>
    <n v="0.1"/>
  </r>
  <r>
    <x v="31"/>
    <x v="3"/>
    <x v="0"/>
    <x v="6"/>
    <n v="0"/>
  </r>
  <r>
    <x v="31"/>
    <x v="3"/>
    <x v="0"/>
    <x v="7"/>
    <n v="0"/>
  </r>
  <r>
    <x v="31"/>
    <x v="3"/>
    <x v="0"/>
    <x v="8"/>
    <n v="11.2"/>
  </r>
  <r>
    <x v="31"/>
    <x v="3"/>
    <x v="0"/>
    <x v="9"/>
    <n v="0"/>
  </r>
  <r>
    <x v="31"/>
    <x v="3"/>
    <x v="0"/>
    <x v="10"/>
    <n v="0"/>
  </r>
  <r>
    <x v="31"/>
    <x v="3"/>
    <x v="0"/>
    <x v="11"/>
    <n v="40.200000000000003"/>
  </r>
  <r>
    <x v="32"/>
    <x v="3"/>
    <x v="0"/>
    <x v="0"/>
    <n v="65.8"/>
  </r>
  <r>
    <x v="32"/>
    <x v="3"/>
    <x v="0"/>
    <x v="1"/>
    <n v="0.5"/>
  </r>
  <r>
    <x v="32"/>
    <x v="3"/>
    <x v="0"/>
    <x v="2"/>
    <n v="0"/>
  </r>
  <r>
    <x v="32"/>
    <x v="3"/>
    <x v="0"/>
    <x v="3"/>
    <n v="0.6"/>
  </r>
  <r>
    <x v="32"/>
    <x v="3"/>
    <x v="0"/>
    <x v="4"/>
    <n v="1.7"/>
  </r>
  <r>
    <x v="32"/>
    <x v="3"/>
    <x v="0"/>
    <x v="5"/>
    <n v="16.600000000000001"/>
  </r>
  <r>
    <x v="32"/>
    <x v="3"/>
    <x v="0"/>
    <x v="6"/>
    <n v="0"/>
  </r>
  <r>
    <x v="32"/>
    <x v="3"/>
    <x v="0"/>
    <x v="7"/>
    <n v="0"/>
  </r>
  <r>
    <x v="32"/>
    <x v="3"/>
    <x v="0"/>
    <x v="8"/>
    <n v="61"/>
  </r>
  <r>
    <x v="32"/>
    <x v="3"/>
    <x v="0"/>
    <x v="9"/>
    <n v="9.8000000000000007"/>
  </r>
  <r>
    <x v="32"/>
    <x v="3"/>
    <x v="0"/>
    <x v="10"/>
    <n v="2.2000000000000002"/>
  </r>
  <r>
    <x v="32"/>
    <x v="3"/>
    <x v="0"/>
    <x v="11"/>
    <n v="141.1"/>
  </r>
  <r>
    <x v="33"/>
    <x v="3"/>
    <x v="0"/>
    <x v="0"/>
    <n v="5.5"/>
  </r>
  <r>
    <x v="33"/>
    <x v="3"/>
    <x v="0"/>
    <x v="1"/>
    <n v="0"/>
  </r>
  <r>
    <x v="33"/>
    <x v="3"/>
    <x v="0"/>
    <x v="2"/>
    <n v="4"/>
  </r>
  <r>
    <x v="33"/>
    <x v="3"/>
    <x v="0"/>
    <x v="3"/>
    <n v="0"/>
  </r>
  <r>
    <x v="33"/>
    <x v="3"/>
    <x v="0"/>
    <x v="4"/>
    <n v="0"/>
  </r>
  <r>
    <x v="33"/>
    <x v="3"/>
    <x v="0"/>
    <x v="5"/>
    <n v="0"/>
  </r>
  <r>
    <x v="33"/>
    <x v="3"/>
    <x v="0"/>
    <x v="6"/>
    <n v="0"/>
  </r>
  <r>
    <x v="33"/>
    <x v="3"/>
    <x v="0"/>
    <x v="7"/>
    <n v="0.2"/>
  </r>
  <r>
    <x v="33"/>
    <x v="3"/>
    <x v="0"/>
    <x v="8"/>
    <n v="4.8"/>
  </r>
  <r>
    <x v="33"/>
    <x v="3"/>
    <x v="0"/>
    <x v="9"/>
    <n v="0.2"/>
  </r>
  <r>
    <x v="33"/>
    <x v="3"/>
    <x v="0"/>
    <x v="10"/>
    <n v="0.3"/>
  </r>
  <r>
    <x v="33"/>
    <x v="3"/>
    <x v="0"/>
    <x v="11"/>
    <n v="14.700000000000001"/>
  </r>
  <r>
    <x v="34"/>
    <x v="3"/>
    <x v="0"/>
    <x v="0"/>
    <n v="13.8"/>
  </r>
  <r>
    <x v="34"/>
    <x v="3"/>
    <x v="0"/>
    <x v="1"/>
    <n v="1.2"/>
  </r>
  <r>
    <x v="34"/>
    <x v="3"/>
    <x v="0"/>
    <x v="2"/>
    <n v="1.3"/>
  </r>
  <r>
    <x v="34"/>
    <x v="3"/>
    <x v="0"/>
    <x v="3"/>
    <n v="2.2999999999999998"/>
  </r>
  <r>
    <x v="34"/>
    <x v="3"/>
    <x v="0"/>
    <x v="4"/>
    <n v="0.3"/>
  </r>
  <r>
    <x v="34"/>
    <x v="3"/>
    <x v="0"/>
    <x v="5"/>
    <n v="0"/>
  </r>
  <r>
    <x v="34"/>
    <x v="3"/>
    <x v="0"/>
    <x v="6"/>
    <n v="0"/>
  </r>
  <r>
    <x v="34"/>
    <x v="3"/>
    <x v="0"/>
    <x v="7"/>
    <n v="0.6"/>
  </r>
  <r>
    <x v="34"/>
    <x v="3"/>
    <x v="0"/>
    <x v="8"/>
    <n v="3.8"/>
  </r>
  <r>
    <x v="34"/>
    <x v="3"/>
    <x v="0"/>
    <x v="9"/>
    <n v="1.6"/>
  </r>
  <r>
    <x v="34"/>
    <x v="3"/>
    <x v="0"/>
    <x v="10"/>
    <n v="0.1"/>
  </r>
  <r>
    <x v="34"/>
    <x v="3"/>
    <x v="0"/>
    <x v="11"/>
    <n v="28.9"/>
  </r>
  <r>
    <x v="35"/>
    <x v="3"/>
    <x v="0"/>
    <x v="0"/>
    <n v="808.8"/>
  </r>
  <r>
    <x v="35"/>
    <x v="3"/>
    <x v="0"/>
    <x v="1"/>
    <n v="330.9"/>
  </r>
  <r>
    <x v="35"/>
    <x v="3"/>
    <x v="0"/>
    <x v="2"/>
    <n v="382"/>
  </r>
  <r>
    <x v="35"/>
    <x v="3"/>
    <x v="0"/>
    <x v="3"/>
    <n v="718.3"/>
  </r>
  <r>
    <x v="35"/>
    <x v="3"/>
    <x v="0"/>
    <x v="4"/>
    <n v="57.599999999999994"/>
  </r>
  <r>
    <x v="35"/>
    <x v="3"/>
    <x v="0"/>
    <x v="5"/>
    <n v="332.3"/>
  </r>
  <r>
    <x v="35"/>
    <x v="3"/>
    <x v="0"/>
    <x v="6"/>
    <n v="47.2"/>
  </r>
  <r>
    <x v="35"/>
    <x v="3"/>
    <x v="0"/>
    <x v="7"/>
    <n v="121.3"/>
  </r>
  <r>
    <x v="35"/>
    <x v="3"/>
    <x v="0"/>
    <x v="8"/>
    <n v="644.9"/>
  </r>
  <r>
    <x v="35"/>
    <x v="3"/>
    <x v="0"/>
    <x v="9"/>
    <n v="139"/>
  </r>
  <r>
    <x v="35"/>
    <x v="3"/>
    <x v="0"/>
    <x v="10"/>
    <n v="76.8"/>
  </r>
  <r>
    <x v="35"/>
    <x v="3"/>
    <x v="0"/>
    <x v="11"/>
    <n v="3672.5"/>
  </r>
  <r>
    <x v="37"/>
    <x v="3"/>
    <x v="0"/>
    <x v="0"/>
    <n v="784.4"/>
  </r>
  <r>
    <x v="37"/>
    <x v="3"/>
    <x v="0"/>
    <x v="1"/>
    <n v="263.10000000000002"/>
  </r>
  <r>
    <x v="37"/>
    <x v="3"/>
    <x v="0"/>
    <x v="2"/>
    <n v="294"/>
  </r>
  <r>
    <x v="37"/>
    <x v="3"/>
    <x v="0"/>
    <x v="3"/>
    <n v="623.79999999999995"/>
  </r>
  <r>
    <x v="37"/>
    <x v="3"/>
    <x v="0"/>
    <x v="4"/>
    <n v="56.2"/>
  </r>
  <r>
    <x v="37"/>
    <x v="3"/>
    <x v="0"/>
    <x v="5"/>
    <n v="308.5"/>
  </r>
  <r>
    <x v="37"/>
    <x v="3"/>
    <x v="0"/>
    <x v="6"/>
    <n v="47.2"/>
  </r>
  <r>
    <x v="37"/>
    <x v="3"/>
    <x v="0"/>
    <x v="7"/>
    <n v="112.9"/>
  </r>
  <r>
    <x v="37"/>
    <x v="3"/>
    <x v="0"/>
    <x v="8"/>
    <n v="374.9"/>
  </r>
  <r>
    <x v="37"/>
    <x v="3"/>
    <x v="0"/>
    <x v="9"/>
    <n v="135.1"/>
  </r>
  <r>
    <x v="37"/>
    <x v="3"/>
    <x v="0"/>
    <x v="10"/>
    <n v="60.300000000000004"/>
  </r>
  <r>
    <x v="37"/>
    <x v="3"/>
    <x v="0"/>
    <x v="11"/>
    <n v="3088.2"/>
  </r>
  <r>
    <x v="36"/>
    <x v="3"/>
    <x v="0"/>
    <x v="0"/>
    <n v="0"/>
  </r>
  <r>
    <x v="36"/>
    <x v="3"/>
    <x v="0"/>
    <x v="1"/>
    <n v="67.8"/>
  </r>
  <r>
    <x v="36"/>
    <x v="3"/>
    <x v="0"/>
    <x v="2"/>
    <n v="44.8"/>
  </r>
  <r>
    <x v="36"/>
    <x v="3"/>
    <x v="0"/>
    <x v="3"/>
    <n v="89.4"/>
  </r>
  <r>
    <x v="36"/>
    <x v="3"/>
    <x v="0"/>
    <x v="4"/>
    <n v="1.4"/>
  </r>
  <r>
    <x v="36"/>
    <x v="3"/>
    <x v="0"/>
    <x v="5"/>
    <n v="19.899999999999999"/>
  </r>
  <r>
    <x v="36"/>
    <x v="3"/>
    <x v="0"/>
    <x v="6"/>
    <n v="0"/>
  </r>
  <r>
    <x v="36"/>
    <x v="3"/>
    <x v="0"/>
    <x v="7"/>
    <n v="7.2"/>
  </r>
  <r>
    <x v="36"/>
    <x v="3"/>
    <x v="0"/>
    <x v="8"/>
    <n v="59.8"/>
  </r>
  <r>
    <x v="36"/>
    <x v="3"/>
    <x v="0"/>
    <x v="9"/>
    <n v="3.2"/>
  </r>
  <r>
    <x v="36"/>
    <x v="3"/>
    <x v="0"/>
    <x v="10"/>
    <n v="6.9"/>
  </r>
  <r>
    <x v="36"/>
    <x v="3"/>
    <x v="0"/>
    <x v="11"/>
    <n v="300"/>
  </r>
  <r>
    <x v="38"/>
    <x v="4"/>
    <x v="0"/>
    <x v="0"/>
    <n v="0"/>
  </r>
  <r>
    <x v="38"/>
    <x v="4"/>
    <x v="0"/>
    <x v="1"/>
    <n v="0"/>
  </r>
  <r>
    <x v="38"/>
    <x v="4"/>
    <x v="0"/>
    <x v="2"/>
    <n v="0"/>
  </r>
  <r>
    <x v="38"/>
    <x v="4"/>
    <x v="0"/>
    <x v="3"/>
    <n v="0"/>
  </r>
  <r>
    <x v="38"/>
    <x v="4"/>
    <x v="0"/>
    <x v="4"/>
    <n v="0"/>
  </r>
  <r>
    <x v="38"/>
    <x v="4"/>
    <x v="0"/>
    <x v="5"/>
    <n v="0"/>
  </r>
  <r>
    <x v="38"/>
    <x v="4"/>
    <x v="0"/>
    <x v="6"/>
    <n v="0"/>
  </r>
  <r>
    <x v="38"/>
    <x v="4"/>
    <x v="0"/>
    <x v="7"/>
    <n v="0"/>
  </r>
  <r>
    <x v="38"/>
    <x v="4"/>
    <x v="0"/>
    <x v="8"/>
    <n v="4.2"/>
  </r>
  <r>
    <x v="38"/>
    <x v="4"/>
    <x v="0"/>
    <x v="9"/>
    <n v="0"/>
  </r>
  <r>
    <x v="38"/>
    <x v="4"/>
    <x v="0"/>
    <x v="10"/>
    <n v="0"/>
  </r>
  <r>
    <x v="38"/>
    <x v="4"/>
    <x v="0"/>
    <x v="11"/>
    <n v="7.1"/>
  </r>
  <r>
    <x v="0"/>
    <x v="4"/>
    <x v="0"/>
    <x v="0"/>
    <n v="0"/>
  </r>
  <r>
    <x v="0"/>
    <x v="4"/>
    <x v="0"/>
    <x v="1"/>
    <n v="1.8"/>
  </r>
  <r>
    <x v="0"/>
    <x v="4"/>
    <x v="0"/>
    <x v="2"/>
    <n v="0"/>
  </r>
  <r>
    <x v="0"/>
    <x v="4"/>
    <x v="0"/>
    <x v="3"/>
    <n v="10.8"/>
  </r>
  <r>
    <x v="0"/>
    <x v="4"/>
    <x v="0"/>
    <x v="4"/>
    <n v="3.9000000000000004"/>
  </r>
  <r>
    <x v="0"/>
    <x v="4"/>
    <x v="0"/>
    <x v="5"/>
    <n v="6.5"/>
  </r>
  <r>
    <x v="0"/>
    <x v="4"/>
    <x v="0"/>
    <x v="6"/>
    <n v="0"/>
  </r>
  <r>
    <x v="0"/>
    <x v="4"/>
    <x v="0"/>
    <x v="7"/>
    <n v="0"/>
  </r>
  <r>
    <x v="0"/>
    <x v="4"/>
    <x v="0"/>
    <x v="8"/>
    <n v="38.4"/>
  </r>
  <r>
    <x v="0"/>
    <x v="4"/>
    <x v="0"/>
    <x v="9"/>
    <n v="0"/>
  </r>
  <r>
    <x v="0"/>
    <x v="4"/>
    <x v="0"/>
    <x v="10"/>
    <n v="8.8000000000000007"/>
  </r>
  <r>
    <x v="0"/>
    <x v="4"/>
    <x v="0"/>
    <x v="11"/>
    <n v="77.899999999999991"/>
  </r>
  <r>
    <x v="1"/>
    <x v="4"/>
    <x v="0"/>
    <x v="0"/>
    <n v="0"/>
  </r>
  <r>
    <x v="1"/>
    <x v="4"/>
    <x v="0"/>
    <x v="1"/>
    <n v="0"/>
  </r>
  <r>
    <x v="1"/>
    <x v="4"/>
    <x v="0"/>
    <x v="2"/>
    <n v="10.8"/>
  </r>
  <r>
    <x v="1"/>
    <x v="4"/>
    <x v="0"/>
    <x v="3"/>
    <n v="0"/>
  </r>
  <r>
    <x v="1"/>
    <x v="4"/>
    <x v="0"/>
    <x v="4"/>
    <n v="0"/>
  </r>
  <r>
    <x v="1"/>
    <x v="4"/>
    <x v="0"/>
    <x v="5"/>
    <n v="0"/>
  </r>
  <r>
    <x v="1"/>
    <x v="4"/>
    <x v="0"/>
    <x v="6"/>
    <n v="0"/>
  </r>
  <r>
    <x v="1"/>
    <x v="4"/>
    <x v="0"/>
    <x v="7"/>
    <n v="0"/>
  </r>
  <r>
    <x v="1"/>
    <x v="4"/>
    <x v="0"/>
    <x v="8"/>
    <n v="3.8000000000000003"/>
  </r>
  <r>
    <x v="1"/>
    <x v="4"/>
    <x v="0"/>
    <x v="9"/>
    <n v="0"/>
  </r>
  <r>
    <x v="1"/>
    <x v="4"/>
    <x v="0"/>
    <x v="10"/>
    <n v="0.1"/>
  </r>
  <r>
    <x v="1"/>
    <x v="4"/>
    <x v="0"/>
    <x v="11"/>
    <n v="12.9"/>
  </r>
  <r>
    <x v="2"/>
    <x v="4"/>
    <x v="0"/>
    <x v="0"/>
    <n v="40"/>
  </r>
  <r>
    <x v="2"/>
    <x v="4"/>
    <x v="0"/>
    <x v="1"/>
    <n v="0"/>
  </r>
  <r>
    <x v="2"/>
    <x v="4"/>
    <x v="0"/>
    <x v="2"/>
    <n v="0"/>
  </r>
  <r>
    <x v="2"/>
    <x v="4"/>
    <x v="0"/>
    <x v="3"/>
    <n v="23.5"/>
  </r>
  <r>
    <x v="2"/>
    <x v="4"/>
    <x v="0"/>
    <x v="4"/>
    <n v="0.1"/>
  </r>
  <r>
    <x v="2"/>
    <x v="4"/>
    <x v="0"/>
    <x v="5"/>
    <n v="3.3"/>
  </r>
  <r>
    <x v="2"/>
    <x v="4"/>
    <x v="0"/>
    <x v="6"/>
    <n v="2.8"/>
  </r>
  <r>
    <x v="2"/>
    <x v="4"/>
    <x v="0"/>
    <x v="7"/>
    <n v="2.9"/>
  </r>
  <r>
    <x v="2"/>
    <x v="4"/>
    <x v="0"/>
    <x v="8"/>
    <n v="1.3"/>
  </r>
  <r>
    <x v="2"/>
    <x v="4"/>
    <x v="0"/>
    <x v="9"/>
    <n v="4"/>
  </r>
  <r>
    <x v="2"/>
    <x v="4"/>
    <x v="0"/>
    <x v="10"/>
    <n v="2.2999999999999998"/>
  </r>
  <r>
    <x v="2"/>
    <x v="4"/>
    <x v="0"/>
    <x v="11"/>
    <n v="86.3"/>
  </r>
  <r>
    <x v="3"/>
    <x v="4"/>
    <x v="0"/>
    <x v="0"/>
    <n v="14.7"/>
  </r>
  <r>
    <x v="3"/>
    <x v="4"/>
    <x v="0"/>
    <x v="1"/>
    <n v="0.3"/>
  </r>
  <r>
    <x v="3"/>
    <x v="4"/>
    <x v="0"/>
    <x v="2"/>
    <n v="17.600000000000001"/>
  </r>
  <r>
    <x v="3"/>
    <x v="4"/>
    <x v="0"/>
    <x v="3"/>
    <n v="1.5"/>
  </r>
  <r>
    <x v="3"/>
    <x v="4"/>
    <x v="0"/>
    <x v="4"/>
    <n v="0"/>
  </r>
  <r>
    <x v="3"/>
    <x v="4"/>
    <x v="0"/>
    <x v="5"/>
    <n v="1.5"/>
  </r>
  <r>
    <x v="3"/>
    <x v="4"/>
    <x v="0"/>
    <x v="6"/>
    <n v="0"/>
  </r>
  <r>
    <x v="3"/>
    <x v="4"/>
    <x v="0"/>
    <x v="7"/>
    <n v="1.4"/>
  </r>
  <r>
    <x v="3"/>
    <x v="4"/>
    <x v="0"/>
    <x v="8"/>
    <n v="3.4000000000000004"/>
  </r>
  <r>
    <x v="3"/>
    <x v="4"/>
    <x v="0"/>
    <x v="9"/>
    <n v="0.3"/>
  </r>
  <r>
    <x v="3"/>
    <x v="4"/>
    <x v="0"/>
    <x v="10"/>
    <n v="0"/>
  </r>
  <r>
    <x v="3"/>
    <x v="4"/>
    <x v="0"/>
    <x v="11"/>
    <n v="35.4"/>
  </r>
  <r>
    <x v="4"/>
    <x v="4"/>
    <x v="0"/>
    <x v="0"/>
    <n v="19.5"/>
  </r>
  <r>
    <x v="4"/>
    <x v="4"/>
    <x v="0"/>
    <x v="1"/>
    <n v="0"/>
  </r>
  <r>
    <x v="4"/>
    <x v="4"/>
    <x v="0"/>
    <x v="2"/>
    <n v="0"/>
  </r>
  <r>
    <x v="4"/>
    <x v="4"/>
    <x v="0"/>
    <x v="3"/>
    <n v="0.8"/>
  </r>
  <r>
    <x v="4"/>
    <x v="4"/>
    <x v="0"/>
    <x v="4"/>
    <n v="0"/>
  </r>
  <r>
    <x v="4"/>
    <x v="4"/>
    <x v="0"/>
    <x v="5"/>
    <n v="0.1"/>
  </r>
  <r>
    <x v="4"/>
    <x v="4"/>
    <x v="0"/>
    <x v="6"/>
    <n v="0"/>
  </r>
  <r>
    <x v="4"/>
    <x v="4"/>
    <x v="0"/>
    <x v="7"/>
    <n v="1.1000000000000001"/>
  </r>
  <r>
    <x v="4"/>
    <x v="4"/>
    <x v="0"/>
    <x v="8"/>
    <n v="36.6"/>
  </r>
  <r>
    <x v="4"/>
    <x v="4"/>
    <x v="0"/>
    <x v="9"/>
    <n v="0.60000000000000009"/>
  </r>
  <r>
    <x v="4"/>
    <x v="4"/>
    <x v="0"/>
    <x v="10"/>
    <n v="2.7"/>
  </r>
  <r>
    <x v="4"/>
    <x v="4"/>
    <x v="0"/>
    <x v="11"/>
    <n v="67.599999999999994"/>
  </r>
  <r>
    <x v="5"/>
    <x v="4"/>
    <x v="0"/>
    <x v="0"/>
    <n v="0"/>
  </r>
  <r>
    <x v="5"/>
    <x v="4"/>
    <x v="0"/>
    <x v="1"/>
    <n v="0"/>
  </r>
  <r>
    <x v="5"/>
    <x v="4"/>
    <x v="0"/>
    <x v="2"/>
    <n v="0"/>
  </r>
  <r>
    <x v="5"/>
    <x v="4"/>
    <x v="0"/>
    <x v="3"/>
    <n v="0"/>
  </r>
  <r>
    <x v="5"/>
    <x v="4"/>
    <x v="0"/>
    <x v="4"/>
    <n v="4.5999999999999996"/>
  </r>
  <r>
    <x v="5"/>
    <x v="4"/>
    <x v="0"/>
    <x v="5"/>
    <n v="0.2"/>
  </r>
  <r>
    <x v="5"/>
    <x v="4"/>
    <x v="0"/>
    <x v="6"/>
    <n v="0"/>
  </r>
  <r>
    <x v="5"/>
    <x v="4"/>
    <x v="0"/>
    <x v="7"/>
    <n v="0"/>
  </r>
  <r>
    <x v="5"/>
    <x v="4"/>
    <x v="0"/>
    <x v="8"/>
    <n v="0"/>
  </r>
  <r>
    <x v="5"/>
    <x v="4"/>
    <x v="0"/>
    <x v="9"/>
    <n v="0"/>
  </r>
  <r>
    <x v="5"/>
    <x v="4"/>
    <x v="0"/>
    <x v="10"/>
    <n v="0"/>
  </r>
  <r>
    <x v="5"/>
    <x v="4"/>
    <x v="0"/>
    <x v="11"/>
    <n v="4.8"/>
  </r>
  <r>
    <x v="6"/>
    <x v="4"/>
    <x v="0"/>
    <x v="0"/>
    <n v="26.8"/>
  </r>
  <r>
    <x v="6"/>
    <x v="4"/>
    <x v="0"/>
    <x v="1"/>
    <n v="4.0999999999999996"/>
  </r>
  <r>
    <x v="6"/>
    <x v="4"/>
    <x v="0"/>
    <x v="2"/>
    <n v="33.5"/>
  </r>
  <r>
    <x v="6"/>
    <x v="4"/>
    <x v="0"/>
    <x v="3"/>
    <n v="6.1"/>
  </r>
  <r>
    <x v="6"/>
    <x v="4"/>
    <x v="0"/>
    <x v="4"/>
    <n v="0.2"/>
  </r>
  <r>
    <x v="6"/>
    <x v="4"/>
    <x v="0"/>
    <x v="5"/>
    <n v="0.6"/>
  </r>
  <r>
    <x v="6"/>
    <x v="4"/>
    <x v="0"/>
    <x v="6"/>
    <n v="0"/>
  </r>
  <r>
    <x v="6"/>
    <x v="4"/>
    <x v="0"/>
    <x v="7"/>
    <n v="2.1"/>
  </r>
  <r>
    <x v="6"/>
    <x v="4"/>
    <x v="0"/>
    <x v="8"/>
    <n v="3"/>
  </r>
  <r>
    <x v="6"/>
    <x v="4"/>
    <x v="0"/>
    <x v="9"/>
    <n v="4.4000000000000004"/>
  </r>
  <r>
    <x v="6"/>
    <x v="4"/>
    <x v="0"/>
    <x v="10"/>
    <n v="0"/>
  </r>
  <r>
    <x v="6"/>
    <x v="4"/>
    <x v="0"/>
    <x v="11"/>
    <n v="67.8"/>
  </r>
  <r>
    <x v="7"/>
    <x v="4"/>
    <x v="0"/>
    <x v="0"/>
    <n v="72.2"/>
  </r>
  <r>
    <x v="7"/>
    <x v="4"/>
    <x v="0"/>
    <x v="1"/>
    <n v="84.2"/>
  </r>
  <r>
    <x v="7"/>
    <x v="4"/>
    <x v="0"/>
    <x v="2"/>
    <n v="137.30000000000001"/>
  </r>
  <r>
    <x v="7"/>
    <x v="4"/>
    <x v="0"/>
    <x v="3"/>
    <n v="82.9"/>
  </r>
  <r>
    <x v="7"/>
    <x v="4"/>
    <x v="0"/>
    <x v="4"/>
    <n v="8.5"/>
  </r>
  <r>
    <x v="7"/>
    <x v="4"/>
    <x v="0"/>
    <x v="5"/>
    <n v="86"/>
  </r>
  <r>
    <x v="7"/>
    <x v="4"/>
    <x v="0"/>
    <x v="6"/>
    <n v="17.399999999999999"/>
  </r>
  <r>
    <x v="7"/>
    <x v="4"/>
    <x v="0"/>
    <x v="7"/>
    <n v="35.5"/>
  </r>
  <r>
    <x v="7"/>
    <x v="4"/>
    <x v="0"/>
    <x v="8"/>
    <n v="25.9"/>
  </r>
  <r>
    <x v="7"/>
    <x v="4"/>
    <x v="0"/>
    <x v="9"/>
    <n v="40.6"/>
  </r>
  <r>
    <x v="7"/>
    <x v="4"/>
    <x v="0"/>
    <x v="10"/>
    <n v="11.9"/>
  </r>
  <r>
    <x v="7"/>
    <x v="4"/>
    <x v="0"/>
    <x v="11"/>
    <n v="547"/>
  </r>
  <r>
    <x v="8"/>
    <x v="4"/>
    <x v="0"/>
    <x v="0"/>
    <n v="0"/>
  </r>
  <r>
    <x v="8"/>
    <x v="4"/>
    <x v="0"/>
    <x v="1"/>
    <n v="6.5"/>
  </r>
  <r>
    <x v="8"/>
    <x v="4"/>
    <x v="0"/>
    <x v="2"/>
    <n v="0"/>
  </r>
  <r>
    <x v="8"/>
    <x v="4"/>
    <x v="0"/>
    <x v="3"/>
    <n v="2.2000000000000002"/>
  </r>
  <r>
    <x v="8"/>
    <x v="4"/>
    <x v="0"/>
    <x v="4"/>
    <n v="0.1"/>
  </r>
  <r>
    <x v="8"/>
    <x v="4"/>
    <x v="0"/>
    <x v="5"/>
    <n v="9.6"/>
  </r>
  <r>
    <x v="8"/>
    <x v="4"/>
    <x v="0"/>
    <x v="6"/>
    <n v="5.2"/>
  </r>
  <r>
    <x v="8"/>
    <x v="4"/>
    <x v="0"/>
    <x v="7"/>
    <n v="0.8"/>
  </r>
  <r>
    <x v="8"/>
    <x v="4"/>
    <x v="0"/>
    <x v="8"/>
    <n v="0"/>
  </r>
  <r>
    <x v="8"/>
    <x v="4"/>
    <x v="0"/>
    <x v="9"/>
    <n v="3.7"/>
  </r>
  <r>
    <x v="8"/>
    <x v="4"/>
    <x v="0"/>
    <x v="10"/>
    <n v="1.4"/>
  </r>
  <r>
    <x v="8"/>
    <x v="4"/>
    <x v="0"/>
    <x v="11"/>
    <n v="34.1"/>
  </r>
  <r>
    <x v="9"/>
    <x v="4"/>
    <x v="0"/>
    <x v="0"/>
    <n v="0"/>
  </r>
  <r>
    <x v="9"/>
    <x v="4"/>
    <x v="0"/>
    <x v="1"/>
    <n v="0"/>
  </r>
  <r>
    <x v="9"/>
    <x v="4"/>
    <x v="0"/>
    <x v="2"/>
    <n v="0"/>
  </r>
  <r>
    <x v="9"/>
    <x v="4"/>
    <x v="0"/>
    <x v="3"/>
    <n v="0"/>
  </r>
  <r>
    <x v="9"/>
    <x v="4"/>
    <x v="0"/>
    <x v="4"/>
    <n v="9.6999999999999993"/>
  </r>
  <r>
    <x v="9"/>
    <x v="4"/>
    <x v="0"/>
    <x v="5"/>
    <n v="0.7"/>
  </r>
  <r>
    <x v="9"/>
    <x v="4"/>
    <x v="0"/>
    <x v="6"/>
    <n v="0"/>
  </r>
  <r>
    <x v="9"/>
    <x v="4"/>
    <x v="0"/>
    <x v="7"/>
    <n v="0"/>
  </r>
  <r>
    <x v="9"/>
    <x v="4"/>
    <x v="0"/>
    <x v="8"/>
    <n v="0"/>
  </r>
  <r>
    <x v="9"/>
    <x v="4"/>
    <x v="0"/>
    <x v="9"/>
    <n v="0.8"/>
  </r>
  <r>
    <x v="9"/>
    <x v="4"/>
    <x v="0"/>
    <x v="10"/>
    <n v="0.1"/>
  </r>
  <r>
    <x v="9"/>
    <x v="4"/>
    <x v="0"/>
    <x v="11"/>
    <n v="8.5"/>
  </r>
  <r>
    <x v="10"/>
    <x v="4"/>
    <x v="0"/>
    <x v="0"/>
    <n v="55.6"/>
  </r>
  <r>
    <x v="10"/>
    <x v="4"/>
    <x v="0"/>
    <x v="1"/>
    <n v="40.5"/>
  </r>
  <r>
    <x v="10"/>
    <x v="4"/>
    <x v="0"/>
    <x v="2"/>
    <n v="4.7"/>
  </r>
  <r>
    <x v="10"/>
    <x v="4"/>
    <x v="0"/>
    <x v="3"/>
    <n v="61.2"/>
  </r>
  <r>
    <x v="10"/>
    <x v="4"/>
    <x v="0"/>
    <x v="4"/>
    <n v="11"/>
  </r>
  <r>
    <x v="10"/>
    <x v="4"/>
    <x v="0"/>
    <x v="5"/>
    <n v="47.9"/>
  </r>
  <r>
    <x v="10"/>
    <x v="4"/>
    <x v="0"/>
    <x v="6"/>
    <n v="0"/>
  </r>
  <r>
    <x v="10"/>
    <x v="4"/>
    <x v="0"/>
    <x v="7"/>
    <n v="8.4"/>
  </r>
  <r>
    <x v="10"/>
    <x v="4"/>
    <x v="0"/>
    <x v="8"/>
    <n v="20.700000000000003"/>
  </r>
  <r>
    <x v="10"/>
    <x v="4"/>
    <x v="0"/>
    <x v="9"/>
    <n v="3.6"/>
  </r>
  <r>
    <x v="10"/>
    <x v="4"/>
    <x v="0"/>
    <x v="10"/>
    <n v="9"/>
  </r>
  <r>
    <x v="10"/>
    <x v="4"/>
    <x v="0"/>
    <x v="11"/>
    <n v="271.8"/>
  </r>
  <r>
    <x v="11"/>
    <x v="4"/>
    <x v="0"/>
    <x v="0"/>
    <n v="21.6"/>
  </r>
  <r>
    <x v="11"/>
    <x v="4"/>
    <x v="0"/>
    <x v="1"/>
    <n v="6.1"/>
  </r>
  <r>
    <x v="11"/>
    <x v="4"/>
    <x v="0"/>
    <x v="2"/>
    <n v="0"/>
  </r>
  <r>
    <x v="11"/>
    <x v="4"/>
    <x v="0"/>
    <x v="3"/>
    <n v="3.2"/>
  </r>
  <r>
    <x v="11"/>
    <x v="4"/>
    <x v="0"/>
    <x v="4"/>
    <n v="2.9000000000000004"/>
  </r>
  <r>
    <x v="11"/>
    <x v="4"/>
    <x v="0"/>
    <x v="5"/>
    <n v="4.8"/>
  </r>
  <r>
    <x v="11"/>
    <x v="4"/>
    <x v="0"/>
    <x v="6"/>
    <n v="0"/>
  </r>
  <r>
    <x v="11"/>
    <x v="4"/>
    <x v="0"/>
    <x v="7"/>
    <n v="0"/>
  </r>
  <r>
    <x v="11"/>
    <x v="4"/>
    <x v="0"/>
    <x v="8"/>
    <n v="14.6"/>
  </r>
  <r>
    <x v="11"/>
    <x v="4"/>
    <x v="0"/>
    <x v="9"/>
    <n v="10.9"/>
  </r>
  <r>
    <x v="11"/>
    <x v="4"/>
    <x v="0"/>
    <x v="10"/>
    <n v="0.9"/>
  </r>
  <r>
    <x v="11"/>
    <x v="4"/>
    <x v="0"/>
    <x v="11"/>
    <n v="85.5"/>
  </r>
  <r>
    <x v="12"/>
    <x v="4"/>
    <x v="0"/>
    <x v="0"/>
    <n v="379.1"/>
  </r>
  <r>
    <x v="12"/>
    <x v="4"/>
    <x v="0"/>
    <x v="1"/>
    <n v="9.6999999999999993"/>
  </r>
  <r>
    <x v="12"/>
    <x v="4"/>
    <x v="0"/>
    <x v="2"/>
    <n v="0"/>
  </r>
  <r>
    <x v="12"/>
    <x v="4"/>
    <x v="0"/>
    <x v="3"/>
    <n v="40.9"/>
  </r>
  <r>
    <x v="12"/>
    <x v="4"/>
    <x v="0"/>
    <x v="4"/>
    <n v="3.8"/>
  </r>
  <r>
    <x v="12"/>
    <x v="4"/>
    <x v="0"/>
    <x v="5"/>
    <n v="24"/>
  </r>
  <r>
    <x v="12"/>
    <x v="4"/>
    <x v="0"/>
    <x v="6"/>
    <n v="0"/>
  </r>
  <r>
    <x v="12"/>
    <x v="4"/>
    <x v="0"/>
    <x v="7"/>
    <n v="9.1999999999999993"/>
  </r>
  <r>
    <x v="12"/>
    <x v="4"/>
    <x v="0"/>
    <x v="8"/>
    <n v="53.7"/>
  </r>
  <r>
    <x v="12"/>
    <x v="4"/>
    <x v="0"/>
    <x v="9"/>
    <n v="5"/>
  </r>
  <r>
    <x v="12"/>
    <x v="4"/>
    <x v="0"/>
    <x v="10"/>
    <n v="4.2"/>
  </r>
  <r>
    <x v="12"/>
    <x v="4"/>
    <x v="0"/>
    <x v="11"/>
    <n v="489.1"/>
  </r>
  <r>
    <x v="13"/>
    <x v="4"/>
    <x v="0"/>
    <x v="0"/>
    <n v="65.599999999999994"/>
  </r>
  <r>
    <x v="13"/>
    <x v="4"/>
    <x v="0"/>
    <x v="1"/>
    <n v="23.7"/>
  </r>
  <r>
    <x v="13"/>
    <x v="4"/>
    <x v="0"/>
    <x v="2"/>
    <n v="0"/>
  </r>
  <r>
    <x v="13"/>
    <x v="4"/>
    <x v="0"/>
    <x v="3"/>
    <n v="143.6"/>
  </r>
  <r>
    <x v="13"/>
    <x v="4"/>
    <x v="0"/>
    <x v="4"/>
    <n v="0"/>
  </r>
  <r>
    <x v="13"/>
    <x v="4"/>
    <x v="0"/>
    <x v="5"/>
    <n v="27.9"/>
  </r>
  <r>
    <x v="13"/>
    <x v="4"/>
    <x v="0"/>
    <x v="6"/>
    <n v="16"/>
  </r>
  <r>
    <x v="13"/>
    <x v="4"/>
    <x v="0"/>
    <x v="7"/>
    <n v="10.5"/>
  </r>
  <r>
    <x v="13"/>
    <x v="4"/>
    <x v="0"/>
    <x v="8"/>
    <n v="7.5"/>
  </r>
  <r>
    <x v="13"/>
    <x v="4"/>
    <x v="0"/>
    <x v="9"/>
    <n v="17.400000000000002"/>
  </r>
  <r>
    <x v="13"/>
    <x v="4"/>
    <x v="0"/>
    <x v="10"/>
    <n v="0.1"/>
  </r>
  <r>
    <x v="13"/>
    <x v="4"/>
    <x v="0"/>
    <x v="11"/>
    <n v="328.7"/>
  </r>
  <r>
    <x v="14"/>
    <x v="4"/>
    <x v="0"/>
    <x v="0"/>
    <n v="0"/>
  </r>
  <r>
    <x v="14"/>
    <x v="4"/>
    <x v="0"/>
    <x v="1"/>
    <n v="0"/>
  </r>
  <r>
    <x v="14"/>
    <x v="4"/>
    <x v="0"/>
    <x v="2"/>
    <n v="16.399999999999999"/>
  </r>
  <r>
    <x v="14"/>
    <x v="4"/>
    <x v="0"/>
    <x v="3"/>
    <n v="15.4"/>
  </r>
  <r>
    <x v="14"/>
    <x v="4"/>
    <x v="0"/>
    <x v="4"/>
    <n v="0"/>
  </r>
  <r>
    <x v="14"/>
    <x v="4"/>
    <x v="0"/>
    <x v="5"/>
    <n v="4.8"/>
  </r>
  <r>
    <x v="14"/>
    <x v="4"/>
    <x v="0"/>
    <x v="6"/>
    <n v="0"/>
  </r>
  <r>
    <x v="14"/>
    <x v="4"/>
    <x v="0"/>
    <x v="7"/>
    <n v="3.7"/>
  </r>
  <r>
    <x v="14"/>
    <x v="4"/>
    <x v="0"/>
    <x v="8"/>
    <n v="4.0999999999999996"/>
  </r>
  <r>
    <x v="14"/>
    <x v="4"/>
    <x v="0"/>
    <x v="9"/>
    <n v="0.3"/>
  </r>
  <r>
    <x v="14"/>
    <x v="4"/>
    <x v="0"/>
    <x v="10"/>
    <n v="1.2"/>
  </r>
  <r>
    <x v="14"/>
    <x v="4"/>
    <x v="0"/>
    <x v="11"/>
    <n v="52"/>
  </r>
  <r>
    <x v="15"/>
    <x v="4"/>
    <x v="0"/>
    <x v="0"/>
    <n v="0"/>
  </r>
  <r>
    <x v="15"/>
    <x v="4"/>
    <x v="0"/>
    <x v="1"/>
    <n v="1.3"/>
  </r>
  <r>
    <x v="15"/>
    <x v="4"/>
    <x v="0"/>
    <x v="2"/>
    <n v="0"/>
  </r>
  <r>
    <x v="15"/>
    <x v="4"/>
    <x v="0"/>
    <x v="3"/>
    <n v="2.8"/>
  </r>
  <r>
    <x v="15"/>
    <x v="4"/>
    <x v="0"/>
    <x v="4"/>
    <n v="0"/>
  </r>
  <r>
    <x v="15"/>
    <x v="4"/>
    <x v="0"/>
    <x v="5"/>
    <n v="1.2"/>
  </r>
  <r>
    <x v="15"/>
    <x v="4"/>
    <x v="0"/>
    <x v="6"/>
    <n v="0"/>
  </r>
  <r>
    <x v="15"/>
    <x v="4"/>
    <x v="0"/>
    <x v="7"/>
    <n v="0.1"/>
  </r>
  <r>
    <x v="15"/>
    <x v="4"/>
    <x v="0"/>
    <x v="8"/>
    <n v="5"/>
  </r>
  <r>
    <x v="15"/>
    <x v="4"/>
    <x v="0"/>
    <x v="9"/>
    <n v="0.5"/>
  </r>
  <r>
    <x v="15"/>
    <x v="4"/>
    <x v="0"/>
    <x v="10"/>
    <n v="0"/>
  </r>
  <r>
    <x v="15"/>
    <x v="4"/>
    <x v="0"/>
    <x v="11"/>
    <n v="18.2"/>
  </r>
  <r>
    <x v="16"/>
    <x v="4"/>
    <x v="0"/>
    <x v="0"/>
    <n v="15.2"/>
  </r>
  <r>
    <x v="16"/>
    <x v="4"/>
    <x v="0"/>
    <x v="1"/>
    <n v="0"/>
  </r>
  <r>
    <x v="16"/>
    <x v="4"/>
    <x v="0"/>
    <x v="2"/>
    <n v="4.7"/>
  </r>
  <r>
    <x v="16"/>
    <x v="4"/>
    <x v="0"/>
    <x v="3"/>
    <n v="6"/>
  </r>
  <r>
    <x v="16"/>
    <x v="4"/>
    <x v="0"/>
    <x v="4"/>
    <n v="0.1"/>
  </r>
  <r>
    <x v="16"/>
    <x v="4"/>
    <x v="0"/>
    <x v="5"/>
    <n v="0.7"/>
  </r>
  <r>
    <x v="16"/>
    <x v="4"/>
    <x v="0"/>
    <x v="6"/>
    <n v="0"/>
  </r>
  <r>
    <x v="16"/>
    <x v="4"/>
    <x v="0"/>
    <x v="7"/>
    <n v="0.1"/>
  </r>
  <r>
    <x v="16"/>
    <x v="4"/>
    <x v="0"/>
    <x v="8"/>
    <n v="0.2"/>
  </r>
  <r>
    <x v="16"/>
    <x v="4"/>
    <x v="0"/>
    <x v="9"/>
    <n v="1.7"/>
  </r>
  <r>
    <x v="16"/>
    <x v="4"/>
    <x v="0"/>
    <x v="10"/>
    <n v="0.4"/>
  </r>
  <r>
    <x v="16"/>
    <x v="4"/>
    <x v="0"/>
    <x v="11"/>
    <n v="41.9"/>
  </r>
  <r>
    <x v="17"/>
    <x v="4"/>
    <x v="0"/>
    <x v="0"/>
    <n v="0"/>
  </r>
  <r>
    <x v="17"/>
    <x v="4"/>
    <x v="0"/>
    <x v="1"/>
    <n v="3.6"/>
  </r>
  <r>
    <x v="17"/>
    <x v="4"/>
    <x v="0"/>
    <x v="2"/>
    <n v="0"/>
  </r>
  <r>
    <x v="17"/>
    <x v="4"/>
    <x v="0"/>
    <x v="3"/>
    <n v="14.6"/>
  </r>
  <r>
    <x v="17"/>
    <x v="4"/>
    <x v="0"/>
    <x v="4"/>
    <n v="2.4"/>
  </r>
  <r>
    <x v="17"/>
    <x v="4"/>
    <x v="0"/>
    <x v="5"/>
    <n v="7.4"/>
  </r>
  <r>
    <x v="17"/>
    <x v="4"/>
    <x v="0"/>
    <x v="6"/>
    <n v="0"/>
  </r>
  <r>
    <x v="17"/>
    <x v="4"/>
    <x v="0"/>
    <x v="7"/>
    <n v="0"/>
  </r>
  <r>
    <x v="17"/>
    <x v="4"/>
    <x v="0"/>
    <x v="8"/>
    <n v="0.89999999999999991"/>
  </r>
  <r>
    <x v="17"/>
    <x v="4"/>
    <x v="0"/>
    <x v="9"/>
    <n v="0"/>
  </r>
  <r>
    <x v="17"/>
    <x v="4"/>
    <x v="0"/>
    <x v="10"/>
    <n v="0.4"/>
  </r>
  <r>
    <x v="17"/>
    <x v="4"/>
    <x v="0"/>
    <x v="11"/>
    <n v="28.599999999999998"/>
  </r>
  <r>
    <x v="18"/>
    <x v="4"/>
    <x v="0"/>
    <x v="0"/>
    <n v="0"/>
  </r>
  <r>
    <x v="18"/>
    <x v="4"/>
    <x v="0"/>
    <x v="1"/>
    <n v="0"/>
  </r>
  <r>
    <x v="18"/>
    <x v="4"/>
    <x v="0"/>
    <x v="2"/>
    <n v="0"/>
  </r>
  <r>
    <x v="18"/>
    <x v="4"/>
    <x v="0"/>
    <x v="3"/>
    <n v="0"/>
  </r>
  <r>
    <x v="18"/>
    <x v="4"/>
    <x v="0"/>
    <x v="4"/>
    <n v="0"/>
  </r>
  <r>
    <x v="18"/>
    <x v="4"/>
    <x v="0"/>
    <x v="5"/>
    <n v="0"/>
  </r>
  <r>
    <x v="18"/>
    <x v="4"/>
    <x v="0"/>
    <x v="6"/>
    <n v="0"/>
  </r>
  <r>
    <x v="18"/>
    <x v="4"/>
    <x v="0"/>
    <x v="7"/>
    <n v="0"/>
  </r>
  <r>
    <x v="18"/>
    <x v="4"/>
    <x v="0"/>
    <x v="8"/>
    <n v="13.9"/>
  </r>
  <r>
    <x v="18"/>
    <x v="4"/>
    <x v="0"/>
    <x v="9"/>
    <n v="0"/>
  </r>
  <r>
    <x v="18"/>
    <x v="4"/>
    <x v="0"/>
    <x v="10"/>
    <n v="4.7"/>
  </r>
  <r>
    <x v="18"/>
    <x v="4"/>
    <x v="0"/>
    <x v="11"/>
    <n v="18.600000000000001"/>
  </r>
  <r>
    <x v="19"/>
    <x v="4"/>
    <x v="0"/>
    <x v="0"/>
    <n v="0"/>
  </r>
  <r>
    <x v="19"/>
    <x v="4"/>
    <x v="0"/>
    <x v="1"/>
    <n v="35.6"/>
  </r>
  <r>
    <x v="19"/>
    <x v="4"/>
    <x v="0"/>
    <x v="2"/>
    <n v="0"/>
  </r>
  <r>
    <x v="19"/>
    <x v="4"/>
    <x v="0"/>
    <x v="3"/>
    <n v="129"/>
  </r>
  <r>
    <x v="19"/>
    <x v="4"/>
    <x v="0"/>
    <x v="4"/>
    <n v="4.0999999999999996"/>
  </r>
  <r>
    <x v="19"/>
    <x v="4"/>
    <x v="0"/>
    <x v="5"/>
    <n v="17.5"/>
  </r>
  <r>
    <x v="19"/>
    <x v="4"/>
    <x v="0"/>
    <x v="6"/>
    <n v="0"/>
  </r>
  <r>
    <x v="19"/>
    <x v="4"/>
    <x v="0"/>
    <x v="7"/>
    <n v="24.8"/>
  </r>
  <r>
    <x v="19"/>
    <x v="4"/>
    <x v="0"/>
    <x v="8"/>
    <n v="37.5"/>
  </r>
  <r>
    <x v="19"/>
    <x v="4"/>
    <x v="0"/>
    <x v="9"/>
    <n v="17.100000000000001"/>
  </r>
  <r>
    <x v="19"/>
    <x v="4"/>
    <x v="0"/>
    <x v="10"/>
    <n v="19.600000000000001"/>
  </r>
  <r>
    <x v="19"/>
    <x v="4"/>
    <x v="0"/>
    <x v="11"/>
    <n v="322.79999999999995"/>
  </r>
  <r>
    <x v="20"/>
    <x v="4"/>
    <x v="0"/>
    <x v="0"/>
    <n v="0"/>
  </r>
  <r>
    <x v="20"/>
    <x v="4"/>
    <x v="0"/>
    <x v="1"/>
    <n v="0"/>
  </r>
  <r>
    <x v="20"/>
    <x v="4"/>
    <x v="0"/>
    <x v="2"/>
    <n v="0"/>
  </r>
  <r>
    <x v="20"/>
    <x v="4"/>
    <x v="0"/>
    <x v="3"/>
    <n v="0.5"/>
  </r>
  <r>
    <x v="20"/>
    <x v="4"/>
    <x v="0"/>
    <x v="4"/>
    <n v="0.1"/>
  </r>
  <r>
    <x v="20"/>
    <x v="4"/>
    <x v="0"/>
    <x v="5"/>
    <n v="1.4"/>
  </r>
  <r>
    <x v="20"/>
    <x v="4"/>
    <x v="0"/>
    <x v="6"/>
    <n v="0"/>
  </r>
  <r>
    <x v="20"/>
    <x v="4"/>
    <x v="0"/>
    <x v="7"/>
    <n v="0.1"/>
  </r>
  <r>
    <x v="20"/>
    <x v="4"/>
    <x v="0"/>
    <x v="8"/>
    <n v="1.2"/>
  </r>
  <r>
    <x v="20"/>
    <x v="4"/>
    <x v="0"/>
    <x v="9"/>
    <n v="0.30000000000000004"/>
  </r>
  <r>
    <x v="20"/>
    <x v="4"/>
    <x v="0"/>
    <x v="10"/>
    <n v="0.4"/>
  </r>
  <r>
    <x v="20"/>
    <x v="4"/>
    <x v="0"/>
    <x v="11"/>
    <n v="12.5"/>
  </r>
  <r>
    <x v="21"/>
    <x v="4"/>
    <x v="0"/>
    <x v="0"/>
    <n v="0"/>
  </r>
  <r>
    <x v="21"/>
    <x v="4"/>
    <x v="0"/>
    <x v="1"/>
    <n v="0"/>
  </r>
  <r>
    <x v="21"/>
    <x v="4"/>
    <x v="0"/>
    <x v="2"/>
    <n v="0"/>
  </r>
  <r>
    <x v="21"/>
    <x v="4"/>
    <x v="0"/>
    <x v="3"/>
    <n v="0.2"/>
  </r>
  <r>
    <x v="21"/>
    <x v="4"/>
    <x v="0"/>
    <x v="4"/>
    <n v="0"/>
  </r>
  <r>
    <x v="21"/>
    <x v="4"/>
    <x v="0"/>
    <x v="5"/>
    <n v="0.2"/>
  </r>
  <r>
    <x v="21"/>
    <x v="4"/>
    <x v="0"/>
    <x v="6"/>
    <n v="0"/>
  </r>
  <r>
    <x v="21"/>
    <x v="4"/>
    <x v="0"/>
    <x v="7"/>
    <n v="0.1"/>
  </r>
  <r>
    <x v="21"/>
    <x v="4"/>
    <x v="0"/>
    <x v="8"/>
    <n v="1.4000000000000001"/>
  </r>
  <r>
    <x v="21"/>
    <x v="4"/>
    <x v="0"/>
    <x v="9"/>
    <n v="0.1"/>
  </r>
  <r>
    <x v="21"/>
    <x v="4"/>
    <x v="0"/>
    <x v="10"/>
    <n v="0.1"/>
  </r>
  <r>
    <x v="21"/>
    <x v="4"/>
    <x v="0"/>
    <x v="11"/>
    <n v="8.3000000000000007"/>
  </r>
  <r>
    <x v="22"/>
    <x v="4"/>
    <x v="0"/>
    <x v="0"/>
    <n v="0"/>
  </r>
  <r>
    <x v="22"/>
    <x v="4"/>
    <x v="0"/>
    <x v="1"/>
    <n v="0"/>
  </r>
  <r>
    <x v="22"/>
    <x v="4"/>
    <x v="0"/>
    <x v="2"/>
    <n v="0"/>
  </r>
  <r>
    <x v="22"/>
    <x v="4"/>
    <x v="0"/>
    <x v="3"/>
    <n v="1.4"/>
  </r>
  <r>
    <x v="22"/>
    <x v="4"/>
    <x v="0"/>
    <x v="4"/>
    <n v="0.6"/>
  </r>
  <r>
    <x v="22"/>
    <x v="4"/>
    <x v="0"/>
    <x v="5"/>
    <n v="0.1"/>
  </r>
  <r>
    <x v="22"/>
    <x v="4"/>
    <x v="0"/>
    <x v="6"/>
    <n v="0"/>
  </r>
  <r>
    <x v="22"/>
    <x v="4"/>
    <x v="0"/>
    <x v="7"/>
    <n v="0"/>
  </r>
  <r>
    <x v="22"/>
    <x v="4"/>
    <x v="0"/>
    <x v="8"/>
    <n v="4.4000000000000004"/>
  </r>
  <r>
    <x v="22"/>
    <x v="4"/>
    <x v="0"/>
    <x v="9"/>
    <n v="0.9"/>
  </r>
  <r>
    <x v="22"/>
    <x v="4"/>
    <x v="0"/>
    <x v="10"/>
    <n v="0"/>
  </r>
  <r>
    <x v="22"/>
    <x v="4"/>
    <x v="0"/>
    <x v="11"/>
    <n v="7.3"/>
  </r>
  <r>
    <x v="23"/>
    <x v="4"/>
    <x v="0"/>
    <x v="0"/>
    <n v="0"/>
  </r>
  <r>
    <x v="23"/>
    <x v="4"/>
    <x v="0"/>
    <x v="1"/>
    <n v="0"/>
  </r>
  <r>
    <x v="23"/>
    <x v="4"/>
    <x v="0"/>
    <x v="2"/>
    <n v="1.3"/>
  </r>
  <r>
    <x v="23"/>
    <x v="4"/>
    <x v="0"/>
    <x v="3"/>
    <n v="0"/>
  </r>
  <r>
    <x v="23"/>
    <x v="4"/>
    <x v="0"/>
    <x v="4"/>
    <n v="0"/>
  </r>
  <r>
    <x v="23"/>
    <x v="4"/>
    <x v="0"/>
    <x v="5"/>
    <n v="0.1"/>
  </r>
  <r>
    <x v="23"/>
    <x v="4"/>
    <x v="0"/>
    <x v="6"/>
    <n v="0"/>
  </r>
  <r>
    <x v="23"/>
    <x v="4"/>
    <x v="0"/>
    <x v="7"/>
    <n v="0"/>
  </r>
  <r>
    <x v="23"/>
    <x v="4"/>
    <x v="0"/>
    <x v="8"/>
    <n v="0.89999999999999991"/>
  </r>
  <r>
    <x v="23"/>
    <x v="4"/>
    <x v="0"/>
    <x v="9"/>
    <n v="0"/>
  </r>
  <r>
    <x v="23"/>
    <x v="4"/>
    <x v="0"/>
    <x v="10"/>
    <n v="0"/>
  </r>
  <r>
    <x v="23"/>
    <x v="4"/>
    <x v="0"/>
    <x v="11"/>
    <n v="3.4"/>
  </r>
  <r>
    <x v="24"/>
    <x v="4"/>
    <x v="0"/>
    <x v="0"/>
    <n v="0"/>
  </r>
  <r>
    <x v="24"/>
    <x v="4"/>
    <x v="0"/>
    <x v="1"/>
    <n v="0"/>
  </r>
  <r>
    <x v="24"/>
    <x v="4"/>
    <x v="0"/>
    <x v="2"/>
    <n v="3.3"/>
  </r>
  <r>
    <x v="24"/>
    <x v="4"/>
    <x v="0"/>
    <x v="3"/>
    <n v="0.8"/>
  </r>
  <r>
    <x v="24"/>
    <x v="4"/>
    <x v="0"/>
    <x v="4"/>
    <n v="0"/>
  </r>
  <r>
    <x v="24"/>
    <x v="4"/>
    <x v="0"/>
    <x v="5"/>
    <n v="0.1"/>
  </r>
  <r>
    <x v="24"/>
    <x v="4"/>
    <x v="0"/>
    <x v="6"/>
    <n v="0"/>
  </r>
  <r>
    <x v="24"/>
    <x v="4"/>
    <x v="0"/>
    <x v="7"/>
    <n v="0"/>
  </r>
  <r>
    <x v="24"/>
    <x v="4"/>
    <x v="0"/>
    <x v="8"/>
    <n v="0.9"/>
  </r>
  <r>
    <x v="24"/>
    <x v="4"/>
    <x v="0"/>
    <x v="9"/>
    <n v="0.1"/>
  </r>
  <r>
    <x v="24"/>
    <x v="4"/>
    <x v="0"/>
    <x v="10"/>
    <n v="0"/>
  </r>
  <r>
    <x v="24"/>
    <x v="4"/>
    <x v="0"/>
    <x v="11"/>
    <n v="7.2"/>
  </r>
  <r>
    <x v="26"/>
    <x v="4"/>
    <x v="0"/>
    <x v="0"/>
    <n v="4.2"/>
  </r>
  <r>
    <x v="26"/>
    <x v="4"/>
    <x v="0"/>
    <x v="1"/>
    <n v="17.3"/>
  </r>
  <r>
    <x v="26"/>
    <x v="4"/>
    <x v="0"/>
    <x v="2"/>
    <n v="0"/>
  </r>
  <r>
    <x v="26"/>
    <x v="4"/>
    <x v="0"/>
    <x v="3"/>
    <n v="73.599999999999994"/>
  </r>
  <r>
    <x v="26"/>
    <x v="4"/>
    <x v="0"/>
    <x v="4"/>
    <n v="0"/>
  </r>
  <r>
    <x v="26"/>
    <x v="4"/>
    <x v="0"/>
    <x v="5"/>
    <n v="7.3"/>
  </r>
  <r>
    <x v="26"/>
    <x v="4"/>
    <x v="0"/>
    <x v="6"/>
    <n v="3.6"/>
  </r>
  <r>
    <x v="26"/>
    <x v="4"/>
    <x v="0"/>
    <x v="7"/>
    <n v="1.9"/>
  </r>
  <r>
    <x v="26"/>
    <x v="4"/>
    <x v="0"/>
    <x v="8"/>
    <n v="0.1"/>
  </r>
  <r>
    <x v="26"/>
    <x v="4"/>
    <x v="0"/>
    <x v="9"/>
    <n v="3.6"/>
  </r>
  <r>
    <x v="26"/>
    <x v="4"/>
    <x v="0"/>
    <x v="10"/>
    <n v="0"/>
  </r>
  <r>
    <x v="26"/>
    <x v="4"/>
    <x v="0"/>
    <x v="11"/>
    <n v="115.4"/>
  </r>
  <r>
    <x v="27"/>
    <x v="4"/>
    <x v="0"/>
    <x v="0"/>
    <n v="0"/>
  </r>
  <r>
    <x v="27"/>
    <x v="4"/>
    <x v="0"/>
    <x v="1"/>
    <n v="0"/>
  </r>
  <r>
    <x v="27"/>
    <x v="4"/>
    <x v="0"/>
    <x v="2"/>
    <n v="0"/>
  </r>
  <r>
    <x v="27"/>
    <x v="4"/>
    <x v="0"/>
    <x v="3"/>
    <n v="3.1"/>
  </r>
  <r>
    <x v="27"/>
    <x v="4"/>
    <x v="0"/>
    <x v="4"/>
    <n v="0"/>
  </r>
  <r>
    <x v="27"/>
    <x v="4"/>
    <x v="0"/>
    <x v="5"/>
    <n v="2.7"/>
  </r>
  <r>
    <x v="27"/>
    <x v="4"/>
    <x v="0"/>
    <x v="6"/>
    <n v="0"/>
  </r>
  <r>
    <x v="27"/>
    <x v="4"/>
    <x v="0"/>
    <x v="7"/>
    <n v="0"/>
  </r>
  <r>
    <x v="27"/>
    <x v="4"/>
    <x v="0"/>
    <x v="8"/>
    <n v="142.1"/>
  </r>
  <r>
    <x v="27"/>
    <x v="4"/>
    <x v="0"/>
    <x v="9"/>
    <n v="0"/>
  </r>
  <r>
    <x v="27"/>
    <x v="4"/>
    <x v="0"/>
    <x v="10"/>
    <n v="0.7"/>
  </r>
  <r>
    <x v="27"/>
    <x v="4"/>
    <x v="0"/>
    <x v="11"/>
    <n v="133.69999999999999"/>
  </r>
  <r>
    <x v="28"/>
    <x v="4"/>
    <x v="0"/>
    <x v="0"/>
    <n v="0"/>
  </r>
  <r>
    <x v="28"/>
    <x v="4"/>
    <x v="0"/>
    <x v="1"/>
    <n v="73.599999999999994"/>
  </r>
  <r>
    <x v="28"/>
    <x v="4"/>
    <x v="0"/>
    <x v="2"/>
    <n v="46.4"/>
  </r>
  <r>
    <x v="28"/>
    <x v="4"/>
    <x v="0"/>
    <x v="3"/>
    <n v="9.6999999999999993"/>
  </r>
  <r>
    <x v="28"/>
    <x v="4"/>
    <x v="0"/>
    <x v="4"/>
    <n v="2.2000000000000002"/>
  </r>
  <r>
    <x v="28"/>
    <x v="4"/>
    <x v="0"/>
    <x v="5"/>
    <n v="14.4"/>
  </r>
  <r>
    <x v="28"/>
    <x v="4"/>
    <x v="0"/>
    <x v="6"/>
    <n v="0"/>
  </r>
  <r>
    <x v="28"/>
    <x v="4"/>
    <x v="0"/>
    <x v="7"/>
    <n v="0.2"/>
  </r>
  <r>
    <x v="28"/>
    <x v="4"/>
    <x v="0"/>
    <x v="8"/>
    <n v="3"/>
  </r>
  <r>
    <x v="28"/>
    <x v="4"/>
    <x v="0"/>
    <x v="9"/>
    <n v="7.4"/>
  </r>
  <r>
    <x v="28"/>
    <x v="4"/>
    <x v="0"/>
    <x v="10"/>
    <n v="0.7"/>
  </r>
  <r>
    <x v="28"/>
    <x v="4"/>
    <x v="0"/>
    <x v="11"/>
    <n v="160"/>
  </r>
  <r>
    <x v="29"/>
    <x v="4"/>
    <x v="0"/>
    <x v="0"/>
    <n v="0"/>
  </r>
  <r>
    <x v="29"/>
    <x v="4"/>
    <x v="0"/>
    <x v="1"/>
    <n v="13.6"/>
  </r>
  <r>
    <x v="29"/>
    <x v="4"/>
    <x v="0"/>
    <x v="2"/>
    <n v="0"/>
  </r>
  <r>
    <x v="29"/>
    <x v="4"/>
    <x v="0"/>
    <x v="3"/>
    <n v="17.600000000000001"/>
  </r>
  <r>
    <x v="29"/>
    <x v="4"/>
    <x v="0"/>
    <x v="4"/>
    <n v="0.4"/>
  </r>
  <r>
    <x v="29"/>
    <x v="4"/>
    <x v="0"/>
    <x v="5"/>
    <n v="12"/>
  </r>
  <r>
    <x v="29"/>
    <x v="4"/>
    <x v="0"/>
    <x v="6"/>
    <n v="0"/>
  </r>
  <r>
    <x v="29"/>
    <x v="4"/>
    <x v="0"/>
    <x v="7"/>
    <n v="0.9"/>
  </r>
  <r>
    <x v="29"/>
    <x v="4"/>
    <x v="0"/>
    <x v="8"/>
    <n v="7.3"/>
  </r>
  <r>
    <x v="29"/>
    <x v="4"/>
    <x v="0"/>
    <x v="9"/>
    <n v="2.8"/>
  </r>
  <r>
    <x v="29"/>
    <x v="4"/>
    <x v="0"/>
    <x v="10"/>
    <n v="0"/>
  </r>
  <r>
    <x v="29"/>
    <x v="4"/>
    <x v="0"/>
    <x v="11"/>
    <n v="51.800000000000004"/>
  </r>
  <r>
    <x v="30"/>
    <x v="4"/>
    <x v="0"/>
    <x v="0"/>
    <n v="10.6"/>
  </r>
  <r>
    <x v="30"/>
    <x v="4"/>
    <x v="0"/>
    <x v="1"/>
    <n v="1.1000000000000001"/>
  </r>
  <r>
    <x v="30"/>
    <x v="4"/>
    <x v="0"/>
    <x v="2"/>
    <n v="14"/>
  </r>
  <r>
    <x v="30"/>
    <x v="4"/>
    <x v="0"/>
    <x v="3"/>
    <n v="4.5"/>
  </r>
  <r>
    <x v="30"/>
    <x v="4"/>
    <x v="0"/>
    <x v="4"/>
    <n v="5.5"/>
  </r>
  <r>
    <x v="30"/>
    <x v="4"/>
    <x v="0"/>
    <x v="5"/>
    <n v="7.3"/>
  </r>
  <r>
    <x v="30"/>
    <x v="4"/>
    <x v="0"/>
    <x v="6"/>
    <n v="0"/>
  </r>
  <r>
    <x v="30"/>
    <x v="4"/>
    <x v="0"/>
    <x v="7"/>
    <n v="1.9"/>
  </r>
  <r>
    <x v="30"/>
    <x v="4"/>
    <x v="0"/>
    <x v="8"/>
    <n v="14.6"/>
  </r>
  <r>
    <x v="30"/>
    <x v="4"/>
    <x v="0"/>
    <x v="9"/>
    <n v="0.4"/>
  </r>
  <r>
    <x v="30"/>
    <x v="4"/>
    <x v="0"/>
    <x v="10"/>
    <n v="0"/>
  </r>
  <r>
    <x v="30"/>
    <x v="4"/>
    <x v="0"/>
    <x v="11"/>
    <n v="57"/>
  </r>
  <r>
    <x v="31"/>
    <x v="4"/>
    <x v="0"/>
    <x v="0"/>
    <n v="0"/>
  </r>
  <r>
    <x v="31"/>
    <x v="4"/>
    <x v="0"/>
    <x v="1"/>
    <n v="0"/>
  </r>
  <r>
    <x v="31"/>
    <x v="4"/>
    <x v="0"/>
    <x v="2"/>
    <n v="29.5"/>
  </r>
  <r>
    <x v="31"/>
    <x v="4"/>
    <x v="0"/>
    <x v="3"/>
    <n v="0.2"/>
  </r>
  <r>
    <x v="31"/>
    <x v="4"/>
    <x v="0"/>
    <x v="4"/>
    <n v="0"/>
  </r>
  <r>
    <x v="31"/>
    <x v="4"/>
    <x v="0"/>
    <x v="5"/>
    <n v="0"/>
  </r>
  <r>
    <x v="31"/>
    <x v="4"/>
    <x v="0"/>
    <x v="6"/>
    <n v="0"/>
  </r>
  <r>
    <x v="31"/>
    <x v="4"/>
    <x v="0"/>
    <x v="7"/>
    <n v="0"/>
  </r>
  <r>
    <x v="31"/>
    <x v="4"/>
    <x v="0"/>
    <x v="8"/>
    <n v="9.5"/>
  </r>
  <r>
    <x v="31"/>
    <x v="4"/>
    <x v="0"/>
    <x v="9"/>
    <n v="0"/>
  </r>
  <r>
    <x v="31"/>
    <x v="4"/>
    <x v="0"/>
    <x v="10"/>
    <n v="0"/>
  </r>
  <r>
    <x v="31"/>
    <x v="4"/>
    <x v="0"/>
    <x v="11"/>
    <n v="40.5"/>
  </r>
  <r>
    <x v="32"/>
    <x v="4"/>
    <x v="0"/>
    <x v="0"/>
    <n v="63"/>
  </r>
  <r>
    <x v="32"/>
    <x v="4"/>
    <x v="0"/>
    <x v="1"/>
    <n v="0.5"/>
  </r>
  <r>
    <x v="32"/>
    <x v="4"/>
    <x v="0"/>
    <x v="2"/>
    <n v="0"/>
  </r>
  <r>
    <x v="32"/>
    <x v="4"/>
    <x v="0"/>
    <x v="3"/>
    <n v="0.4"/>
  </r>
  <r>
    <x v="32"/>
    <x v="4"/>
    <x v="0"/>
    <x v="4"/>
    <n v="1.8"/>
  </r>
  <r>
    <x v="32"/>
    <x v="4"/>
    <x v="0"/>
    <x v="5"/>
    <n v="17.3"/>
  </r>
  <r>
    <x v="32"/>
    <x v="4"/>
    <x v="0"/>
    <x v="6"/>
    <n v="0"/>
  </r>
  <r>
    <x v="32"/>
    <x v="4"/>
    <x v="0"/>
    <x v="7"/>
    <n v="0"/>
  </r>
  <r>
    <x v="32"/>
    <x v="4"/>
    <x v="0"/>
    <x v="8"/>
    <n v="63.9"/>
  </r>
  <r>
    <x v="32"/>
    <x v="4"/>
    <x v="0"/>
    <x v="9"/>
    <n v="10.1"/>
  </r>
  <r>
    <x v="32"/>
    <x v="4"/>
    <x v="0"/>
    <x v="10"/>
    <n v="2.2000000000000002"/>
  </r>
  <r>
    <x v="32"/>
    <x v="4"/>
    <x v="0"/>
    <x v="11"/>
    <n v="139.9"/>
  </r>
  <r>
    <x v="33"/>
    <x v="4"/>
    <x v="0"/>
    <x v="0"/>
    <n v="6"/>
  </r>
  <r>
    <x v="33"/>
    <x v="4"/>
    <x v="0"/>
    <x v="1"/>
    <n v="0"/>
  </r>
  <r>
    <x v="33"/>
    <x v="4"/>
    <x v="0"/>
    <x v="2"/>
    <n v="4.3"/>
  </r>
  <r>
    <x v="33"/>
    <x v="4"/>
    <x v="0"/>
    <x v="3"/>
    <n v="0"/>
  </r>
  <r>
    <x v="33"/>
    <x v="4"/>
    <x v="0"/>
    <x v="4"/>
    <n v="0"/>
  </r>
  <r>
    <x v="33"/>
    <x v="4"/>
    <x v="0"/>
    <x v="5"/>
    <n v="0"/>
  </r>
  <r>
    <x v="33"/>
    <x v="4"/>
    <x v="0"/>
    <x v="6"/>
    <n v="0"/>
  </r>
  <r>
    <x v="33"/>
    <x v="4"/>
    <x v="0"/>
    <x v="7"/>
    <n v="0.3"/>
  </r>
  <r>
    <x v="33"/>
    <x v="4"/>
    <x v="0"/>
    <x v="8"/>
    <n v="4.0999999999999996"/>
  </r>
  <r>
    <x v="33"/>
    <x v="4"/>
    <x v="0"/>
    <x v="9"/>
    <n v="0.2"/>
  </r>
  <r>
    <x v="33"/>
    <x v="4"/>
    <x v="0"/>
    <x v="10"/>
    <n v="0.30000000000000004"/>
  </r>
  <r>
    <x v="33"/>
    <x v="4"/>
    <x v="0"/>
    <x v="11"/>
    <n v="14.6"/>
  </r>
  <r>
    <x v="34"/>
    <x v="4"/>
    <x v="0"/>
    <x v="0"/>
    <n v="14"/>
  </r>
  <r>
    <x v="34"/>
    <x v="4"/>
    <x v="0"/>
    <x v="1"/>
    <n v="1"/>
  </r>
  <r>
    <x v="34"/>
    <x v="4"/>
    <x v="0"/>
    <x v="2"/>
    <n v="1.5"/>
  </r>
  <r>
    <x v="34"/>
    <x v="4"/>
    <x v="0"/>
    <x v="3"/>
    <n v="2.2000000000000002"/>
  </r>
  <r>
    <x v="34"/>
    <x v="4"/>
    <x v="0"/>
    <x v="4"/>
    <n v="0.3"/>
  </r>
  <r>
    <x v="34"/>
    <x v="4"/>
    <x v="0"/>
    <x v="5"/>
    <n v="0"/>
  </r>
  <r>
    <x v="34"/>
    <x v="4"/>
    <x v="0"/>
    <x v="6"/>
    <n v="0"/>
  </r>
  <r>
    <x v="34"/>
    <x v="4"/>
    <x v="0"/>
    <x v="7"/>
    <n v="0.6"/>
  </r>
  <r>
    <x v="34"/>
    <x v="4"/>
    <x v="0"/>
    <x v="8"/>
    <n v="4.5999999999999996"/>
  </r>
  <r>
    <x v="34"/>
    <x v="4"/>
    <x v="0"/>
    <x v="9"/>
    <n v="1.7000000000000002"/>
  </r>
  <r>
    <x v="34"/>
    <x v="4"/>
    <x v="0"/>
    <x v="10"/>
    <n v="0.1"/>
  </r>
  <r>
    <x v="34"/>
    <x v="4"/>
    <x v="0"/>
    <x v="11"/>
    <n v="29"/>
  </r>
  <r>
    <x v="35"/>
    <x v="4"/>
    <x v="0"/>
    <x v="0"/>
    <n v="808"/>
  </r>
  <r>
    <x v="35"/>
    <x v="4"/>
    <x v="0"/>
    <x v="1"/>
    <n v="381.5"/>
  </r>
  <r>
    <x v="35"/>
    <x v="4"/>
    <x v="0"/>
    <x v="2"/>
    <n v="365.7"/>
  </r>
  <r>
    <x v="35"/>
    <x v="4"/>
    <x v="0"/>
    <x v="3"/>
    <n v="766.9"/>
  </r>
  <r>
    <x v="35"/>
    <x v="4"/>
    <x v="0"/>
    <x v="4"/>
    <n v="64"/>
  </r>
  <r>
    <x v="35"/>
    <x v="4"/>
    <x v="0"/>
    <x v="5"/>
    <n v="325.7"/>
  </r>
  <r>
    <x v="35"/>
    <x v="4"/>
    <x v="0"/>
    <x v="6"/>
    <n v="45.1"/>
  </r>
  <r>
    <x v="35"/>
    <x v="4"/>
    <x v="0"/>
    <x v="7"/>
    <n v="109"/>
  </r>
  <r>
    <x v="35"/>
    <x v="4"/>
    <x v="0"/>
    <x v="8"/>
    <n v="591.30000000000007"/>
  </r>
  <r>
    <x v="35"/>
    <x v="4"/>
    <x v="0"/>
    <x v="9"/>
    <n v="141.19999999999999"/>
  </r>
  <r>
    <x v="35"/>
    <x v="4"/>
    <x v="0"/>
    <x v="10"/>
    <n v="78"/>
  </r>
  <r>
    <x v="35"/>
    <x v="4"/>
    <x v="0"/>
    <x v="11"/>
    <n v="3681.7999999999997"/>
  </r>
  <r>
    <x v="37"/>
    <x v="4"/>
    <x v="0"/>
    <x v="0"/>
    <n v="788.5"/>
  </r>
  <r>
    <x v="37"/>
    <x v="4"/>
    <x v="0"/>
    <x v="1"/>
    <n v="324.5"/>
  </r>
  <r>
    <x v="37"/>
    <x v="4"/>
    <x v="0"/>
    <x v="2"/>
    <n v="280.3"/>
  </r>
  <r>
    <x v="37"/>
    <x v="4"/>
    <x v="0"/>
    <x v="3"/>
    <n v="653.9"/>
  </r>
  <r>
    <x v="37"/>
    <x v="4"/>
    <x v="0"/>
    <x v="4"/>
    <n v="62"/>
  </r>
  <r>
    <x v="37"/>
    <x v="4"/>
    <x v="0"/>
    <x v="5"/>
    <n v="304.7"/>
  </r>
  <r>
    <x v="37"/>
    <x v="4"/>
    <x v="0"/>
    <x v="6"/>
    <n v="45.1"/>
  </r>
  <r>
    <x v="37"/>
    <x v="4"/>
    <x v="0"/>
    <x v="7"/>
    <n v="105.2"/>
  </r>
  <r>
    <x v="37"/>
    <x v="4"/>
    <x v="0"/>
    <x v="8"/>
    <n v="324.90000000000003"/>
  </r>
  <r>
    <x v="37"/>
    <x v="4"/>
    <x v="0"/>
    <x v="9"/>
    <n v="137.70000000000002"/>
  </r>
  <r>
    <x v="37"/>
    <x v="4"/>
    <x v="0"/>
    <x v="10"/>
    <n v="63.7"/>
  </r>
  <r>
    <x v="37"/>
    <x v="4"/>
    <x v="0"/>
    <x v="11"/>
    <n v="3103.4"/>
  </r>
  <r>
    <x v="36"/>
    <x v="4"/>
    <x v="0"/>
    <x v="0"/>
    <n v="0"/>
  </r>
  <r>
    <x v="36"/>
    <x v="4"/>
    <x v="0"/>
    <x v="1"/>
    <n v="57"/>
  </r>
  <r>
    <x v="36"/>
    <x v="4"/>
    <x v="0"/>
    <x v="2"/>
    <n v="40.5"/>
  </r>
  <r>
    <x v="36"/>
    <x v="4"/>
    <x v="0"/>
    <x v="3"/>
    <n v="108.2"/>
  </r>
  <r>
    <x v="36"/>
    <x v="4"/>
    <x v="0"/>
    <x v="4"/>
    <n v="2"/>
  </r>
  <r>
    <x v="36"/>
    <x v="4"/>
    <x v="0"/>
    <x v="5"/>
    <n v="17.899999999999999"/>
  </r>
  <r>
    <x v="36"/>
    <x v="4"/>
    <x v="0"/>
    <x v="6"/>
    <n v="0"/>
  </r>
  <r>
    <x v="36"/>
    <x v="4"/>
    <x v="0"/>
    <x v="7"/>
    <n v="2.7"/>
  </r>
  <r>
    <x v="36"/>
    <x v="4"/>
    <x v="0"/>
    <x v="8"/>
    <n v="58.5"/>
  </r>
  <r>
    <x v="36"/>
    <x v="4"/>
    <x v="0"/>
    <x v="9"/>
    <n v="2.8"/>
  </r>
  <r>
    <x v="36"/>
    <x v="4"/>
    <x v="0"/>
    <x v="10"/>
    <n v="6"/>
  </r>
  <r>
    <x v="36"/>
    <x v="4"/>
    <x v="0"/>
    <x v="11"/>
    <n v="29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65" fieldListSortAscending="1">
  <location ref="B4:P11" firstHeaderRow="1" firstDataRow="2" firstDataCol="1" rowPageCount="1" colPageCount="1"/>
  <pivotFields count="5">
    <pivotField axis="axisPage" multipleItemSelectionAllowed="1" showAll="0">
      <items count="40">
        <item h="1" x="12"/>
        <item h="1" x="3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6"/>
        <item h="1" x="35"/>
        <item h="1" x="3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16">
        <item x="0"/>
        <item x="2"/>
        <item x="1"/>
        <item x="3"/>
        <item x="4"/>
        <item x="5"/>
        <item x="6"/>
        <item x="7"/>
        <item f="1" x="14"/>
        <item h="1" x="9"/>
        <item h="1" x="10"/>
        <item x="8"/>
        <item x="13"/>
        <item x="12"/>
        <item x="1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 t="grand">
      <x/>
    </i>
  </colItems>
  <pageFields count="1">
    <pageField fld="0" hier="-1"/>
  </pageFields>
  <dataFields count="1">
    <dataField name="Summe von Wert" fld="4" baseField="0" baseItem="0"/>
  </dataFields>
  <chartFormats count="37">
    <chartFormat chart="5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84" fieldListSortAscending="1">
  <location ref="B39:O46" firstHeaderRow="1" firstDataRow="2" firstDataCol="1" rowPageCount="1" colPageCount="1"/>
  <pivotFields count="5">
    <pivotField axis="axisPage" multipleItemSelectionAllowed="1" showAll="0">
      <items count="40">
        <item h="1" x="12"/>
        <item h="1" x="3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6"/>
        <item h="1" x="35"/>
        <item h="1" x="37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h="1" m="1" x="13"/>
        <item x="8"/>
        <item x="9"/>
        <item x="10"/>
        <item x="11"/>
        <item h="1" m="1" x="12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Summe von Wert" fld="4" baseField="0" baseItem="0"/>
  </dataFields>
  <chartFormats count="56">
    <chartFormat chart="68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8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8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8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8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8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8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8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8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8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8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9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9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9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9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9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9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9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9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9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9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9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5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5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5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colGrandTotals="0" itemPrintTitles="1" createdVersion="6" indent="0" outline="1" outlineData="1" multipleFieldFilters="0" fieldListSortAscending="1">
  <location ref="B3:G36" firstHeaderRow="1" firstDataRow="3" firstDataCol="1"/>
  <pivotFields count="5">
    <pivotField axis="axisRow" showAll="0">
      <items count="40">
        <item x="12"/>
        <item h="1" x="38"/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h="1" x="18"/>
        <item x="19"/>
        <item x="20"/>
        <item x="21"/>
        <item x="22"/>
        <item h="1" x="23"/>
        <item h="1" x="24"/>
        <item x="25"/>
        <item x="26"/>
        <item x="27"/>
        <item x="28"/>
        <item x="29"/>
        <item x="30"/>
        <item h="1" x="31"/>
        <item x="32"/>
        <item x="33"/>
        <item x="34"/>
        <item h="1" x="36"/>
        <item h="1" x="35"/>
        <item h="1" x="37"/>
        <item t="default"/>
      </items>
    </pivotField>
    <pivotField axis="axisCol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axis="axisCol" multipleItemSelectionAllowed="1" showAll="0">
      <items count="16">
        <item h="1" x="8"/>
        <item h="1" x="3"/>
        <item x="2"/>
        <item h="1" x="12"/>
        <item x="1"/>
        <item h="1" x="11"/>
        <item x="0"/>
        <item h="1" x="4"/>
        <item h="1" x="13"/>
        <item h="1" x="7"/>
        <item h="1" x="6"/>
        <item h="1" x="5"/>
        <item h="1" x="10"/>
        <item h="1" x="9"/>
        <item f="1" x="14"/>
        <item t="default"/>
      </items>
    </pivotField>
    <pivotField dataField="1" showAll="0"/>
  </pivotFields>
  <rowFields count="1">
    <field x="0"/>
  </rowFields>
  <rowItems count="31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 t="grand">
      <x/>
    </i>
  </rowItems>
  <colFields count="2">
    <field x="1"/>
    <field x="3"/>
  </colFields>
  <colItems count="5">
    <i>
      <x v="4"/>
      <x v="2"/>
    </i>
    <i r="1">
      <x v="4"/>
    </i>
    <i r="1">
      <x v="6"/>
    </i>
    <i r="1">
      <x v="14"/>
    </i>
    <i t="default">
      <x v="4"/>
    </i>
  </colItems>
  <dataFields count="1">
    <dataField name="Summe von Wer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B00-000000000000}" autoFormatId="16" applyNumberFormats="0" applyBorderFormats="0" applyFontFormats="0" applyPatternFormats="0" applyAlignmentFormats="0" applyWidthHeightFormats="0">
  <queryTableRefresh nextId="10">
    <queryTableFields count="5">
      <queryTableField id="1" name="Country" tableColumnId="1"/>
      <queryTableField id="2" name="Year" tableColumnId="2"/>
      <queryTableField id="3" name="Unit" tableColumnId="3"/>
      <queryTableField id="8" name="Technology" tableColumnId="4"/>
      <queryTableField id="5" name="Wert" tableColumnId="5"/>
    </queryTableFields>
  </queryTableRefresh>
</queryTable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Capacity_Entsoe_SFS_2014" displayName="Capacity_Entsoe_SFS_2014" ref="A50:U86" totalsRowShown="0" headerRowDxfId="348" dataDxfId="347" headerRowCellStyle="Standard 2" dataCellStyle="Standard 2">
  <autoFilter ref="A50:U86" xr:uid="{00000000-0009-0000-0100-00000A000000}"/>
  <tableColumns count="21">
    <tableColumn id="1" xr3:uid="{00000000-0010-0000-0000-000001000000}" name="Country" dataDxfId="346" dataCellStyle="Standard 2">
      <calculatedColumnFormula>A4</calculatedColumnFormula>
    </tableColumn>
    <tableColumn id="2" xr3:uid="{00000000-0010-0000-0000-000002000000}" name="Year" dataDxfId="345" dataCellStyle="Standard 2">
      <calculatedColumnFormula>B4</calculatedColumnFormula>
    </tableColumn>
    <tableColumn id="3" xr3:uid="{00000000-0010-0000-0000-000003000000}" name="Unit" dataDxfId="344" dataCellStyle="Standard 2">
      <calculatedColumnFormula>C4</calculatedColumnFormula>
    </tableColumn>
    <tableColumn id="4" xr3:uid="{00000000-0010-0000-0000-000004000000}" name="Nuclear" dataDxfId="343" dataCellStyle="Standard 2">
      <calculatedColumnFormula>D4</calculatedColumnFormula>
    </tableColumn>
    <tableColumn id="5" xr3:uid="{00000000-0010-0000-0000-000005000000}" name="Lignite" dataDxfId="342" dataCellStyle="Standard 2">
      <calculatedColumnFormula>F4</calculatedColumnFormula>
    </tableColumn>
    <tableColumn id="6" xr3:uid="{00000000-0010-0000-0000-000006000000}" name="Hard coal" dataDxfId="341" dataCellStyle="Standard 2">
      <calculatedColumnFormula>G4</calculatedColumnFormula>
    </tableColumn>
    <tableColumn id="7" xr3:uid="{00000000-0010-0000-0000-000007000000}" name="Fossil gases" dataDxfId="340" dataCellStyle="Standard 2">
      <calculatedColumnFormula>H4</calculatedColumnFormula>
    </tableColumn>
    <tableColumn id="8" xr3:uid="{00000000-0010-0000-0000-000008000000}" name="Other fossil fuels" dataDxfId="339" dataCellStyle="Standard 2">
      <calculatedColumnFormula>I4+J4+(E4-SUM(F4:J4))</calculatedColumnFormula>
    </tableColumn>
    <tableColumn id="9" xr3:uid="{00000000-0010-0000-0000-000009000000}" name="Wind onshore" dataDxfId="338" dataCellStyle="Standard 2">
      <calculatedColumnFormula>L4</calculatedColumnFormula>
    </tableColumn>
    <tableColumn id="10" xr3:uid="{00000000-0010-0000-0000-00000A000000}" name="Wind offshore" dataDxfId="337" dataCellStyle="Standard 2"/>
    <tableColumn id="11" xr3:uid="{00000000-0010-0000-0000-00000B000000}" name="Solar PV" dataDxfId="336" dataCellStyle="Standard 2">
      <calculatedColumnFormula>M4</calculatedColumnFormula>
    </tableColumn>
    <tableColumn id="12" xr3:uid="{00000000-0010-0000-0000-00000C000000}" name="Bioenergy" dataDxfId="335" dataCellStyle="Standard 2">
      <calculatedColumnFormula>N4</calculatedColumnFormula>
    </tableColumn>
    <tableColumn id="13" xr3:uid="{00000000-0010-0000-0000-00000D000000}" name="Other RES" dataDxfId="334" dataCellStyle="Standard 2">
      <calculatedColumnFormula>IF(K4-SUM(L4:N4)&lt;0,0,K4-SUM(L4:N4))</calculatedColumnFormula>
    </tableColumn>
    <tableColumn id="14" xr3:uid="{00000000-0010-0000-0000-00000E000000}" name="Renewable Hydro" dataDxfId="333" dataCellStyle="Standard 2">
      <calculatedColumnFormula>P4</calculatedColumnFormula>
    </tableColumn>
    <tableColumn id="21" xr3:uid="{00000000-0010-0000-0000-000015000000}" name="Pumped Hydro" dataDxfId="332" dataCellStyle="Standard 2">
      <calculatedColumnFormula>O4-P4</calculatedColumnFormula>
    </tableColumn>
    <tableColumn id="16" xr3:uid="{00000000-0010-0000-0000-000010000000}" name="Other sources" dataDxfId="331" dataCellStyle="Standard 2">
      <calculatedColumnFormula>Q4</calculatedColumnFormula>
    </tableColumn>
    <tableColumn id="17" xr3:uid="{00000000-0010-0000-0000-000011000000}" name="Total (berechnet)" dataDxfId="330" dataCellStyle="Standard 2">
      <calculatedColumnFormula>SUM(D51:P51)</calculatedColumnFormula>
    </tableColumn>
    <tableColumn id="18" xr3:uid="{00000000-0010-0000-0000-000012000000}" name="Total soll (Entso)" dataDxfId="329" dataCellStyle="Standard 2">
      <calculatedColumnFormula>R4</calculatedColumnFormula>
    </tableColumn>
    <tableColumn id="19" xr3:uid="{00000000-0010-0000-0000-000013000000}" name="Übereinstimmung" dataDxfId="328" dataCellStyle="Prozent">
      <calculatedColumnFormula>Q51/R51</calculatedColumnFormula>
    </tableColumn>
    <tableColumn id="15" xr3:uid="{00000000-0010-0000-0000-00000F000000}" name="Lowest load" dataDxfId="327" dataCellStyle="Standard 2">
      <calculatedColumnFormula>VLOOKUP(Capacity_Entsoe_SFS_2014[[#This Row],[Country]],$Z$2:$AF$38,7,0)</calculatedColumnFormula>
    </tableColumn>
    <tableColumn id="20" xr3:uid="{00000000-0010-0000-0000-000014000000}" name="Highest load" dataDxfId="326" dataCellStyle="Standard 2">
      <calculatedColumnFormula>VLOOKUP(Capacity_Entsoe_SFS_2014[[#This Row],[Country]],$Z$2:$AF$38,4,0)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Generation_Entsoe_SFS_2016" displayName="Generation_Entsoe_SFS_2016" ref="A48:U85" totalsRowShown="0" headerRowDxfId="147" dataDxfId="146" headerRowCellStyle="Standard 2" dataCellStyle="Standard 2">
  <autoFilter ref="A48:U85" xr:uid="{00000000-0009-0000-0100-000003000000}"/>
  <tableColumns count="21">
    <tableColumn id="1" xr3:uid="{00000000-0010-0000-0900-000001000000}" name="Country" dataDxfId="145" dataCellStyle="Standard 2">
      <calculatedColumnFormula>$A3</calculatedColumnFormula>
    </tableColumn>
    <tableColumn id="2" xr3:uid="{00000000-0010-0000-0900-000002000000}" name="Year" dataDxfId="144" dataCellStyle="Standard 2">
      <calculatedColumnFormula>B3</calculatedColumnFormula>
    </tableColumn>
    <tableColumn id="3" xr3:uid="{00000000-0010-0000-0900-000003000000}" name="Unit" dataDxfId="143" dataCellStyle="Standard 2">
      <calculatedColumnFormula>C3</calculatedColumnFormula>
    </tableColumn>
    <tableColumn id="4" xr3:uid="{00000000-0010-0000-0900-000004000000}" name="Nuclear" dataDxfId="142" dataCellStyle="Standard 2">
      <calculatedColumnFormula>E3</calculatedColumnFormula>
    </tableColumn>
    <tableColumn id="5" xr3:uid="{00000000-0010-0000-0900-000005000000}" name="Lignite" dataDxfId="141" dataCellStyle="Standard 2">
      <calculatedColumnFormula>G3</calculatedColumnFormula>
    </tableColumn>
    <tableColumn id="6" xr3:uid="{00000000-0010-0000-0900-000006000000}" name="Hard coal" dataDxfId="140" dataCellStyle="Standard 2">
      <calculatedColumnFormula>J3</calculatedColumnFormula>
    </tableColumn>
    <tableColumn id="7" xr3:uid="{00000000-0010-0000-0900-000007000000}" name="Fossil gases" dataDxfId="139" dataCellStyle="Standard 2">
      <calculatedColumnFormula>H3+I3</calculatedColumnFormula>
    </tableColumn>
    <tableColumn id="8" xr3:uid="{00000000-0010-0000-0900-000008000000}" name="Other fossil fuels" dataDxfId="138" dataCellStyle="Standard 2">
      <calculatedColumnFormula>M3+N3+O3+L3+K3</calculatedColumnFormula>
    </tableColumn>
    <tableColumn id="9" xr3:uid="{00000000-0010-0000-0900-000009000000}" name="Wind onshore" dataDxfId="137" dataCellStyle="Standard 2">
      <calculatedColumnFormula>V3</calculatedColumnFormula>
    </tableColumn>
    <tableColumn id="10" xr3:uid="{00000000-0010-0000-0900-00000A000000}" name="Wind offshore" dataDxfId="136" dataCellStyle="Standard 2">
      <calculatedColumnFormula>U3</calculatedColumnFormula>
    </tableColumn>
    <tableColumn id="11" xr3:uid="{00000000-0010-0000-0900-00000B000000}" name="Solar PV" dataDxfId="135" dataCellStyle="Standard 2">
      <calculatedColumnFormula>W3</calculatedColumnFormula>
    </tableColumn>
    <tableColumn id="12" xr3:uid="{00000000-0010-0000-0900-00000C000000}" name="Bioenergy" dataDxfId="134" dataCellStyle="Standard 2">
      <calculatedColumnFormula>Y3+Z3</calculatedColumnFormula>
    </tableColumn>
    <tableColumn id="13" xr3:uid="{00000000-0010-0000-0900-00000D000000}" name="Other RES" dataDxfId="133" dataCellStyle="Standard 2">
      <calculatedColumnFormula>X3+AA3+AB3+AG3+AH3</calculatedColumnFormula>
    </tableColumn>
    <tableColumn id="14" xr3:uid="{00000000-0010-0000-0900-00000E000000}" name="Renewable Hydro" dataDxfId="132" dataCellStyle="Standard 2">
      <calculatedColumnFormula>SUM(AC3,AD3,AE3,AF3)</calculatedColumnFormula>
    </tableColumn>
    <tableColumn id="20" xr3:uid="{00000000-0010-0000-0900-000014000000}" name="Pumped Hydro" dataDxfId="131" dataCellStyle="Standard 2">
      <calculatedColumnFormula>SUM(P3,Q3,)</calculatedColumnFormula>
    </tableColumn>
    <tableColumn id="16" xr3:uid="{00000000-0010-0000-0900-000010000000}" name="Other sources" dataDxfId="130" dataCellStyle="Standard 2">
      <calculatedColumnFormula>SUM(R3:S3)</calculatedColumnFormula>
    </tableColumn>
    <tableColumn id="17" xr3:uid="{00000000-0010-0000-0900-000011000000}" name="Total (berechnet)" dataDxfId="129" dataCellStyle="Standard 2">
      <calculatedColumnFormula>SUM(D49:P49)</calculatedColumnFormula>
    </tableColumn>
    <tableColumn id="18" xr3:uid="{00000000-0010-0000-0900-000012000000}" name="Total soll (Entso)" dataDxfId="128" dataCellStyle="Standard 2">
      <calculatedColumnFormula>AI3</calculatedColumnFormula>
    </tableColumn>
    <tableColumn id="19" xr3:uid="{00000000-0010-0000-0900-000013000000}" name="Übereinstimmung" dataDxfId="127" dataCellStyle="Prozent">
      <calculatedColumnFormula>Q49/R49</calculatedColumnFormula>
    </tableColumn>
    <tableColumn id="15" xr3:uid="{00000000-0010-0000-0900-00000F000000}" name="Consumption" dataDxfId="126" dataCellStyle="Standard 2">
      <calculatedColumnFormula>INDEX($A$3:$AL$39,MATCH(Generation_Entsoe_SFS_2016[[#This Row],[Country]],$A$3:$A$39,0),MATCH(Generation_Entsoe_SFS_2016[[#Headers],[Consumption]],$A$1:$AL$1,0))</calculatedColumnFormula>
    </tableColumn>
    <tableColumn id="21" xr3:uid="{00000000-0010-0000-0900-000015000000}" name="Pumping" dataDxfId="125" dataCellStyle="Standard 2">
      <calculatedColumnFormula>INDEX($A$3:$AL$39,MATCH(Generation_Entsoe_SFS_2016[[#This Row],[Country]],$A$3:$A$39,0),MATCH(Generation_Entsoe_SFS_2016[[#Headers],[Pumping]],$A$1:$AL$1,0))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VBH_Entsoe_SFS_2016" displayName="VBH_Entsoe_SFS_2016" ref="W48:AL85" totalsRowShown="0" headerRowDxfId="124" dataDxfId="122" headerRowBorderDxfId="123" tableBorderDxfId="121" headerRowCellStyle="Standard 2" dataCellStyle="Standard 2">
  <autoFilter ref="W48:AL85" xr:uid="{00000000-0009-0000-0100-000010000000}"/>
  <tableColumns count="16">
    <tableColumn id="1" xr3:uid="{00000000-0010-0000-0A00-000001000000}" name="Country" dataDxfId="120" dataCellStyle="Standard 2">
      <calculatedColumnFormula>$A3</calculatedColumnFormula>
    </tableColumn>
    <tableColumn id="2" xr3:uid="{00000000-0010-0000-0A00-000002000000}" name="Year" dataDxfId="119" dataCellStyle="Standard 2"/>
    <tableColumn id="3" xr3:uid="{00000000-0010-0000-0A00-000003000000}" name="Unit" dataDxfId="118" dataCellStyle="Standard 2"/>
    <tableColumn id="4" xr3:uid="{00000000-0010-0000-0A00-000004000000}" name="Nuclear" dataDxfId="117" dataCellStyle="Komma">
      <calculatedColumnFormula>IFERROR(Generation_Entsoe_SFS_2016[[#This Row],[Nuclear]]/Capacity_Entsoe_SFS_2016[[#This Row],[Nuclear]]*10^6,0)</calculatedColumnFormula>
    </tableColumn>
    <tableColumn id="5" xr3:uid="{00000000-0010-0000-0A00-000005000000}" name="Lignite" dataDxfId="116" dataCellStyle="Komma">
      <calculatedColumnFormula>IFERROR(Generation_Entsoe_SFS_2016[[#This Row],[Lignite]]/Capacity_Entsoe_SFS_2016[[#This Row],[Lignite]]*10^6,0)</calculatedColumnFormula>
    </tableColumn>
    <tableColumn id="6" xr3:uid="{00000000-0010-0000-0A00-000006000000}" name="Hard coal" dataDxfId="115" dataCellStyle="Komma">
      <calculatedColumnFormula>IFERROR(Generation_Entsoe_SFS_2016[[#This Row],[Hard coal]]/Capacity_Entsoe_SFS_2016[[#This Row],[Hard coal]]*10^6,0)</calculatedColumnFormula>
    </tableColumn>
    <tableColumn id="7" xr3:uid="{00000000-0010-0000-0A00-000007000000}" name="Fossil gases" dataDxfId="114" dataCellStyle="Komma">
      <calculatedColumnFormula>IFERROR(Generation_Entsoe_SFS_2016[[#This Row],[Fossil gases]]/Capacity_Entsoe_SFS_2016[[#This Row],[Fossil gases]]*10^6,0)</calculatedColumnFormula>
    </tableColumn>
    <tableColumn id="8" xr3:uid="{00000000-0010-0000-0A00-000008000000}" name="Other fossil fuels" dataDxfId="113" dataCellStyle="Komma">
      <calculatedColumnFormula>IFERROR(Generation_Entsoe_SFS_2016[[#This Row],[Other fossil fuels]]/Capacity_Entsoe_SFS_2016[[#This Row],[Other fossil fuels]]*10^6,0)</calculatedColumnFormula>
    </tableColumn>
    <tableColumn id="9" xr3:uid="{00000000-0010-0000-0A00-000009000000}" name="Wind onshore" dataDxfId="112" dataCellStyle="Komma">
      <calculatedColumnFormula>IFERROR(Generation_Entsoe_SFS_2016[[#This Row],[Wind onshore]]/Capacity_Entsoe_SFS_2016[[#This Row],[Wind onshore]]*10^6,0)</calculatedColumnFormula>
    </tableColumn>
    <tableColumn id="10" xr3:uid="{00000000-0010-0000-0A00-00000A000000}" name="Wind offshore" dataDxfId="111" dataCellStyle="Komma">
      <calculatedColumnFormula>IFERROR(Generation_Entsoe_SFS_2016[[#This Row],[Wind offshore]]/Capacity_Entsoe_SFS_2016[[#This Row],[Wind offshore]]*10^6,0)</calculatedColumnFormula>
    </tableColumn>
    <tableColumn id="11" xr3:uid="{00000000-0010-0000-0A00-00000B000000}" name="Solar PV" dataDxfId="110" dataCellStyle="Komma">
      <calculatedColumnFormula>IFERROR(Generation_Entsoe_SFS_2016[[#This Row],[Solar PV]]/Capacity_Entsoe_SFS_2016[[#This Row],[Solar PV]]*10^6,0)</calculatedColumnFormula>
    </tableColumn>
    <tableColumn id="12" xr3:uid="{00000000-0010-0000-0A00-00000C000000}" name="Bioenergy" dataDxfId="109" dataCellStyle="Komma">
      <calculatedColumnFormula>IFERROR(Generation_Entsoe_SFS_2016[[#This Row],[Bioenergy]]/Capacity_Entsoe_SFS_2016[[#This Row],[Bioenergy]]*10^6,0)</calculatedColumnFormula>
    </tableColumn>
    <tableColumn id="13" xr3:uid="{00000000-0010-0000-0A00-00000D000000}" name="Other RES" dataDxfId="108" dataCellStyle="Komma">
      <calculatedColumnFormula>IFERROR(Generation_Entsoe_SFS_2016[[#This Row],[Other RES]]/Capacity_Entsoe_SFS_2016[[#This Row],[Other RES]]*10^6,0)</calculatedColumnFormula>
    </tableColumn>
    <tableColumn id="14" xr3:uid="{00000000-0010-0000-0A00-00000E000000}" name="Hydro" dataDxfId="107" dataCellStyle="Komma">
      <calculatedColumnFormula>IFERROR(Generation_Entsoe_SFS_2016[[#This Row],[Renewable Hydro]]/Capacity_Entsoe_SFS_2016[[#This Row],[Renewable Hydro]]*10^6,0)</calculatedColumnFormula>
    </tableColumn>
    <tableColumn id="15" xr3:uid="{00000000-0010-0000-0A00-00000F000000}" name="Pumped Hydro" dataDxfId="106" dataCellStyle="Komma">
      <calculatedColumnFormula>IFERROR(Generation_Entsoe_SFS_2016[[#This Row],[Pumped Hydro]]/Capacity_Entsoe_SFS_2016[[#This Row],[Pumped Hydro]]*10^6,0)</calculatedColumnFormula>
    </tableColumn>
    <tableColumn id="16" xr3:uid="{00000000-0010-0000-0A00-000010000000}" name="Other sources" dataDxfId="105" dataCellStyle="Komma">
      <calculatedColumnFormula>IFERROR(Generation_Entsoe_SFS_2016[[#This Row],[Other sources]]/Capacity_Entsoe_SFS_2016[[#This Row],[Other sources]]*10^6,0)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Generation_Entsoe_SFS_2017" displayName="Generation_Entsoe_SFS_2017" ref="A50:U88" totalsRowShown="0" headerRowDxfId="104" dataDxfId="103" headerRowCellStyle="Standard 2" dataCellStyle="Standard 2">
  <autoFilter ref="A50:U88" xr:uid="{00000000-0009-0000-0100-000002000000}"/>
  <tableColumns count="21">
    <tableColumn id="1" xr3:uid="{00000000-0010-0000-0B00-000001000000}" name="Country" dataDxfId="102" dataCellStyle="Standard 2">
      <calculatedColumnFormula>$A3</calculatedColumnFormula>
    </tableColumn>
    <tableColumn id="2" xr3:uid="{00000000-0010-0000-0B00-000002000000}" name="Year" dataDxfId="101" dataCellStyle="Standard 2">
      <calculatedColumnFormula>B3</calculatedColumnFormula>
    </tableColumn>
    <tableColumn id="3" xr3:uid="{00000000-0010-0000-0B00-000003000000}" name="Unit" dataDxfId="100" dataCellStyle="Standard 2">
      <calculatedColumnFormula>C3</calculatedColumnFormula>
    </tableColumn>
    <tableColumn id="4" xr3:uid="{00000000-0010-0000-0B00-000004000000}" name="Nuclear" dataDxfId="99" dataCellStyle="Standard 2">
      <calculatedColumnFormula>E3</calculatedColumnFormula>
    </tableColumn>
    <tableColumn id="5" xr3:uid="{00000000-0010-0000-0B00-000005000000}" name="Lignite" dataDxfId="98" dataCellStyle="Standard 2">
      <calculatedColumnFormula>G3</calculatedColumnFormula>
    </tableColumn>
    <tableColumn id="6" xr3:uid="{00000000-0010-0000-0B00-000006000000}" name="Hard coal" dataDxfId="97" dataCellStyle="Standard 2">
      <calculatedColumnFormula>J3</calculatedColumnFormula>
    </tableColumn>
    <tableColumn id="7" xr3:uid="{00000000-0010-0000-0B00-000007000000}" name="Fossil gases" dataDxfId="96" dataCellStyle="Standard 2">
      <calculatedColumnFormula>H3+I3</calculatedColumnFormula>
    </tableColumn>
    <tableColumn id="8" xr3:uid="{00000000-0010-0000-0B00-000008000000}" name="Other fossil fuels" dataDxfId="95" dataCellStyle="Standard 2">
      <calculatedColumnFormula>M3+N3+O3+L3+K3</calculatedColumnFormula>
    </tableColumn>
    <tableColumn id="9" xr3:uid="{00000000-0010-0000-0B00-000009000000}" name="Wind onshore" dataDxfId="94" dataCellStyle="Standard 2">
      <calculatedColumnFormula>V3</calculatedColumnFormula>
    </tableColumn>
    <tableColumn id="10" xr3:uid="{00000000-0010-0000-0B00-00000A000000}" name="Wind offshore" dataDxfId="93" dataCellStyle="Standard 2">
      <calculatedColumnFormula>U3</calculatedColumnFormula>
    </tableColumn>
    <tableColumn id="11" xr3:uid="{00000000-0010-0000-0B00-00000B000000}" name="Solar PV" dataDxfId="92" dataCellStyle="Standard 2">
      <calculatedColumnFormula>W3</calculatedColumnFormula>
    </tableColumn>
    <tableColumn id="12" xr3:uid="{00000000-0010-0000-0B00-00000C000000}" name="Bioenergy" dataDxfId="91" dataCellStyle="Standard 2">
      <calculatedColumnFormula>Y3+Z3</calculatedColumnFormula>
    </tableColumn>
    <tableColumn id="13" xr3:uid="{00000000-0010-0000-0B00-00000D000000}" name="Other RES" dataDxfId="90" dataCellStyle="Standard 2">
      <calculatedColumnFormula>X3+AA3+AB3+AG3+AH3</calculatedColumnFormula>
    </tableColumn>
    <tableColumn id="14" xr3:uid="{00000000-0010-0000-0B00-00000E000000}" name="Renewable Hydro" dataDxfId="89" dataCellStyle="Standard 2">
      <calculatedColumnFormula>SUM(AC3,AD3,AE3,AF3)</calculatedColumnFormula>
    </tableColumn>
    <tableColumn id="20" xr3:uid="{00000000-0010-0000-0B00-000014000000}" name="Pumped Hydro" dataDxfId="88" dataCellStyle="Standard 2">
      <calculatedColumnFormula>SUM(P3,Q3)</calculatedColumnFormula>
    </tableColumn>
    <tableColumn id="16" xr3:uid="{00000000-0010-0000-0B00-000010000000}" name="Other sources" dataDxfId="87" dataCellStyle="Standard 2">
      <calculatedColumnFormula>SUM(R3:S3)</calculatedColumnFormula>
    </tableColumn>
    <tableColumn id="17" xr3:uid="{00000000-0010-0000-0B00-000011000000}" name="Total (berechnet)" dataDxfId="86" dataCellStyle="Standard 2">
      <calculatedColumnFormula>SUM(D51:P51)</calculatedColumnFormula>
    </tableColumn>
    <tableColumn id="18" xr3:uid="{00000000-0010-0000-0B00-000012000000}" name="Total soll (Entso)" dataDxfId="85" dataCellStyle="Standard 2">
      <calculatedColumnFormula>AI3</calculatedColumnFormula>
    </tableColumn>
    <tableColumn id="19" xr3:uid="{00000000-0010-0000-0B00-000013000000}" name="Übereinstimmung" dataDxfId="84" dataCellStyle="Prozent">
      <calculatedColumnFormula>Q51/R51</calculatedColumnFormula>
    </tableColumn>
    <tableColumn id="15" xr3:uid="{00000000-0010-0000-0B00-00000F000000}" name="Consumption" dataDxfId="83" dataCellStyle="Standard 2">
      <calculatedColumnFormula>IFERROR(INDEX($A$3:$AL$40,MATCH(Generation_Entsoe_SFS_2017[[#This Row],[Country]],$A$3:$A$40,0),MATCH(Generation_Entsoe_SFS_2017[[#Headers],[Consumption]],$A$1:$AL$1,0)),"")</calculatedColumnFormula>
    </tableColumn>
    <tableColumn id="21" xr3:uid="{00000000-0010-0000-0B00-000015000000}" name="Pumping" dataDxfId="82" dataCellStyle="Standard 2">
      <calculatedColumnFormula>IFERROR(INDEX($A$3:$AL$40,MATCH(Generation_Entsoe_SFS_2017[[#This Row],[Country]],$A$3:$A$40,0),MATCH(Generation_Entsoe_SFS_2017[[#Headers],[Pumping]],$A$1:$AL$1,0)),"")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VBH_Entsoe_SFS_2017" displayName="VBH_Entsoe_SFS_2017" ref="W50:AL87" totalsRowShown="0" headerRowDxfId="81" dataDxfId="80" headerRowCellStyle="Standard 2" dataCellStyle="Standard 2">
  <autoFilter ref="W50:AL87" xr:uid="{00000000-0009-0000-0100-00000E000000}"/>
  <tableColumns count="16">
    <tableColumn id="1" xr3:uid="{00000000-0010-0000-0C00-000001000000}" name="Country" dataDxfId="79" dataCellStyle="Standard 2">
      <calculatedColumnFormula>$A3</calculatedColumnFormula>
    </tableColumn>
    <tableColumn id="2" xr3:uid="{00000000-0010-0000-0C00-000002000000}" name="Year" dataDxfId="78" dataCellStyle="Standard 2"/>
    <tableColumn id="3" xr3:uid="{00000000-0010-0000-0C00-000003000000}" name="Unit" dataDxfId="77" dataCellStyle="Standard 2"/>
    <tableColumn id="4" xr3:uid="{00000000-0010-0000-0C00-000004000000}" name="Nuclear" dataDxfId="76" dataCellStyle="Komma">
      <calculatedColumnFormula>IFERROR(Generation_Entsoe_SFS_2017[[#This Row],[Nuclear]]/Capacity_Entsoe_SFS_2017[[#This Row],[Nuclear]]*10^6,0)</calculatedColumnFormula>
    </tableColumn>
    <tableColumn id="5" xr3:uid="{00000000-0010-0000-0C00-000005000000}" name="Lignite" dataDxfId="75" dataCellStyle="Komma">
      <calculatedColumnFormula>IFERROR(Generation_Entsoe_SFS_2017[[#This Row],[Lignite]]/Capacity_Entsoe_SFS_2017[[#This Row],[Lignite]]*10^6,0)</calculatedColumnFormula>
    </tableColumn>
    <tableColumn id="6" xr3:uid="{00000000-0010-0000-0C00-000006000000}" name="Hard coal" dataDxfId="74" dataCellStyle="Komma">
      <calculatedColumnFormula>IFERROR(Generation_Entsoe_SFS_2017[[#This Row],[Hard coal]]/Capacity_Entsoe_SFS_2017[[#This Row],[Hard coal]]*10^6,0)</calculatedColumnFormula>
    </tableColumn>
    <tableColumn id="7" xr3:uid="{00000000-0010-0000-0C00-000007000000}" name="Fossil gases" dataDxfId="73" dataCellStyle="Komma">
      <calculatedColumnFormula>IFERROR(Generation_Entsoe_SFS_2017[[#This Row],[Fossil gases]]/Capacity_Entsoe_SFS_2017[[#This Row],[Fossil gases]]*10^6,0)</calculatedColumnFormula>
    </tableColumn>
    <tableColumn id="8" xr3:uid="{00000000-0010-0000-0C00-000008000000}" name="Other fossil fuels" dataDxfId="72" dataCellStyle="Komma">
      <calculatedColumnFormula>IFERROR(Generation_Entsoe_SFS_2017[[#This Row],[Other fossil fuels]]/Capacity_Entsoe_SFS_2017[[#This Row],[Other fossil fuels]]*10^6,0)</calculatedColumnFormula>
    </tableColumn>
    <tableColumn id="9" xr3:uid="{00000000-0010-0000-0C00-000009000000}" name="Wind onshore" dataDxfId="71" dataCellStyle="Komma">
      <calculatedColumnFormula>IFERROR(Generation_Entsoe_SFS_2017[[#This Row],[Wind onshore]]/Capacity_Entsoe_SFS_2017[[#This Row],[Wind onshore]]*10^6,0)</calculatedColumnFormula>
    </tableColumn>
    <tableColumn id="10" xr3:uid="{00000000-0010-0000-0C00-00000A000000}" name="Wind offshore" dataDxfId="70" dataCellStyle="Komma">
      <calculatedColumnFormula>IFERROR(Generation_Entsoe_SFS_2017[[#This Row],[Wind offshore]]/Capacity_Entsoe_SFS_2017[[#This Row],[Wind offshore]]*10^6,0)</calculatedColumnFormula>
    </tableColumn>
    <tableColumn id="11" xr3:uid="{00000000-0010-0000-0C00-00000B000000}" name="Solar PV" dataDxfId="69" dataCellStyle="Komma">
      <calculatedColumnFormula>IFERROR(Generation_Entsoe_SFS_2017[[#This Row],[Solar PV]]/Capacity_Entsoe_SFS_2017[[#This Row],[Solar PV]]*10^6,0)</calculatedColumnFormula>
    </tableColumn>
    <tableColumn id="12" xr3:uid="{00000000-0010-0000-0C00-00000C000000}" name="Bioenergy" dataDxfId="68" dataCellStyle="Komma">
      <calculatedColumnFormula>IFERROR(Generation_Entsoe_SFS_2017[[#This Row],[Bioenergy]]/Capacity_Entsoe_SFS_2017[[#This Row],[Bioenergy]]*10^6,0)</calculatedColumnFormula>
    </tableColumn>
    <tableColumn id="13" xr3:uid="{00000000-0010-0000-0C00-00000D000000}" name="Other RES" dataDxfId="67" dataCellStyle="Komma">
      <calculatedColumnFormula>IFERROR(Generation_Entsoe_SFS_2017[[#This Row],[Other RES]]/Capacity_Entsoe_SFS_2017[[#This Row],[Other RES]]*10^6,0)</calculatedColumnFormula>
    </tableColumn>
    <tableColumn id="14" xr3:uid="{00000000-0010-0000-0C00-00000E000000}" name="Hydro" dataDxfId="66" dataCellStyle="Komma">
      <calculatedColumnFormula>IFERROR(Generation_Entsoe_SFS_2017[[#This Row],[Renewable Hydro]]/Capacity_Entsoe_SFS_2017[[#This Row],[Renewable Hydro]]*10^6,0)</calculatedColumnFormula>
    </tableColumn>
    <tableColumn id="15" xr3:uid="{00000000-0010-0000-0C00-00000F000000}" name="Pumped Hydro" dataDxfId="65" dataCellStyle="Komma">
      <calculatedColumnFormula>IFERROR(Generation_Entsoe_SFS_2017[[#This Row],[Pumped Hydro]]/Capacity_Entsoe_SFS_2017[[#This Row],[Pumped Hydro]]*10^6,0)</calculatedColumnFormula>
    </tableColumn>
    <tableColumn id="16" xr3:uid="{00000000-0010-0000-0C00-000010000000}" name="Other sources" dataDxfId="64" dataCellStyle="Komma">
      <calculatedColumnFormula>IFERROR(Generation_Entsoe_SFS_2017[[#This Row],[Other sources]]/Capacity_Entsoe_SFS_2017[[#This Row],[Other sources]]*10^6,0)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D000000}" name="Generation_Entsoe_SFS_2018" displayName="Generation_Entsoe_SFS_2018" ref="A48:U86" totalsRowShown="0" headerRowDxfId="63" dataDxfId="62" headerRowCellStyle="Standard 2" dataCellStyle="Standard 2">
  <autoFilter ref="A48:U86" xr:uid="{00000000-0009-0000-0100-000001000000}"/>
  <tableColumns count="21">
    <tableColumn id="1" xr3:uid="{00000000-0010-0000-0D00-000001000000}" name="Country" dataDxfId="61" totalsRowDxfId="60" dataCellStyle="Standard 2">
      <calculatedColumnFormula>$A3</calculatedColumnFormula>
    </tableColumn>
    <tableColumn id="2" xr3:uid="{00000000-0010-0000-0D00-000002000000}" name="Year" dataDxfId="59" totalsRowDxfId="58" dataCellStyle="Standard 2">
      <calculatedColumnFormula>$B3</calculatedColumnFormula>
    </tableColumn>
    <tableColumn id="3" xr3:uid="{00000000-0010-0000-0D00-000003000000}" name="Unit" dataDxfId="57" totalsRowDxfId="56" dataCellStyle="Standard 2">
      <calculatedColumnFormula>C3</calculatedColumnFormula>
    </tableColumn>
    <tableColumn id="4" xr3:uid="{00000000-0010-0000-0D00-000004000000}" name="Nuclear" dataDxfId="55" totalsRowDxfId="54" dataCellStyle="Standard 2">
      <calculatedColumnFormula>E3</calculatedColumnFormula>
    </tableColumn>
    <tableColumn id="5" xr3:uid="{00000000-0010-0000-0D00-000005000000}" name="Lignite" dataDxfId="53" totalsRowDxfId="52" dataCellStyle="Standard 2">
      <calculatedColumnFormula>G3</calculatedColumnFormula>
    </tableColumn>
    <tableColumn id="6" xr3:uid="{00000000-0010-0000-0D00-000006000000}" name="Hard coal" dataDxfId="51" totalsRowDxfId="50" dataCellStyle="Standard 2">
      <calculatedColumnFormula>J3</calculatedColumnFormula>
    </tableColumn>
    <tableColumn id="7" xr3:uid="{00000000-0010-0000-0D00-000007000000}" name="Fossil gases" dataDxfId="49" totalsRowDxfId="48" dataCellStyle="Standard 2">
      <calculatedColumnFormula>H3+I3</calculatedColumnFormula>
    </tableColumn>
    <tableColumn id="8" xr3:uid="{00000000-0010-0000-0D00-000008000000}" name="Other fossil fuels" dataDxfId="47" totalsRowDxfId="46" dataCellStyle="Standard 2">
      <calculatedColumnFormula>M3+N3+O3+L3+K3</calculatedColumnFormula>
    </tableColumn>
    <tableColumn id="9" xr3:uid="{00000000-0010-0000-0D00-000009000000}" name="Wind onshore" dataDxfId="45" dataCellStyle="Standard 2">
      <calculatedColumnFormula>V3</calculatedColumnFormula>
    </tableColumn>
    <tableColumn id="10" xr3:uid="{00000000-0010-0000-0D00-00000A000000}" name="Wind offshore" dataDxfId="44" totalsRowDxfId="43" dataCellStyle="Standard 2">
      <calculatedColumnFormula>U3</calculatedColumnFormula>
    </tableColumn>
    <tableColumn id="11" xr3:uid="{00000000-0010-0000-0D00-00000B000000}" name="Solar PV" dataDxfId="42" totalsRowDxfId="41" dataCellStyle="Standard 2">
      <calculatedColumnFormula>W3</calculatedColumnFormula>
    </tableColumn>
    <tableColumn id="12" xr3:uid="{00000000-0010-0000-0D00-00000C000000}" name="Bioenergy" dataDxfId="40" totalsRowDxfId="39" dataCellStyle="Standard 2">
      <calculatedColumnFormula>Y3+Z3</calculatedColumnFormula>
    </tableColumn>
    <tableColumn id="13" xr3:uid="{00000000-0010-0000-0D00-00000D000000}" name="Other RES" dataDxfId="38" totalsRowDxfId="37" dataCellStyle="Standard 2">
      <calculatedColumnFormula>X3+AA3+AB3+AG3+AH3</calculatedColumnFormula>
    </tableColumn>
    <tableColumn id="14" xr3:uid="{00000000-0010-0000-0D00-00000E000000}" name="Renewable Hydro" dataDxfId="36" totalsRowDxfId="35" dataCellStyle="Standard 2">
      <calculatedColumnFormula>SUM(AC3,AD3,AE3,AF3)</calculatedColumnFormula>
    </tableColumn>
    <tableColumn id="20" xr3:uid="{00000000-0010-0000-0D00-000014000000}" name="Pumped Hydro" dataDxfId="34" totalsRowDxfId="33" dataCellStyle="Standard 2">
      <calculatedColumnFormula>SUM(P3,Q3)</calculatedColumnFormula>
    </tableColumn>
    <tableColumn id="16" xr3:uid="{00000000-0010-0000-0D00-000010000000}" name="Other sources" dataDxfId="32" totalsRowDxfId="31" dataCellStyle="Standard 2">
      <calculatedColumnFormula>SUM(R3:S3)</calculatedColumnFormula>
    </tableColumn>
    <tableColumn id="17" xr3:uid="{00000000-0010-0000-0D00-000011000000}" name="Total (berechnet)" dataDxfId="30" totalsRowDxfId="29" dataCellStyle="Standard 2">
      <calculatedColumnFormula>SUM(D49:P49)</calculatedColumnFormula>
    </tableColumn>
    <tableColumn id="18" xr3:uid="{00000000-0010-0000-0D00-000012000000}" name="Total soll (Entso)" dataDxfId="28" totalsRowDxfId="27" dataCellStyle="Standard 2">
      <calculatedColumnFormula>AI3</calculatedColumnFormula>
    </tableColumn>
    <tableColumn id="19" xr3:uid="{00000000-0010-0000-0D00-000013000000}" name="Übereinstimmung" dataDxfId="26" totalsRowDxfId="25" dataCellStyle="Prozent">
      <calculatedColumnFormula>Q49/R49</calculatedColumnFormula>
    </tableColumn>
    <tableColumn id="15" xr3:uid="{00000000-0010-0000-0D00-00000F000000}" name="Consumption" dataDxfId="24" totalsRowDxfId="23" dataCellStyle="Standard 2">
      <calculatedColumnFormula>INDEX($A$3:$AM$40,MATCH(Generation_Entsoe_SFS_2018[[#This Row],[Country]],$A$3:$A$40,0),MATCH(Generation_Entsoe_SFS_2018[[#Headers],[Consumption]],$A$1:$AM$1,0))</calculatedColumnFormula>
    </tableColumn>
    <tableColumn id="21" xr3:uid="{00000000-0010-0000-0D00-000015000000}" name="Pumping" dataDxfId="22" totalsRowDxfId="21" dataCellStyle="Standard 2">
      <calculatedColumnFormula>INDEX($A$3:$AM$40,MATCH(Generation_Entsoe_SFS_2018[[#This Row],[Country]],$A$3:$A$40,0),MATCH(Generation_Entsoe_SFS_2018[[#Headers],[Pumping]],$A$1:$AM$1,0))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VBH_Entsoe_SFS_2018" displayName="VBH_Entsoe_SFS_2018" ref="W48:AL86" totalsRowShown="0" headerRowDxfId="20" dataDxfId="19" headerRowCellStyle="Standard 2" dataCellStyle="Standard 2">
  <autoFilter ref="W48:AL86" xr:uid="{00000000-0009-0000-0100-00000D000000}"/>
  <tableColumns count="16">
    <tableColumn id="1" xr3:uid="{00000000-0010-0000-0E00-000001000000}" name="Country" dataDxfId="18" dataCellStyle="Standard 2">
      <calculatedColumnFormula>$A3</calculatedColumnFormula>
    </tableColumn>
    <tableColumn id="2" xr3:uid="{00000000-0010-0000-0E00-000002000000}" name="Year" dataDxfId="17" dataCellStyle="Standard 2">
      <calculatedColumnFormula>$B3</calculatedColumnFormula>
    </tableColumn>
    <tableColumn id="3" xr3:uid="{00000000-0010-0000-0E00-000003000000}" name="Unit" dataDxfId="16" dataCellStyle="Standard 2">
      <calculatedColumnFormula>X3</calculatedColumnFormula>
    </tableColumn>
    <tableColumn id="4" xr3:uid="{00000000-0010-0000-0E00-000004000000}" name="Nuclear" dataDxfId="15" dataCellStyle="Komma">
      <calculatedColumnFormula>IFERROR(Generation_Entsoe_SFS_2018[[#This Row],[Nuclear]]/'Capacity_Entsoe_SFS_2018'!D51*10^6,0)</calculatedColumnFormula>
    </tableColumn>
    <tableColumn id="5" xr3:uid="{00000000-0010-0000-0E00-000005000000}" name="Lignite" dataDxfId="14" dataCellStyle="Komma">
      <calculatedColumnFormula>IFERROR(Generation_Entsoe_SFS_2018[[#This Row],[Lignite]]/'Capacity_Entsoe_SFS_2018'!E51*10^6,0)</calculatedColumnFormula>
    </tableColumn>
    <tableColumn id="6" xr3:uid="{00000000-0010-0000-0E00-000006000000}" name="Hard coal" dataDxfId="13" dataCellStyle="Komma">
      <calculatedColumnFormula>IFERROR(Generation_Entsoe_SFS_2018[[#This Row],[Hard coal]]/'Capacity_Entsoe_SFS_2018'!F51*10^6,0)</calculatedColumnFormula>
    </tableColumn>
    <tableColumn id="7" xr3:uid="{00000000-0010-0000-0E00-000007000000}" name="Fossil gases" dataDxfId="12" dataCellStyle="Komma">
      <calculatedColumnFormula>IFERROR(Generation_Entsoe_SFS_2018[[#This Row],[Fossil gases]]/'Capacity_Entsoe_SFS_2018'!G51*10^6,0)</calculatedColumnFormula>
    </tableColumn>
    <tableColumn id="8" xr3:uid="{00000000-0010-0000-0E00-000008000000}" name="Other fossil fuels" dataDxfId="11" dataCellStyle="Komma">
      <calculatedColumnFormula>IFERROR(Generation_Entsoe_SFS_2018[[#This Row],[Other fossil fuels]]/'Capacity_Entsoe_SFS_2018'!H51*10^6,0)</calculatedColumnFormula>
    </tableColumn>
    <tableColumn id="9" xr3:uid="{00000000-0010-0000-0E00-000009000000}" name="Wind onshore" dataDxfId="10" dataCellStyle="Komma">
      <calculatedColumnFormula>IFERROR(Generation_Entsoe_SFS_2018[[#This Row],[Wind onshore]]/'Capacity_Entsoe_SFS_2018'!I51*10^6,0)</calculatedColumnFormula>
    </tableColumn>
    <tableColumn id="10" xr3:uid="{00000000-0010-0000-0E00-00000A000000}" name="Wind offshore" dataDxfId="9" dataCellStyle="Komma">
      <calculatedColumnFormula>IFERROR(Generation_Entsoe_SFS_2018[[#This Row],[Wind offshore]]/'Capacity_Entsoe_SFS_2018'!J51*10^6,0)</calculatedColumnFormula>
    </tableColumn>
    <tableColumn id="11" xr3:uid="{00000000-0010-0000-0E00-00000B000000}" name="Solar PV" dataDxfId="8" dataCellStyle="Komma">
      <calculatedColumnFormula>IFERROR(Generation_Entsoe_SFS_2018[[#This Row],[Solar PV]]/'Capacity_Entsoe_SFS_2018'!K51*10^6,0)</calculatedColumnFormula>
    </tableColumn>
    <tableColumn id="12" xr3:uid="{00000000-0010-0000-0E00-00000C000000}" name="Bioenergy" dataDxfId="7" dataCellStyle="Komma">
      <calculatedColumnFormula>IFERROR(Generation_Entsoe_SFS_2018[[#This Row],[Bioenergy]]/'Capacity_Entsoe_SFS_2018'!L51*10^6,0)</calculatedColumnFormula>
    </tableColumn>
    <tableColumn id="13" xr3:uid="{00000000-0010-0000-0E00-00000D000000}" name="Other RES" dataDxfId="6" dataCellStyle="Komma">
      <calculatedColumnFormula>IFERROR(Generation_Entsoe_SFS_2018[[#This Row],[Other RES]]/'Capacity_Entsoe_SFS_2018'!M51*10^6,0)</calculatedColumnFormula>
    </tableColumn>
    <tableColumn id="14" xr3:uid="{00000000-0010-0000-0E00-00000E000000}" name="Hydro" dataDxfId="5" dataCellStyle="Komma">
      <calculatedColumnFormula>IFERROR(Generation_Entsoe_SFS_2018[[#This Row],[Renewable Hydro]]/'Capacity_Entsoe_SFS_2018'!N51*10^6,0)</calculatedColumnFormula>
    </tableColumn>
    <tableColumn id="20" xr3:uid="{00000000-0010-0000-0E00-000014000000}" name="Pumped Hydro" dataDxfId="4" dataCellStyle="Komma">
      <calculatedColumnFormula>IFERROR(Generation_Entsoe_SFS_2018[[#This Row],[Pumped Hydro]]/'Capacity_Entsoe_SFS_2018'!O51*10^6,0)</calculatedColumnFormula>
    </tableColumn>
    <tableColumn id="16" xr3:uid="{00000000-0010-0000-0E00-000010000000}" name="Other sources" dataDxfId="3" dataCellStyle="Komma">
      <calculatedColumnFormula>SUM(AM3:AN3)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Capacity_Entso_All_years__2" displayName="Capacity_Entso_All_years__2" ref="A1:E2404" tableType="queryTable" totalsRowShown="0">
  <autoFilter ref="A1:E2404" xr:uid="{00000000-0009-0000-0100-00000B000000}"/>
  <tableColumns count="5">
    <tableColumn id="1" xr3:uid="{00000000-0010-0000-0F00-000001000000}" uniqueName="1" name="Country" queryTableFieldId="1"/>
    <tableColumn id="2" xr3:uid="{00000000-0010-0000-0F00-000002000000}" uniqueName="2" name="Year" queryTableFieldId="2"/>
    <tableColumn id="3" xr3:uid="{00000000-0010-0000-0F00-000003000000}" uniqueName="3" name="Unit" queryTableFieldId="3"/>
    <tableColumn id="4" xr3:uid="{00000000-0010-0000-0F00-000004000000}" uniqueName="4" name="Technology" queryTableFieldId="8" dataDxfId="2"/>
    <tableColumn id="5" xr3:uid="{00000000-0010-0000-0F00-000005000000}" uniqueName="5" name="Wert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Capacity_Entsoe_SFS_2015" displayName="Capacity_Entsoe_SFS_2015" ref="A48:U84" totalsRowShown="0" headerRowDxfId="325" dataDxfId="324" headerRowCellStyle="Standard 2" dataCellStyle="Standard 2">
  <autoFilter ref="A48:U84" xr:uid="{00000000-0009-0000-0100-000009000000}"/>
  <tableColumns count="21">
    <tableColumn id="1" xr3:uid="{00000000-0010-0000-0100-000001000000}" name="Country" dataDxfId="323" dataCellStyle="Standard 2">
      <calculatedColumnFormula>A2</calculatedColumnFormula>
    </tableColumn>
    <tableColumn id="2" xr3:uid="{00000000-0010-0000-0100-000002000000}" name="Year" dataDxfId="322" dataCellStyle="Standard 2">
      <calculatedColumnFormula>B2</calculatedColumnFormula>
    </tableColumn>
    <tableColumn id="3" xr3:uid="{00000000-0010-0000-0100-000003000000}" name="Unit" dataDxfId="321" dataCellStyle="Standard 2">
      <calculatedColumnFormula>C2</calculatedColumnFormula>
    </tableColumn>
    <tableColumn id="4" xr3:uid="{00000000-0010-0000-0100-000004000000}" name="Nuclear" dataDxfId="320" dataCellStyle="Standard 2">
      <calculatedColumnFormula>D2</calculatedColumnFormula>
    </tableColumn>
    <tableColumn id="5" xr3:uid="{00000000-0010-0000-0100-000005000000}" name="Lignite" dataDxfId="319" dataCellStyle="Standard 2">
      <calculatedColumnFormula>F2</calculatedColumnFormula>
    </tableColumn>
    <tableColumn id="6" xr3:uid="{00000000-0010-0000-0100-000006000000}" name="Hard coal" dataDxfId="318" dataCellStyle="Standard 2">
      <calculatedColumnFormula>G2</calculatedColumnFormula>
    </tableColumn>
    <tableColumn id="7" xr3:uid="{00000000-0010-0000-0100-000007000000}" name="Fossil gases" dataDxfId="317" dataCellStyle="Standard 2">
      <calculatedColumnFormula>H2</calculatedColumnFormula>
    </tableColumn>
    <tableColumn id="8" xr3:uid="{00000000-0010-0000-0100-000008000000}" name="Other fossil fuels" dataDxfId="316" dataCellStyle="Standard 2">
      <calculatedColumnFormula>I2+J2+K2</calculatedColumnFormula>
    </tableColumn>
    <tableColumn id="9" xr3:uid="{00000000-0010-0000-0100-000009000000}" name="Wind onshore" dataDxfId="315" dataCellStyle="Standard 2">
      <calculatedColumnFormula>M2</calculatedColumnFormula>
    </tableColumn>
    <tableColumn id="10" xr3:uid="{00000000-0010-0000-0100-00000A000000}" name="Wind offshore" dataDxfId="314" dataCellStyle="Standard 2"/>
    <tableColumn id="11" xr3:uid="{00000000-0010-0000-0100-00000B000000}" name="Solar PV" dataDxfId="313" dataCellStyle="Standard 2">
      <calculatedColumnFormula>N2</calculatedColumnFormula>
    </tableColumn>
    <tableColumn id="12" xr3:uid="{00000000-0010-0000-0100-00000C000000}" name="Bioenergy" dataDxfId="312" dataCellStyle="Standard 2">
      <calculatedColumnFormula>O2</calculatedColumnFormula>
    </tableColumn>
    <tableColumn id="13" xr3:uid="{00000000-0010-0000-0100-00000D000000}" name="Other RES" dataDxfId="311" dataCellStyle="Standard 2">
      <calculatedColumnFormula>P2</calculatedColumnFormula>
    </tableColumn>
    <tableColumn id="14" xr3:uid="{00000000-0010-0000-0100-00000E000000}" name="Renewable Hydro" dataDxfId="310" dataCellStyle="Standard 2">
      <calculatedColumnFormula>R2</calculatedColumnFormula>
    </tableColumn>
    <tableColumn id="21" xr3:uid="{00000000-0010-0000-0100-000015000000}" name="Pumped Hydro" dataDxfId="309" dataCellStyle="Standard 2">
      <calculatedColumnFormula>S2</calculatedColumnFormula>
    </tableColumn>
    <tableColumn id="16" xr3:uid="{00000000-0010-0000-0100-000010000000}" name="Other sources" dataDxfId="308" dataCellStyle="Standard 2">
      <calculatedColumnFormula>T2</calculatedColumnFormula>
    </tableColumn>
    <tableColumn id="17" xr3:uid="{00000000-0010-0000-0100-000011000000}" name="Total (berechnet)" dataDxfId="307" dataCellStyle="Standard 2">
      <calculatedColumnFormula>SUM(D49:P49)</calculatedColumnFormula>
    </tableColumn>
    <tableColumn id="18" xr3:uid="{00000000-0010-0000-0100-000012000000}" name="Total soll (Entso)" dataDxfId="306" dataCellStyle="Standard 2">
      <calculatedColumnFormula>U2</calculatedColumnFormula>
    </tableColumn>
    <tableColumn id="19" xr3:uid="{00000000-0010-0000-0100-000013000000}" name="Übereinstimmung" dataDxfId="305" dataCellStyle="Prozent">
      <calculatedColumnFormula>Q49/R49</calculatedColumnFormula>
    </tableColumn>
    <tableColumn id="15" xr3:uid="{00000000-0010-0000-0100-00000F000000}" name="Lowest load" dataDxfId="304" dataCellStyle="Standard 2">
      <calculatedColumnFormula>VLOOKUP(Capacity_Entsoe_SFS_2015[[#This Row],[Country]],$Z$2:$AF$38,7,0)</calculatedColumnFormula>
    </tableColumn>
    <tableColumn id="20" xr3:uid="{00000000-0010-0000-0100-000014000000}" name="Highest load" dataDxfId="303" dataCellStyle="Standard 2">
      <calculatedColumnFormula>VLOOKUP(Capacity_Entsoe_SFS_2015[[#This Row],[Country]],$Z$2:$AF$38,4,0)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Capacity_Entsoe_SFS_2016" displayName="Capacity_Entsoe_SFS_2016" ref="A48:U85" totalsRowShown="0" headerRowDxfId="302" dataDxfId="301" headerRowCellStyle="Standard 2" dataCellStyle="Standard 2">
  <autoFilter ref="A48:U85" xr:uid="{00000000-0009-0000-0100-000008000000}"/>
  <tableColumns count="21">
    <tableColumn id="1" xr3:uid="{00000000-0010-0000-0200-000001000000}" name="Country" dataDxfId="300" dataCellStyle="Standard 2">
      <calculatedColumnFormula>A3</calculatedColumnFormula>
    </tableColumn>
    <tableColumn id="2" xr3:uid="{00000000-0010-0000-0200-000002000000}" name="Year" dataDxfId="299" dataCellStyle="Standard 2">
      <calculatedColumnFormula>B3</calculatedColumnFormula>
    </tableColumn>
    <tableColumn id="3" xr3:uid="{00000000-0010-0000-0200-000003000000}" name="Unit" dataDxfId="298" dataCellStyle="Standard 2">
      <calculatedColumnFormula>C3</calculatedColumnFormula>
    </tableColumn>
    <tableColumn id="4" xr3:uid="{00000000-0010-0000-0200-000004000000}" name="Nuclear" dataDxfId="297" dataCellStyle="Standard 2">
      <calculatedColumnFormula>E3</calculatedColumnFormula>
    </tableColumn>
    <tableColumn id="5" xr3:uid="{00000000-0010-0000-0200-000005000000}" name="Lignite" dataDxfId="296" dataCellStyle="Standard 2">
      <calculatedColumnFormula>G3</calculatedColumnFormula>
    </tableColumn>
    <tableColumn id="6" xr3:uid="{00000000-0010-0000-0200-000006000000}" name="Hard coal" dataDxfId="295" dataCellStyle="Standard 2">
      <calculatedColumnFormula>J3</calculatedColumnFormula>
    </tableColumn>
    <tableColumn id="7" xr3:uid="{00000000-0010-0000-0200-000007000000}" name="Fossil gases" dataDxfId="294" dataCellStyle="Standard 2">
      <calculatedColumnFormula>H3+I3</calculatedColumnFormula>
    </tableColumn>
    <tableColumn id="8" xr3:uid="{00000000-0010-0000-0200-000008000000}" name="Other fossil fuels" dataDxfId="293" dataCellStyle="Standard 2">
      <calculatedColumnFormula>M3+N3+O3+L3+K3</calculatedColumnFormula>
    </tableColumn>
    <tableColumn id="9" xr3:uid="{00000000-0010-0000-0200-000009000000}" name="Wind onshore" dataDxfId="292" dataCellStyle="Standard 2">
      <calculatedColumnFormula>V3</calculatedColumnFormula>
    </tableColumn>
    <tableColumn id="10" xr3:uid="{00000000-0010-0000-0200-00000A000000}" name="Wind offshore" dataDxfId="291" dataCellStyle="Standard 2">
      <calculatedColumnFormula>U3</calculatedColumnFormula>
    </tableColumn>
    <tableColumn id="11" xr3:uid="{00000000-0010-0000-0200-00000B000000}" name="Solar PV" dataDxfId="290" dataCellStyle="Standard 2">
      <calculatedColumnFormula>W3</calculatedColumnFormula>
    </tableColumn>
    <tableColumn id="12" xr3:uid="{00000000-0010-0000-0200-00000C000000}" name="Bioenergy" dataDxfId="289" dataCellStyle="Standard 2">
      <calculatedColumnFormula>Y3+Z3</calculatedColumnFormula>
    </tableColumn>
    <tableColumn id="13" xr3:uid="{00000000-0010-0000-0200-00000D000000}" name="Other RES" dataDxfId="288" dataCellStyle="Standard 2">
      <calculatedColumnFormula>X3+AA3+AB3+AG3+AH3</calculatedColumnFormula>
    </tableColumn>
    <tableColumn id="14" xr3:uid="{00000000-0010-0000-0200-00000E000000}" name="Renewable Hydro" dataDxfId="287" dataCellStyle="Standard 2">
      <calculatedColumnFormula>SUM(AC3,AD3,AE3,AF3)</calculatedColumnFormula>
    </tableColumn>
    <tableColumn id="21" xr3:uid="{00000000-0010-0000-0200-000015000000}" name="Pumped Hydro" dataDxfId="286" dataCellStyle="Standard 2">
      <calculatedColumnFormula>SUM(P3,Q3)</calculatedColumnFormula>
    </tableColumn>
    <tableColumn id="16" xr3:uid="{00000000-0010-0000-0200-000010000000}" name="Other sources" dataDxfId="285" dataCellStyle="Standard 2">
      <calculatedColumnFormula>SUM(R3:S3)</calculatedColumnFormula>
    </tableColumn>
    <tableColumn id="17" xr3:uid="{00000000-0010-0000-0200-000011000000}" name="Total (berechnet)" dataDxfId="284" dataCellStyle="Standard 2">
      <calculatedColumnFormula>SUM(D49:P49)</calculatedColumnFormula>
    </tableColumn>
    <tableColumn id="18" xr3:uid="{00000000-0010-0000-0200-000012000000}" name="Total soll (Entso)" dataDxfId="283" dataCellStyle="Standard 2">
      <calculatedColumnFormula>AI3</calculatedColumnFormula>
    </tableColumn>
    <tableColumn id="19" xr3:uid="{00000000-0010-0000-0200-000013000000}" name="Übereinstimmung" dataDxfId="282" dataCellStyle="Prozent">
      <calculatedColumnFormula>Q49/R49</calculatedColumnFormula>
    </tableColumn>
    <tableColumn id="15" xr3:uid="{00000000-0010-0000-0200-00000F000000}" name="Lowest load" dataDxfId="281" dataCellStyle="Standard 2">
      <calculatedColumnFormula>IFERROR(VLOOKUP(Capacity_Entsoe_SFS_2016[[#This Row],[Country]],$AK$3:$AQ$38,7,0),0)</calculatedColumnFormula>
    </tableColumn>
    <tableColumn id="20" xr3:uid="{00000000-0010-0000-0200-000014000000}" name="Highest load" dataDxfId="280" dataCellStyle="Standard 2">
      <calculatedColumnFormula>IFERROR(VLOOKUP(Capacity_Entsoe_SFS_2016[[#This Row],[Country]],$AK$3:$AQ$38,4,0),0)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Capacity_Entsoe_SFS_2017" displayName="Capacity_Entsoe_SFS_2017" ref="A50:U88" totalsRowShown="0" headerRowDxfId="279" dataDxfId="278" headerRowCellStyle="Standard 2" dataCellStyle="Standard 2">
  <autoFilter ref="A50:U88" xr:uid="{00000000-0009-0000-0100-000007000000}"/>
  <tableColumns count="21">
    <tableColumn id="1" xr3:uid="{00000000-0010-0000-0300-000001000000}" name="Country" dataDxfId="277" dataCellStyle="Standard 2">
      <calculatedColumnFormula>A3</calculatedColumnFormula>
    </tableColumn>
    <tableColumn id="2" xr3:uid="{00000000-0010-0000-0300-000002000000}" name="Year" dataDxfId="276" dataCellStyle="Standard 2">
      <calculatedColumnFormula>B3</calculatedColumnFormula>
    </tableColumn>
    <tableColumn id="3" xr3:uid="{00000000-0010-0000-0300-000003000000}" name="Unit" dataDxfId="275" dataCellStyle="Standard 2">
      <calculatedColumnFormula>C3</calculatedColumnFormula>
    </tableColumn>
    <tableColumn id="4" xr3:uid="{00000000-0010-0000-0300-000004000000}" name="Nuclear" dataDxfId="274" dataCellStyle="Standard 2">
      <calculatedColumnFormula>E3</calculatedColumnFormula>
    </tableColumn>
    <tableColumn id="5" xr3:uid="{00000000-0010-0000-0300-000005000000}" name="Lignite" dataDxfId="273" dataCellStyle="Standard 2">
      <calculatedColumnFormula>G3</calculatedColumnFormula>
    </tableColumn>
    <tableColumn id="6" xr3:uid="{00000000-0010-0000-0300-000006000000}" name="Hard coal" dataDxfId="272" dataCellStyle="Standard 2">
      <calculatedColumnFormula>J3</calculatedColumnFormula>
    </tableColumn>
    <tableColumn id="7" xr3:uid="{00000000-0010-0000-0300-000007000000}" name="Fossil gases" dataDxfId="271" dataCellStyle="Standard 2">
      <calculatedColumnFormula>H3+I3</calculatedColumnFormula>
    </tableColumn>
    <tableColumn id="8" xr3:uid="{00000000-0010-0000-0300-000008000000}" name="Other fossil fuels" dataDxfId="270" dataCellStyle="Standard 2">
      <calculatedColumnFormula>M3+N3+O3+L3+K3</calculatedColumnFormula>
    </tableColumn>
    <tableColumn id="9" xr3:uid="{00000000-0010-0000-0300-000009000000}" name="Wind onshore" dataDxfId="269" dataCellStyle="Standard 2">
      <calculatedColumnFormula>V3</calculatedColumnFormula>
    </tableColumn>
    <tableColumn id="10" xr3:uid="{00000000-0010-0000-0300-00000A000000}" name="Wind offshore" dataDxfId="268" dataCellStyle="Standard 2">
      <calculatedColumnFormula>U3</calculatedColumnFormula>
    </tableColumn>
    <tableColumn id="11" xr3:uid="{00000000-0010-0000-0300-00000B000000}" name="Solar PV" dataDxfId="267" dataCellStyle="Standard 2">
      <calculatedColumnFormula>W3</calculatedColumnFormula>
    </tableColumn>
    <tableColumn id="12" xr3:uid="{00000000-0010-0000-0300-00000C000000}" name="Bioenergy" dataDxfId="266" dataCellStyle="Standard 2">
      <calculatedColumnFormula>Y3+Z3</calculatedColumnFormula>
    </tableColumn>
    <tableColumn id="13" xr3:uid="{00000000-0010-0000-0300-00000D000000}" name="Other RES" dataDxfId="265" dataCellStyle="Standard 2">
      <calculatedColumnFormula>X3+AA3+AB3+AG3+AH3</calculatedColumnFormula>
    </tableColumn>
    <tableColumn id="14" xr3:uid="{00000000-0010-0000-0300-00000E000000}" name="Renewable Hydro" dataDxfId="264" dataCellStyle="Standard 2">
      <calculatedColumnFormula>SUM(AC3,AD3,AE3,AF3)</calculatedColumnFormula>
    </tableColumn>
    <tableColumn id="21" xr3:uid="{00000000-0010-0000-0300-000015000000}" name="Pumped Hydro" dataDxfId="263" dataCellStyle="Standard 2">
      <calculatedColumnFormula>SUM(P3,Q3)</calculatedColumnFormula>
    </tableColumn>
    <tableColumn id="16" xr3:uid="{00000000-0010-0000-0300-000010000000}" name="Other sources" dataDxfId="262" dataCellStyle="Standard 2">
      <calculatedColumnFormula>SUM(R3:S3)</calculatedColumnFormula>
    </tableColumn>
    <tableColumn id="17" xr3:uid="{00000000-0010-0000-0300-000011000000}" name="Total (berechnet)" dataDxfId="261" dataCellStyle="Standard 2">
      <calculatedColumnFormula>SUM(D51:P51)</calculatedColumnFormula>
    </tableColumn>
    <tableColumn id="18" xr3:uid="{00000000-0010-0000-0300-000012000000}" name="Total soll (Entso)" dataDxfId="260" dataCellStyle="Standard 2">
      <calculatedColumnFormula>AI3</calculatedColumnFormula>
    </tableColumn>
    <tableColumn id="19" xr3:uid="{00000000-0010-0000-0300-000013000000}" name="Übereinstimmung" dataDxfId="259" dataCellStyle="Prozent">
      <calculatedColumnFormula>Q51/R51</calculatedColumnFormula>
    </tableColumn>
    <tableColumn id="15" xr3:uid="{00000000-0010-0000-0300-00000F000000}" name="Lowest load" dataDxfId="258" dataCellStyle="Standard 2">
      <calculatedColumnFormula>IFERROR(VLOOKUP(Capacity_Entsoe_SFS_2017[[#This Row],[Country]],$AK$3:$AQ$39,7,0),0)</calculatedColumnFormula>
    </tableColumn>
    <tableColumn id="20" xr3:uid="{00000000-0010-0000-0300-000014000000}" name="Highest load" dataDxfId="257" dataCellStyle="Standard 2">
      <calculatedColumnFormula>IFERROR(VLOOKUP(Capacity_Entsoe_SFS_2017[[#This Row],[Country]],$AK$3:$AQ$39,4,0),0)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Capacity_Entsoe_SFS_2018" displayName="Capacity_Entsoe_SFS_2018" ref="A50:U88" totalsRowShown="0" headerRowDxfId="256" dataDxfId="255" headerRowCellStyle="Standard 2" dataCellStyle="Standard 2">
  <autoFilter ref="A50:U88" xr:uid="{00000000-0009-0000-0100-000006000000}"/>
  <tableColumns count="21">
    <tableColumn id="1" xr3:uid="{00000000-0010-0000-0400-000001000000}" name="Country" dataDxfId="254" dataCellStyle="Standard 2">
      <calculatedColumnFormula>A3</calculatedColumnFormula>
    </tableColumn>
    <tableColumn id="2" xr3:uid="{00000000-0010-0000-0400-000002000000}" name="Year" dataDxfId="253" dataCellStyle="Standard 2">
      <calculatedColumnFormula>B3</calculatedColumnFormula>
    </tableColumn>
    <tableColumn id="3" xr3:uid="{00000000-0010-0000-0400-000003000000}" name="Unit" dataDxfId="252" dataCellStyle="Standard 2"/>
    <tableColumn id="4" xr3:uid="{00000000-0010-0000-0400-000004000000}" name="Nuclear" dataDxfId="251" dataCellStyle="Standard 2">
      <calculatedColumnFormula>E3</calculatedColumnFormula>
    </tableColumn>
    <tableColumn id="5" xr3:uid="{00000000-0010-0000-0400-000005000000}" name="Lignite" dataDxfId="250" dataCellStyle="Standard 2">
      <calculatedColumnFormula>G3</calculatedColumnFormula>
    </tableColumn>
    <tableColumn id="6" xr3:uid="{00000000-0010-0000-0400-000006000000}" name="Hard coal" dataDxfId="249" dataCellStyle="Standard 2">
      <calculatedColumnFormula>J3</calculatedColumnFormula>
    </tableColumn>
    <tableColumn id="7" xr3:uid="{00000000-0010-0000-0400-000007000000}" name="Fossil gases" dataDxfId="248" dataCellStyle="Standard 2">
      <calculatedColumnFormula>H3+I3</calculatedColumnFormula>
    </tableColumn>
    <tableColumn id="8" xr3:uid="{00000000-0010-0000-0400-000008000000}" name="Other fossil fuels" dataDxfId="247" dataCellStyle="Standard 2">
      <calculatedColumnFormula>M3+N3+O3+L3+K3</calculatedColumnFormula>
    </tableColumn>
    <tableColumn id="9" xr3:uid="{00000000-0010-0000-0400-000009000000}" name="Wind onshore" dataDxfId="246" dataCellStyle="Standard 2">
      <calculatedColumnFormula>V3</calculatedColumnFormula>
    </tableColumn>
    <tableColumn id="10" xr3:uid="{00000000-0010-0000-0400-00000A000000}" name="Wind offshore" dataDxfId="245" dataCellStyle="Standard 2">
      <calculatedColumnFormula>U3</calculatedColumnFormula>
    </tableColumn>
    <tableColumn id="11" xr3:uid="{00000000-0010-0000-0400-00000B000000}" name="Solar PV" dataDxfId="244" dataCellStyle="Standard 2">
      <calculatedColumnFormula>W3</calculatedColumnFormula>
    </tableColumn>
    <tableColumn id="12" xr3:uid="{00000000-0010-0000-0400-00000C000000}" name="Bioenergy" dataDxfId="243" dataCellStyle="Standard 2">
      <calculatedColumnFormula>Y3+Z3</calculatedColumnFormula>
    </tableColumn>
    <tableColumn id="13" xr3:uid="{00000000-0010-0000-0400-00000D000000}" name="Other RES" dataDxfId="242" dataCellStyle="Standard 2">
      <calculatedColumnFormula>X3+AA3+AB3+AG3+AH3</calculatedColumnFormula>
    </tableColumn>
    <tableColumn id="14" xr3:uid="{00000000-0010-0000-0400-00000E000000}" name="Renewable Hydro" dataDxfId="241" dataCellStyle="Standard 2">
      <calculatedColumnFormula>SUM(AC3,AD3,AE3,AF3)</calculatedColumnFormula>
    </tableColumn>
    <tableColumn id="21" xr3:uid="{00000000-0010-0000-0400-000015000000}" name="Pumped Hydro" dataDxfId="240" dataCellStyle="Standard 2">
      <calculatedColumnFormula>SUM(P3,Q3)</calculatedColumnFormula>
    </tableColumn>
    <tableColumn id="16" xr3:uid="{00000000-0010-0000-0400-000010000000}" name="Other sources" dataDxfId="239" dataCellStyle="Standard 2">
      <calculatedColumnFormula>SUM(R3:S3)</calculatedColumnFormula>
    </tableColumn>
    <tableColumn id="17" xr3:uid="{00000000-0010-0000-0400-000011000000}" name="Total (berechnet)" dataDxfId="238" dataCellStyle="Standard 2">
      <calculatedColumnFormula>SUM(D51:P51)</calculatedColumnFormula>
    </tableColumn>
    <tableColumn id="18" xr3:uid="{00000000-0010-0000-0400-000012000000}" name="Total soll (Entso)" dataDxfId="237" dataCellStyle="Standard 2">
      <calculatedColumnFormula>AI3</calculatedColumnFormula>
    </tableColumn>
    <tableColumn id="19" xr3:uid="{00000000-0010-0000-0400-000013000000}" name="Übereinstimmung" dataDxfId="236" dataCellStyle="Prozent">
      <calculatedColumnFormula>Q51/R51</calculatedColumnFormula>
    </tableColumn>
    <tableColumn id="15" xr3:uid="{00000000-0010-0000-0400-00000F000000}" name="Lowest load" dataDxfId="235" dataCellStyle="Standard 2">
      <calculatedColumnFormula>IFERROR(VLOOKUP(Capacity_Entsoe_SFS_2018[[#This Row],[Country]],$AK$3:$AQ$39,7,0),0)</calculatedColumnFormula>
    </tableColumn>
    <tableColumn id="20" xr3:uid="{00000000-0010-0000-0400-000014000000}" name="Highest load" dataDxfId="234" dataCellStyle="Standard 2">
      <calculatedColumnFormula>IFERROR(VLOOKUP(Capacity_Entsoe_SFS_2018[[#This Row],[Country]],$AK$3:$AQ$39,4,0),0)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Generation_Entsoe_SFS_2014" displayName="Generation_Entsoe_SFS_2014" ref="A50:U86" totalsRowShown="0" headerRowDxfId="233" dataDxfId="232" headerRowCellStyle="Standard 2" dataCellStyle="Standard 2">
  <autoFilter ref="A50:U86" xr:uid="{00000000-0009-0000-0100-000005000000}"/>
  <tableColumns count="21">
    <tableColumn id="1" xr3:uid="{00000000-0010-0000-0500-000001000000}" name="Country" dataDxfId="231" dataCellStyle="Standard 2">
      <calculatedColumnFormula>$A4</calculatedColumnFormula>
    </tableColumn>
    <tableColumn id="2" xr3:uid="{00000000-0010-0000-0500-000002000000}" name="Year" dataDxfId="230" dataCellStyle="Standard 2">
      <calculatedColumnFormula>B4</calculatedColumnFormula>
    </tableColumn>
    <tableColumn id="3" xr3:uid="{00000000-0010-0000-0500-000003000000}" name="Unit" dataDxfId="229" dataCellStyle="Standard 2">
      <calculatedColumnFormula>C4</calculatedColumnFormula>
    </tableColumn>
    <tableColumn id="4" xr3:uid="{00000000-0010-0000-0500-000004000000}" name="Nuclear" dataDxfId="228" dataCellStyle="Standard 2">
      <calculatedColumnFormula>D4</calculatedColumnFormula>
    </tableColumn>
    <tableColumn id="5" xr3:uid="{00000000-0010-0000-0500-000005000000}" name="Lignite" dataDxfId="227" dataCellStyle="Standard 2">
      <calculatedColumnFormula>F4</calculatedColumnFormula>
    </tableColumn>
    <tableColumn id="6" xr3:uid="{00000000-0010-0000-0500-000006000000}" name="Hard coal" dataDxfId="226" dataCellStyle="Standard 2">
      <calculatedColumnFormula>G4</calculatedColumnFormula>
    </tableColumn>
    <tableColumn id="7" xr3:uid="{00000000-0010-0000-0500-000007000000}" name="Fossil gases" dataDxfId="225" dataCellStyle="Standard 2">
      <calculatedColumnFormula>H4</calculatedColumnFormula>
    </tableColumn>
    <tableColumn id="8" xr3:uid="{00000000-0010-0000-0500-000008000000}" name="Other fossil fuels" dataDxfId="224" dataCellStyle="Standard 2">
      <calculatedColumnFormula>I4+J4+K4</calculatedColumnFormula>
    </tableColumn>
    <tableColumn id="9" xr3:uid="{00000000-0010-0000-0500-000009000000}" name="Wind onshore" dataDxfId="223" dataCellStyle="Standard 2">
      <calculatedColumnFormula>M4</calculatedColumnFormula>
    </tableColumn>
    <tableColumn id="10" xr3:uid="{00000000-0010-0000-0500-00000A000000}" name="Wind offshore" dataDxfId="222" dataCellStyle="Standard 2"/>
    <tableColumn id="11" xr3:uid="{00000000-0010-0000-0500-00000B000000}" name="Solar PV" dataDxfId="221" dataCellStyle="Standard 2">
      <calculatedColumnFormula>N4</calculatedColumnFormula>
    </tableColumn>
    <tableColumn id="12" xr3:uid="{00000000-0010-0000-0500-00000C000000}" name="Bioenergy" dataDxfId="220" dataCellStyle="Standard 2">
      <calculatedColumnFormula>O4</calculatedColumnFormula>
    </tableColumn>
    <tableColumn id="13" xr3:uid="{00000000-0010-0000-0500-00000D000000}" name="Other RES" dataDxfId="219" dataCellStyle="Standard 2">
      <calculatedColumnFormula>P4</calculatedColumnFormula>
    </tableColumn>
    <tableColumn id="14" xr3:uid="{00000000-0010-0000-0500-00000E000000}" name="Renewable Hydro" dataDxfId="218" dataCellStyle="Standard 2">
      <calculatedColumnFormula>R4</calculatedColumnFormula>
    </tableColumn>
    <tableColumn id="20" xr3:uid="{00000000-0010-0000-0500-000014000000}" name="Pumped Hydro" dataDxfId="217" dataCellStyle="Standard 2">
      <calculatedColumnFormula>S4</calculatedColumnFormula>
    </tableColumn>
    <tableColumn id="16" xr3:uid="{00000000-0010-0000-0500-000010000000}" name="Other sources" dataDxfId="216" dataCellStyle="Standard 2">
      <calculatedColumnFormula>T4</calculatedColumnFormula>
    </tableColumn>
    <tableColumn id="17" xr3:uid="{00000000-0010-0000-0500-000011000000}" name="Total (berechnet)" dataDxfId="215" dataCellStyle="Standard 2">
      <calculatedColumnFormula>SUM(D51:P51)</calculatedColumnFormula>
    </tableColumn>
    <tableColumn id="18" xr3:uid="{00000000-0010-0000-0500-000012000000}" name="Total soll (Entso)" dataDxfId="214" dataCellStyle="Standard 2">
      <calculatedColumnFormula>U4</calculatedColumnFormula>
    </tableColumn>
    <tableColumn id="19" xr3:uid="{00000000-0010-0000-0500-000013000000}" name="Übereinstimmung" dataDxfId="213" dataCellStyle="Prozent">
      <calculatedColumnFormula>Q51/R51</calculatedColumnFormula>
    </tableColumn>
    <tableColumn id="15" xr3:uid="{00000000-0010-0000-0500-00000F000000}" name="Consumption" dataDxfId="212" dataCellStyle="Standard 2">
      <calculatedColumnFormula>INDEX($A$4:$X$39,MATCH(Generation_Entsoe_SFS_2014[[#This Row],[Country]],$A$4:$A$39,0),MATCH(Generation_Entsoe_SFS_2014[[#Headers],[Consumption]],$A$2:$X$2,0))</calculatedColumnFormula>
    </tableColumn>
    <tableColumn id="21" xr3:uid="{00000000-0010-0000-0500-000015000000}" name="Pumping" dataDxfId="211" dataCellStyle="Standard 2">
      <calculatedColumnFormula>INDEX($A$4:$X$39,MATCH(Generation_Entsoe_SFS_2014[[#This Row],[Country]],$A$4:$A$39,0),MATCH(Generation_Entsoe_SFS_2014[[#Headers],[Pumping]],$A$2:$X$2,0))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VBH_Entsoe_SFS_2014" displayName="VBH_Entsoe_SFS_2014" ref="X50:AM86" totalsRowShown="0" headerRowDxfId="210" dataDxfId="208" headerRowBorderDxfId="209" tableBorderDxfId="207" headerRowCellStyle="Standard 2" dataCellStyle="Standard 2">
  <autoFilter ref="X50:AM86" xr:uid="{00000000-0009-0000-0100-000012000000}"/>
  <tableColumns count="16">
    <tableColumn id="1" xr3:uid="{00000000-0010-0000-0600-000001000000}" name="Country" dataDxfId="206" dataCellStyle="Standard 2">
      <calculatedColumnFormula>$A4</calculatedColumnFormula>
    </tableColumn>
    <tableColumn id="2" xr3:uid="{00000000-0010-0000-0600-000002000000}" name="Year" dataDxfId="205" dataCellStyle="Standard 2"/>
    <tableColumn id="3" xr3:uid="{00000000-0010-0000-0600-000003000000}" name="Unit" dataDxfId="204" dataCellStyle="Standard 2"/>
    <tableColumn id="4" xr3:uid="{00000000-0010-0000-0600-000004000000}" name="Nuclear" dataDxfId="203" dataCellStyle="Komma">
      <calculatedColumnFormula>IFERROR(Generation_Entsoe_SFS_2014[[#This Row],[Nuclear]]/Capacity_Entsoe_SFS_2014[[#This Row],[Nuclear]]*10^6,0)</calculatedColumnFormula>
    </tableColumn>
    <tableColumn id="5" xr3:uid="{00000000-0010-0000-0600-000005000000}" name="Lignite" dataDxfId="202" dataCellStyle="Komma">
      <calculatedColumnFormula>IFERROR(Generation_Entsoe_SFS_2014[[#This Row],[Lignite]]/Capacity_Entsoe_SFS_2014[[#This Row],[Lignite]]*10^6,0)</calculatedColumnFormula>
    </tableColumn>
    <tableColumn id="6" xr3:uid="{00000000-0010-0000-0600-000006000000}" name="Hard coal" dataDxfId="201" dataCellStyle="Komma">
      <calculatedColumnFormula>IFERROR(Generation_Entsoe_SFS_2014[[#This Row],[Hard coal]]/Capacity_Entsoe_SFS_2014[[#This Row],[Hard coal]]*10^6,0)</calculatedColumnFormula>
    </tableColumn>
    <tableColumn id="7" xr3:uid="{00000000-0010-0000-0600-000007000000}" name="Fossil gases" dataDxfId="200" dataCellStyle="Komma">
      <calculatedColumnFormula>IFERROR(Generation_Entsoe_SFS_2014[[#This Row],[Fossil gases]]/Capacity_Entsoe_SFS_2014[[#This Row],[Fossil gases]]*10^6,0)</calculatedColumnFormula>
    </tableColumn>
    <tableColumn id="8" xr3:uid="{00000000-0010-0000-0600-000008000000}" name="Other fossil fuels" dataDxfId="199" dataCellStyle="Komma">
      <calculatedColumnFormula>IFERROR(Generation_Entsoe_SFS_2014[[#This Row],[Other fossil fuels]]/Capacity_Entsoe_SFS_2014[[#This Row],[Other fossil fuels]]*10^6,0)</calculatedColumnFormula>
    </tableColumn>
    <tableColumn id="9" xr3:uid="{00000000-0010-0000-0600-000009000000}" name="Wind onshore" dataDxfId="198" dataCellStyle="Komma">
      <calculatedColumnFormula>IFERROR(Generation_Entsoe_SFS_2014[[#This Row],[Wind onshore]]/Capacity_Entsoe_SFS_2014[[#This Row],[Wind onshore]]*10^6,0)</calculatedColumnFormula>
    </tableColumn>
    <tableColumn id="10" xr3:uid="{00000000-0010-0000-0600-00000A000000}" name="Wind offshore" dataDxfId="197" dataCellStyle="Komma">
      <calculatedColumnFormula>IFERROR(Generation_Entsoe_SFS_2014[[#This Row],[Wind offshore]]/Capacity_Entsoe_SFS_2014[[#This Row],[Wind offshore]]*10^6,0)</calculatedColumnFormula>
    </tableColumn>
    <tableColumn id="11" xr3:uid="{00000000-0010-0000-0600-00000B000000}" name="Solar PV" dataDxfId="196" dataCellStyle="Komma">
      <calculatedColumnFormula>IFERROR(Generation_Entsoe_SFS_2014[[#This Row],[Solar PV]]/Capacity_Entsoe_SFS_2014[[#This Row],[Solar PV]]*10^6,0)</calculatedColumnFormula>
    </tableColumn>
    <tableColumn id="12" xr3:uid="{00000000-0010-0000-0600-00000C000000}" name="Bioenergy" dataDxfId="195" dataCellStyle="Komma">
      <calculatedColumnFormula>IFERROR(Generation_Entsoe_SFS_2014[[#This Row],[Bioenergy]]/Capacity_Entsoe_SFS_2014[[#This Row],[Bioenergy]]*10^6,0)</calculatedColumnFormula>
    </tableColumn>
    <tableColumn id="13" xr3:uid="{00000000-0010-0000-0600-00000D000000}" name="Other RES" dataDxfId="194" dataCellStyle="Komma">
      <calculatedColumnFormula>IFERROR(Generation_Entsoe_SFS_2014[[#This Row],[Other RES]]/Capacity_Entsoe_SFS_2014[[#This Row],[Other RES]]*10^6,0)</calculatedColumnFormula>
    </tableColumn>
    <tableColumn id="14" xr3:uid="{00000000-0010-0000-0600-00000E000000}" name="Hydro" dataDxfId="193" dataCellStyle="Komma">
      <calculatedColumnFormula>IFERROR(Generation_Entsoe_SFS_2014[[#This Row],[Renewable Hydro]]/Capacity_Entsoe_SFS_2014[[#This Row],[Renewable Hydro]]*10^6,0)</calculatedColumnFormula>
    </tableColumn>
    <tableColumn id="15" xr3:uid="{00000000-0010-0000-0600-00000F000000}" name="Pumped Hydro" dataDxfId="192" dataCellStyle="Komma">
      <calculatedColumnFormula>IFERROR(Generation_Entsoe_SFS_2014[[#This Row],[Pumped Hydro]]/Capacity_Entsoe_SFS_2014[[#This Row],[Pumped Hydro]]*10^6,0)</calculatedColumnFormula>
    </tableColumn>
    <tableColumn id="16" xr3:uid="{00000000-0010-0000-0600-000010000000}" name="Other sources" dataDxfId="191" dataCellStyle="Komma">
      <calculatedColumnFormula>IFERROR(Generation_Entsoe_SFS_2014[[#This Row],[Other sources]]/Capacity_Entsoe_SFS_2014[[#This Row],[Other sources]]*10^6,0)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Generation_Entsoe_SFS_2015" displayName="Generation_Entsoe_SFS_2015" ref="A50:U86" totalsRowShown="0" headerRowDxfId="190" dataDxfId="189" headerRowCellStyle="Standard 2" dataCellStyle="Standard 2">
  <autoFilter ref="A50:U86" xr:uid="{00000000-0009-0000-0100-000004000000}"/>
  <tableColumns count="21">
    <tableColumn id="1" xr3:uid="{00000000-0010-0000-0700-000001000000}" name="Country" dataDxfId="188" dataCellStyle="Standard 2">
      <calculatedColumnFormula>$A4</calculatedColumnFormula>
    </tableColumn>
    <tableColumn id="2" xr3:uid="{00000000-0010-0000-0700-000002000000}" name="Year" dataDxfId="187" dataCellStyle="Standard 2">
      <calculatedColumnFormula>B4</calculatedColumnFormula>
    </tableColumn>
    <tableColumn id="3" xr3:uid="{00000000-0010-0000-0700-000003000000}" name="Unit" dataDxfId="186" dataCellStyle="Standard 2">
      <calculatedColumnFormula>C4</calculatedColumnFormula>
    </tableColumn>
    <tableColumn id="4" xr3:uid="{00000000-0010-0000-0700-000004000000}" name="Nuclear" dataDxfId="185" dataCellStyle="Standard 2">
      <calculatedColumnFormula>D4</calculatedColumnFormula>
    </tableColumn>
    <tableColumn id="5" xr3:uid="{00000000-0010-0000-0700-000005000000}" name="Lignite" dataDxfId="184" dataCellStyle="Standard 2">
      <calculatedColumnFormula>F4</calculatedColumnFormula>
    </tableColumn>
    <tableColumn id="6" xr3:uid="{00000000-0010-0000-0700-000006000000}" name="Hard coal" dataDxfId="183" dataCellStyle="Standard 2">
      <calculatedColumnFormula>G4</calculatedColumnFormula>
    </tableColumn>
    <tableColumn id="7" xr3:uid="{00000000-0010-0000-0700-000007000000}" name="Fossil gases" dataDxfId="182" dataCellStyle="Standard 2">
      <calculatedColumnFormula>H4</calculatedColumnFormula>
    </tableColumn>
    <tableColumn id="8" xr3:uid="{00000000-0010-0000-0700-000008000000}" name="Other fossil fuels" dataDxfId="181" dataCellStyle="Standard 2">
      <calculatedColumnFormula>I4+J4+K4</calculatedColumnFormula>
    </tableColumn>
    <tableColumn id="9" xr3:uid="{00000000-0010-0000-0700-000009000000}" name="Wind onshore" dataDxfId="180" dataCellStyle="Standard 2">
      <calculatedColumnFormula>M4</calculatedColumnFormula>
    </tableColumn>
    <tableColumn id="10" xr3:uid="{00000000-0010-0000-0700-00000A000000}" name="Wind offshore" dataDxfId="179" dataCellStyle="Standard 2"/>
    <tableColumn id="11" xr3:uid="{00000000-0010-0000-0700-00000B000000}" name="Solar PV" dataDxfId="178" dataCellStyle="Standard 2">
      <calculatedColumnFormula>N4</calculatedColumnFormula>
    </tableColumn>
    <tableColumn id="12" xr3:uid="{00000000-0010-0000-0700-00000C000000}" name="Bioenergy" dataDxfId="177" dataCellStyle="Standard 2">
      <calculatedColumnFormula>O4</calculatedColumnFormula>
    </tableColumn>
    <tableColumn id="13" xr3:uid="{00000000-0010-0000-0700-00000D000000}" name="Other RES" dataDxfId="176" dataCellStyle="Standard 2">
      <calculatedColumnFormula>P4</calculatedColumnFormula>
    </tableColumn>
    <tableColumn id="14" xr3:uid="{00000000-0010-0000-0700-00000E000000}" name="Renewable Hydro" dataDxfId="175" dataCellStyle="Standard 2">
      <calculatedColumnFormula>R4</calculatedColumnFormula>
    </tableColumn>
    <tableColumn id="20" xr3:uid="{00000000-0010-0000-0700-000014000000}" name="Pumped Hydro" dataDxfId="174" dataCellStyle="Standard 2">
      <calculatedColumnFormula>S4</calculatedColumnFormula>
    </tableColumn>
    <tableColumn id="16" xr3:uid="{00000000-0010-0000-0700-000010000000}" name="Other sources" dataDxfId="173" dataCellStyle="Standard 2">
      <calculatedColumnFormula>T4</calculatedColumnFormula>
    </tableColumn>
    <tableColumn id="17" xr3:uid="{00000000-0010-0000-0700-000011000000}" name="Total (berechnet)" dataDxfId="172" dataCellStyle="Standard 2">
      <calculatedColumnFormula>SUM(D51:P51)</calculatedColumnFormula>
    </tableColumn>
    <tableColumn id="18" xr3:uid="{00000000-0010-0000-0700-000012000000}" name="Total soll (Entso)" dataDxfId="171" dataCellStyle="Standard 2">
      <calculatedColumnFormula>U4</calculatedColumnFormula>
    </tableColumn>
    <tableColumn id="19" xr3:uid="{00000000-0010-0000-0700-000013000000}" name="Übereinstimmung" dataDxfId="170" dataCellStyle="Prozent">
      <calculatedColumnFormula>Q51/R51</calculatedColumnFormula>
    </tableColumn>
    <tableColumn id="15" xr3:uid="{00000000-0010-0000-0700-00000F000000}" name="Consumption" dataDxfId="169" dataCellStyle="Standard 2">
      <calculatedColumnFormula>INDEX($A$4:$W$39,MATCH(Generation_Entsoe_SFS_2015[[#This Row],[Country]],$A$4:$A$39,0),MATCH(Generation_Entsoe_SFS_2015[[#Headers],[Consumption]],$A$2:$W$2,0))</calculatedColumnFormula>
    </tableColumn>
    <tableColumn id="21" xr3:uid="{00000000-0010-0000-0700-000015000000}" name="Pumping" dataDxfId="168" dataCellStyle="Standard 2">
      <calculatedColumnFormula>INDEX($A$4:$W$39,MATCH(Generation_Entsoe_SFS_2015[[#This Row],[Country]],$A$4:$A$39,0),MATCH(Generation_Entsoe_SFS_2015[[#Headers],[Pumping]],$A$2:$W$2,0))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8000000}" name="VBH_Entsoe_SFS_2015" displayName="VBH_Entsoe_SFS_2015" ref="W50:AL86" totalsRowShown="0" headerRowDxfId="167" dataDxfId="165" headerRowBorderDxfId="166" tableBorderDxfId="164" headerRowCellStyle="Standard 2" dataCellStyle="Standard 2">
  <autoFilter ref="W50:AL86" xr:uid="{00000000-0009-0000-0100-000011000000}"/>
  <tableColumns count="16">
    <tableColumn id="1" xr3:uid="{00000000-0010-0000-0800-000001000000}" name="Country" dataDxfId="163" dataCellStyle="Standard 2">
      <calculatedColumnFormula>$A4</calculatedColumnFormula>
    </tableColumn>
    <tableColumn id="2" xr3:uid="{00000000-0010-0000-0800-000002000000}" name="Year" dataDxfId="162" dataCellStyle="Standard 2"/>
    <tableColumn id="3" xr3:uid="{00000000-0010-0000-0800-000003000000}" name="Unit" dataDxfId="161" dataCellStyle="Standard 2"/>
    <tableColumn id="4" xr3:uid="{00000000-0010-0000-0800-000004000000}" name="Nuclear" dataDxfId="160" dataCellStyle="Komma">
      <calculatedColumnFormula>IFERROR(Generation_Entsoe_SFS_2015[[#This Row],[Nuclear]]/'Capacity_Entsoe_SFS_2015'!D49*10^6,0)</calculatedColumnFormula>
    </tableColumn>
    <tableColumn id="5" xr3:uid="{00000000-0010-0000-0800-000005000000}" name="Lignite" dataDxfId="159" dataCellStyle="Komma">
      <calculatedColumnFormula>IFERROR(Generation_Entsoe_SFS_2015[[#This Row],[Lignite]]/'Capacity_Entsoe_SFS_2015'!E49*10^6,0)</calculatedColumnFormula>
    </tableColumn>
    <tableColumn id="6" xr3:uid="{00000000-0010-0000-0800-000006000000}" name="Hard coal" dataDxfId="158" dataCellStyle="Komma">
      <calculatedColumnFormula>IFERROR(Generation_Entsoe_SFS_2015[[#This Row],[Hard coal]]/'Capacity_Entsoe_SFS_2015'!F49*10^6,0)</calculatedColumnFormula>
    </tableColumn>
    <tableColumn id="7" xr3:uid="{00000000-0010-0000-0800-000007000000}" name="Fossil gases" dataDxfId="157" dataCellStyle="Komma">
      <calculatedColumnFormula>IFERROR(Generation_Entsoe_SFS_2015[[#This Row],[Fossil gases]]/'Capacity_Entsoe_SFS_2015'!G49*10^6,0)</calculatedColumnFormula>
    </tableColumn>
    <tableColumn id="8" xr3:uid="{00000000-0010-0000-0800-000008000000}" name="Other fossil fuels" dataDxfId="156" dataCellStyle="Komma">
      <calculatedColumnFormula>IFERROR(Generation_Entsoe_SFS_2015[[#This Row],[Other fossil fuels]]/'Capacity_Entsoe_SFS_2015'!H49*10^6,0)</calculatedColumnFormula>
    </tableColumn>
    <tableColumn id="9" xr3:uid="{00000000-0010-0000-0800-000009000000}" name="Wind onshore" dataDxfId="155" dataCellStyle="Komma">
      <calculatedColumnFormula>IFERROR(Generation_Entsoe_SFS_2015[[#This Row],[Wind onshore]]/'Capacity_Entsoe_SFS_2015'!I49*10^6,0)</calculatedColumnFormula>
    </tableColumn>
    <tableColumn id="10" xr3:uid="{00000000-0010-0000-0800-00000A000000}" name="Wind offshore" dataDxfId="154" dataCellStyle="Komma">
      <calculatedColumnFormula>IFERROR(Generation_Entsoe_SFS_2015[[#This Row],[Wind offshore]]/'Capacity_Entsoe_SFS_2015'!J49*10^6,0)</calculatedColumnFormula>
    </tableColumn>
    <tableColumn id="11" xr3:uid="{00000000-0010-0000-0800-00000B000000}" name="Solar PV" dataDxfId="153" dataCellStyle="Komma">
      <calculatedColumnFormula>IFERROR(Generation_Entsoe_SFS_2015[[#This Row],[Solar PV]]/'Capacity_Entsoe_SFS_2015'!K49*10^6,0)</calculatedColumnFormula>
    </tableColumn>
    <tableColumn id="12" xr3:uid="{00000000-0010-0000-0800-00000C000000}" name="Bioenergy" dataDxfId="152" dataCellStyle="Komma">
      <calculatedColumnFormula>IFERROR(Generation_Entsoe_SFS_2015[[#This Row],[Bioenergy]]/'Capacity_Entsoe_SFS_2015'!L49*10^6,0)</calculatedColumnFormula>
    </tableColumn>
    <tableColumn id="13" xr3:uid="{00000000-0010-0000-0800-00000D000000}" name="Other RES" dataDxfId="151" dataCellStyle="Komma">
      <calculatedColumnFormula>IFERROR(Generation_Entsoe_SFS_2015[[#This Row],[Other RES]]/'Capacity_Entsoe_SFS_2015'!M49*10^6,0)</calculatedColumnFormula>
    </tableColumn>
    <tableColumn id="14" xr3:uid="{00000000-0010-0000-0800-00000E000000}" name="Hydro" dataDxfId="150" dataCellStyle="Komma">
      <calculatedColumnFormula>IFERROR(Generation_Entsoe_SFS_2015[[#This Row],[Renewable Hydro]]/'Capacity_Entsoe_SFS_2015'!N49*10^6,0)</calculatedColumnFormula>
    </tableColumn>
    <tableColumn id="15" xr3:uid="{00000000-0010-0000-0800-00000F000000}" name="Pumped Hydro" dataDxfId="149" dataCellStyle="Komma">
      <calculatedColumnFormula>IFERROR(Generation_Entsoe_SFS_2015[[#This Row],[Pumped Hydro]]/'Capacity_Entsoe_SFS_2015'!O49*10^6,0)</calculatedColumnFormula>
    </tableColumn>
    <tableColumn id="16" xr3:uid="{00000000-0010-0000-0800-000010000000}" name="Other sources" dataDxfId="148" dataCellStyle="Komma">
      <calculatedColumnFormula>IFERROR(Generation_Entsoe_SFS_2015[[#This Row],[Other sources]]/'Capacity_Entsoe_SFS_2015'!P49*10^6,0)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11_04_enervis">
      <a:dk1>
        <a:srgbClr val="797C7A"/>
      </a:dk1>
      <a:lt1>
        <a:srgbClr val="FFFFFF"/>
      </a:lt1>
      <a:dk2>
        <a:srgbClr val="000000"/>
      </a:dk2>
      <a:lt2>
        <a:srgbClr val="E98300"/>
      </a:lt2>
      <a:accent1>
        <a:srgbClr val="B1B3B2"/>
      </a:accent1>
      <a:accent2>
        <a:srgbClr val="57B3DE"/>
      </a:accent2>
      <a:accent3>
        <a:srgbClr val="B42038"/>
      </a:accent3>
      <a:accent4>
        <a:srgbClr val="58A618"/>
      </a:accent4>
      <a:accent5>
        <a:srgbClr val="EBD200"/>
      </a:accent5>
      <a:accent6>
        <a:srgbClr val="005AAF"/>
      </a:accent6>
      <a:hlink>
        <a:srgbClr val="E98300"/>
      </a:hlink>
      <a:folHlink>
        <a:srgbClr val="005AA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11_04_enervis">
    <a:dk1>
      <a:srgbClr val="797C7A"/>
    </a:dk1>
    <a:lt1>
      <a:srgbClr val="FFFFFF"/>
    </a:lt1>
    <a:dk2>
      <a:srgbClr val="000000"/>
    </a:dk2>
    <a:lt2>
      <a:srgbClr val="E98300"/>
    </a:lt2>
    <a:accent1>
      <a:srgbClr val="B1B3B2"/>
    </a:accent1>
    <a:accent2>
      <a:srgbClr val="57B3DE"/>
    </a:accent2>
    <a:accent3>
      <a:srgbClr val="B42038"/>
    </a:accent3>
    <a:accent4>
      <a:srgbClr val="58A618"/>
    </a:accent4>
    <a:accent5>
      <a:srgbClr val="EBD200"/>
    </a:accent5>
    <a:accent6>
      <a:srgbClr val="005AAF"/>
    </a:accent6>
    <a:hlink>
      <a:srgbClr val="E98300"/>
    </a:hlink>
    <a:folHlink>
      <a:srgbClr val="005AAF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5" Type="http://schemas.openxmlformats.org/officeDocument/2006/relationships/comments" Target="../comments2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8"/>
  </sheetPr>
  <dimension ref="A1:AF86"/>
  <sheetViews>
    <sheetView topLeftCell="D34" zoomScale="115" zoomScaleNormal="115" workbookViewId="0">
      <selection activeCell="N50" sqref="N50"/>
    </sheetView>
  </sheetViews>
  <sheetFormatPr baseColWidth="10" defaultColWidth="11.42578125" defaultRowHeight="12.75" x14ac:dyDescent="0.25"/>
  <cols>
    <col min="1" max="3" width="11.42578125" style="1"/>
    <col min="4" max="4" width="9.42578125" style="144" customWidth="1"/>
    <col min="5" max="5" width="8.5703125" style="144" customWidth="1"/>
    <col min="6" max="6" width="11" style="144" customWidth="1"/>
    <col min="7" max="7" width="13.42578125" style="144" customWidth="1"/>
    <col min="8" max="8" width="17" style="144" customWidth="1"/>
    <col min="9" max="9" width="14.42578125" style="144" customWidth="1"/>
    <col min="10" max="10" width="14.5703125" style="144" customWidth="1"/>
    <col min="11" max="11" width="10.140625" style="144" customWidth="1"/>
    <col min="12" max="12" width="11.28515625" style="144" customWidth="1"/>
    <col min="13" max="13" width="18" style="144" bestFit="1" customWidth="1"/>
    <col min="14" max="14" width="20.42578125" style="144" customWidth="1"/>
    <col min="15" max="15" width="16.85546875" style="144" customWidth="1"/>
    <col min="16" max="16" width="14.85546875" style="144" customWidth="1"/>
    <col min="17" max="17" width="10.28515625" style="144" customWidth="1"/>
    <col min="18" max="18" width="15.28515625" style="144" bestFit="1" customWidth="1"/>
    <col min="19" max="19" width="17.5703125" style="144" customWidth="1"/>
    <col min="20" max="16384" width="11.42578125" style="1"/>
  </cols>
  <sheetData>
    <row r="1" spans="1:32" x14ac:dyDescent="0.25">
      <c r="D1" s="356"/>
      <c r="E1" s="356"/>
      <c r="F1" s="356"/>
      <c r="G1" s="356"/>
      <c r="H1" s="567" t="s">
        <v>384</v>
      </c>
      <c r="I1" s="567"/>
      <c r="J1" s="567"/>
      <c r="K1" s="567"/>
      <c r="L1" s="567"/>
      <c r="M1" s="567"/>
      <c r="N1" s="567"/>
      <c r="O1" s="567"/>
      <c r="P1" s="356"/>
      <c r="Q1" s="356"/>
      <c r="R1" s="356"/>
      <c r="S1" s="356"/>
      <c r="Z1" s="500" t="s">
        <v>584</v>
      </c>
      <c r="AA1" s="501" t="s">
        <v>585</v>
      </c>
      <c r="AB1" s="501" t="s">
        <v>586</v>
      </c>
      <c r="AC1" s="501" t="s">
        <v>587</v>
      </c>
      <c r="AD1" s="502" t="s">
        <v>588</v>
      </c>
      <c r="AE1" s="501" t="s">
        <v>586</v>
      </c>
      <c r="AF1" s="501" t="s">
        <v>587</v>
      </c>
    </row>
    <row r="2" spans="1:32" ht="63.75" customHeight="1" x14ac:dyDescent="0.25">
      <c r="D2" s="402" t="s">
        <v>385</v>
      </c>
      <c r="E2" s="358" t="s">
        <v>386</v>
      </c>
      <c r="F2" s="359" t="s">
        <v>370</v>
      </c>
      <c r="G2" s="359" t="s">
        <v>371</v>
      </c>
      <c r="H2" s="359" t="s">
        <v>372</v>
      </c>
      <c r="I2" s="359" t="s">
        <v>373</v>
      </c>
      <c r="J2" s="359" t="s">
        <v>374</v>
      </c>
      <c r="K2" s="358" t="s">
        <v>387</v>
      </c>
      <c r="L2" s="359" t="s">
        <v>376</v>
      </c>
      <c r="M2" s="359" t="s">
        <v>377</v>
      </c>
      <c r="N2" s="359" t="s">
        <v>378</v>
      </c>
      <c r="O2" s="358" t="s">
        <v>388</v>
      </c>
      <c r="P2" s="359" t="s">
        <v>380</v>
      </c>
      <c r="Q2" s="358" t="s">
        <v>389</v>
      </c>
      <c r="R2" s="358" t="s">
        <v>390</v>
      </c>
      <c r="S2" s="358" t="s">
        <v>391</v>
      </c>
      <c r="Z2" s="496" t="s">
        <v>422</v>
      </c>
      <c r="AA2" s="483">
        <v>10.119999999999999</v>
      </c>
      <c r="AB2" s="497" t="s">
        <v>562</v>
      </c>
      <c r="AC2" s="485">
        <v>11471</v>
      </c>
      <c r="AD2" s="486">
        <v>17.079999999999998</v>
      </c>
      <c r="AE2" s="497" t="s">
        <v>572</v>
      </c>
      <c r="AF2" s="485">
        <v>4673</v>
      </c>
    </row>
    <row r="3" spans="1:32" x14ac:dyDescent="0.2">
      <c r="D3" s="332" t="s">
        <v>343</v>
      </c>
      <c r="E3" s="335" t="s">
        <v>343</v>
      </c>
      <c r="F3" s="334" t="s">
        <v>343</v>
      </c>
      <c r="G3" s="335" t="s">
        <v>343</v>
      </c>
      <c r="H3" s="335" t="s">
        <v>343</v>
      </c>
      <c r="I3" s="334" t="s">
        <v>343</v>
      </c>
      <c r="J3" s="335" t="s">
        <v>343</v>
      </c>
      <c r="K3" s="335" t="s">
        <v>343</v>
      </c>
      <c r="L3" s="335" t="s">
        <v>343</v>
      </c>
      <c r="M3" s="335" t="s">
        <v>343</v>
      </c>
      <c r="N3" s="335" t="s">
        <v>343</v>
      </c>
      <c r="O3" s="335" t="s">
        <v>343</v>
      </c>
      <c r="P3" s="363" t="s">
        <v>343</v>
      </c>
      <c r="Q3" s="335" t="s">
        <v>343</v>
      </c>
      <c r="R3" s="363" t="s">
        <v>343</v>
      </c>
      <c r="S3" s="336"/>
      <c r="Z3" s="496" t="s">
        <v>425</v>
      </c>
      <c r="AA3" s="483">
        <v>31.12</v>
      </c>
      <c r="AB3" s="497" t="s">
        <v>564</v>
      </c>
      <c r="AC3" s="485">
        <v>2207</v>
      </c>
      <c r="AD3" s="488">
        <v>5.08</v>
      </c>
      <c r="AE3" s="497" t="s">
        <v>565</v>
      </c>
      <c r="AF3" s="487">
        <v>833</v>
      </c>
    </row>
    <row r="4" spans="1:32" x14ac:dyDescent="0.25">
      <c r="A4" s="366" t="s">
        <v>269</v>
      </c>
      <c r="B4" s="366">
        <v>2014</v>
      </c>
      <c r="C4" s="366" t="s">
        <v>205</v>
      </c>
      <c r="D4" s="403"/>
      <c r="E4" s="404">
        <v>7847</v>
      </c>
      <c r="F4" s="370"/>
      <c r="G4" s="404">
        <v>1171</v>
      </c>
      <c r="H4" s="404">
        <v>5119</v>
      </c>
      <c r="I4" s="405">
        <v>360</v>
      </c>
      <c r="J4" s="339">
        <v>497</v>
      </c>
      <c r="K4" s="404">
        <v>2305</v>
      </c>
      <c r="L4" s="404">
        <v>1555</v>
      </c>
      <c r="M4" s="339">
        <v>324</v>
      </c>
      <c r="N4" s="339">
        <v>426</v>
      </c>
      <c r="O4" s="404">
        <v>13427</v>
      </c>
      <c r="P4" s="404">
        <v>13427</v>
      </c>
      <c r="Q4" s="339">
        <v>244</v>
      </c>
      <c r="R4" s="406">
        <v>23823</v>
      </c>
      <c r="S4" s="339">
        <v>100</v>
      </c>
      <c r="Z4" s="499" t="s">
        <v>101</v>
      </c>
      <c r="AA4" s="489">
        <v>3.12</v>
      </c>
      <c r="AB4" s="497" t="s">
        <v>564</v>
      </c>
      <c r="AC4" s="485">
        <v>13110</v>
      </c>
      <c r="AD4" s="486">
        <v>27.07</v>
      </c>
      <c r="AE4" s="497" t="s">
        <v>574</v>
      </c>
      <c r="AF4" s="485">
        <v>6623</v>
      </c>
    </row>
    <row r="5" spans="1:32" x14ac:dyDescent="0.25">
      <c r="A5" s="376" t="s">
        <v>270</v>
      </c>
      <c r="B5" s="366">
        <v>2014</v>
      </c>
      <c r="C5" s="366" t="s">
        <v>205</v>
      </c>
      <c r="D5" s="332"/>
      <c r="E5" s="407">
        <v>1578</v>
      </c>
      <c r="F5" s="408">
        <v>1578</v>
      </c>
      <c r="G5" s="335"/>
      <c r="H5" s="335"/>
      <c r="I5" s="334"/>
      <c r="J5" s="335"/>
      <c r="K5" s="335"/>
      <c r="L5" s="335"/>
      <c r="M5" s="335"/>
      <c r="N5" s="335"/>
      <c r="O5" s="407">
        <v>2060</v>
      </c>
      <c r="P5" s="407">
        <v>1620</v>
      </c>
      <c r="Q5" s="335"/>
      <c r="R5" s="409">
        <v>3638</v>
      </c>
      <c r="S5" s="341">
        <v>100</v>
      </c>
      <c r="Z5" s="496" t="s">
        <v>429</v>
      </c>
      <c r="AA5" s="483">
        <v>31.12</v>
      </c>
      <c r="AB5" s="497" t="s">
        <v>589</v>
      </c>
      <c r="AC5" s="485">
        <v>7106</v>
      </c>
      <c r="AD5" s="486">
        <v>22.06</v>
      </c>
      <c r="AE5" s="497" t="s">
        <v>565</v>
      </c>
      <c r="AF5" s="485">
        <v>2656</v>
      </c>
    </row>
    <row r="6" spans="1:32" x14ac:dyDescent="0.25">
      <c r="A6" s="366" t="s">
        <v>272</v>
      </c>
      <c r="B6" s="366">
        <v>2014</v>
      </c>
      <c r="C6" s="366" t="s">
        <v>205</v>
      </c>
      <c r="D6" s="410">
        <v>5926</v>
      </c>
      <c r="E6" s="404">
        <v>6639</v>
      </c>
      <c r="F6" s="370"/>
      <c r="G6" s="339">
        <v>410</v>
      </c>
      <c r="H6" s="404">
        <v>6019</v>
      </c>
      <c r="I6" s="405">
        <v>210</v>
      </c>
      <c r="J6" s="367"/>
      <c r="K6" s="404">
        <v>6115</v>
      </c>
      <c r="L6" s="404">
        <v>1939</v>
      </c>
      <c r="M6" s="404">
        <v>2986</v>
      </c>
      <c r="N6" s="404">
        <v>1190</v>
      </c>
      <c r="O6" s="404">
        <v>1425</v>
      </c>
      <c r="P6" s="339">
        <v>117</v>
      </c>
      <c r="Q6" s="367"/>
      <c r="R6" s="406">
        <v>20105</v>
      </c>
      <c r="S6" s="339">
        <v>100</v>
      </c>
      <c r="Z6" s="496" t="s">
        <v>431</v>
      </c>
      <c r="AA6" s="489">
        <v>7.02</v>
      </c>
      <c r="AB6" s="497" t="s">
        <v>569</v>
      </c>
      <c r="AC6" s="485">
        <v>7721</v>
      </c>
      <c r="AD6" s="486">
        <v>26.07</v>
      </c>
      <c r="AE6" s="497" t="s">
        <v>565</v>
      </c>
      <c r="AF6" s="485">
        <v>2843</v>
      </c>
    </row>
    <row r="7" spans="1:32" x14ac:dyDescent="0.25">
      <c r="A7" s="376" t="s">
        <v>273</v>
      </c>
      <c r="B7" s="366">
        <v>2014</v>
      </c>
      <c r="C7" s="366" t="s">
        <v>205</v>
      </c>
      <c r="D7" s="411">
        <v>2000</v>
      </c>
      <c r="E7" s="407">
        <v>6585</v>
      </c>
      <c r="F7" s="408">
        <v>4199</v>
      </c>
      <c r="G7" s="407">
        <v>1548</v>
      </c>
      <c r="H7" s="341">
        <v>838</v>
      </c>
      <c r="I7" s="334"/>
      <c r="J7" s="423"/>
      <c r="K7" s="407">
        <v>1744</v>
      </c>
      <c r="L7" s="341">
        <v>701</v>
      </c>
      <c r="M7" s="407">
        <v>1039</v>
      </c>
      <c r="N7" s="341">
        <v>47</v>
      </c>
      <c r="O7" s="407">
        <v>3191</v>
      </c>
      <c r="P7" s="407">
        <v>2327</v>
      </c>
      <c r="Q7" s="335"/>
      <c r="R7" s="409">
        <v>13520</v>
      </c>
      <c r="S7" s="341">
        <v>100</v>
      </c>
      <c r="Z7" s="496" t="s">
        <v>434</v>
      </c>
      <c r="AA7" s="483">
        <v>25.08</v>
      </c>
      <c r="AB7" s="497" t="s">
        <v>571</v>
      </c>
      <c r="AC7" s="487">
        <v>871</v>
      </c>
      <c r="AD7" s="486">
        <v>20.100000000000001</v>
      </c>
      <c r="AE7" s="497" t="s">
        <v>563</v>
      </c>
      <c r="AF7" s="487">
        <v>248</v>
      </c>
    </row>
    <row r="8" spans="1:32" x14ac:dyDescent="0.25">
      <c r="A8" s="366" t="s">
        <v>275</v>
      </c>
      <c r="B8" s="366">
        <v>2014</v>
      </c>
      <c r="C8" s="366" t="s">
        <v>205</v>
      </c>
      <c r="D8" s="410">
        <v>3308</v>
      </c>
      <c r="E8" s="339">
        <v>426</v>
      </c>
      <c r="F8" s="370"/>
      <c r="G8" s="367"/>
      <c r="H8" s="367"/>
      <c r="I8" s="370"/>
      <c r="J8" s="367"/>
      <c r="K8" s="339">
        <v>775</v>
      </c>
      <c r="L8" s="339">
        <v>49</v>
      </c>
      <c r="M8" s="339">
        <v>437</v>
      </c>
      <c r="N8" s="339">
        <v>289</v>
      </c>
      <c r="O8" s="404">
        <v>13805</v>
      </c>
      <c r="P8" s="404">
        <v>12422</v>
      </c>
      <c r="Q8" s="339">
        <v>243</v>
      </c>
      <c r="R8" s="406">
        <v>18557</v>
      </c>
      <c r="S8" s="339">
        <v>100</v>
      </c>
      <c r="Z8" s="496" t="s">
        <v>436</v>
      </c>
      <c r="AA8" s="483">
        <v>10.119999999999999</v>
      </c>
      <c r="AB8" s="497" t="s">
        <v>562</v>
      </c>
      <c r="AC8" s="485">
        <v>10058</v>
      </c>
      <c r="AD8" s="486">
        <v>10.08</v>
      </c>
      <c r="AE8" s="497" t="s">
        <v>565</v>
      </c>
      <c r="AF8" s="485">
        <v>4290</v>
      </c>
    </row>
    <row r="9" spans="1:32" x14ac:dyDescent="0.25">
      <c r="A9" s="376" t="s">
        <v>277</v>
      </c>
      <c r="B9" s="366">
        <v>2014</v>
      </c>
      <c r="C9" s="366" t="s">
        <v>205</v>
      </c>
      <c r="D9" s="332"/>
      <c r="E9" s="407">
        <v>1478</v>
      </c>
      <c r="F9" s="334"/>
      <c r="G9" s="335"/>
      <c r="H9" s="335"/>
      <c r="I9" s="408">
        <v>1478</v>
      </c>
      <c r="J9" s="335"/>
      <c r="K9" s="341">
        <v>144</v>
      </c>
      <c r="L9" s="341">
        <v>144</v>
      </c>
      <c r="M9" s="335"/>
      <c r="N9" s="335"/>
      <c r="O9" s="335"/>
      <c r="P9" s="335"/>
      <c r="Q9" s="335"/>
      <c r="R9" s="409">
        <v>1622</v>
      </c>
      <c r="S9" s="341">
        <v>96</v>
      </c>
      <c r="Z9" s="496" t="s">
        <v>439</v>
      </c>
      <c r="AA9" s="489">
        <v>3.12</v>
      </c>
      <c r="AB9" s="497" t="s">
        <v>564</v>
      </c>
      <c r="AC9" s="485">
        <v>81738</v>
      </c>
      <c r="AD9" s="486">
        <v>21.04</v>
      </c>
      <c r="AE9" s="497" t="s">
        <v>572</v>
      </c>
      <c r="AF9" s="485">
        <v>36709</v>
      </c>
    </row>
    <row r="10" spans="1:32" x14ac:dyDescent="0.25">
      <c r="A10" s="366" t="s">
        <v>278</v>
      </c>
      <c r="B10" s="366">
        <v>2014</v>
      </c>
      <c r="C10" s="366" t="s">
        <v>205</v>
      </c>
      <c r="D10" s="410">
        <v>4040</v>
      </c>
      <c r="E10" s="404">
        <v>12054</v>
      </c>
      <c r="F10" s="370"/>
      <c r="G10" s="367"/>
      <c r="H10" s="404">
        <v>2023</v>
      </c>
      <c r="I10" s="370"/>
      <c r="J10" s="404">
        <v>10031</v>
      </c>
      <c r="K10" s="404">
        <v>2339</v>
      </c>
      <c r="L10" s="339">
        <v>278</v>
      </c>
      <c r="M10" s="404">
        <v>2061</v>
      </c>
      <c r="N10" s="367"/>
      <c r="O10" s="404">
        <v>2261</v>
      </c>
      <c r="P10" s="404">
        <v>1090</v>
      </c>
      <c r="Q10" s="367"/>
      <c r="R10" s="406">
        <v>20694</v>
      </c>
      <c r="S10" s="339">
        <v>100</v>
      </c>
      <c r="Z10" s="496" t="s">
        <v>441</v>
      </c>
      <c r="AA10" s="483">
        <v>30.01</v>
      </c>
      <c r="AB10" s="497" t="s">
        <v>564</v>
      </c>
      <c r="AC10" s="485">
        <v>6002</v>
      </c>
      <c r="AD10" s="488">
        <v>8.06</v>
      </c>
      <c r="AE10" s="497" t="s">
        <v>565</v>
      </c>
      <c r="AF10" s="485">
        <v>2296</v>
      </c>
    </row>
    <row r="11" spans="1:32" x14ac:dyDescent="0.25">
      <c r="A11" s="376" t="s">
        <v>279</v>
      </c>
      <c r="B11" s="366">
        <v>2014</v>
      </c>
      <c r="C11" s="366" t="s">
        <v>205</v>
      </c>
      <c r="D11" s="411">
        <v>12068</v>
      </c>
      <c r="E11" s="407">
        <v>85267</v>
      </c>
      <c r="F11" s="408">
        <v>21179</v>
      </c>
      <c r="G11" s="407">
        <v>27175</v>
      </c>
      <c r="H11" s="407">
        <v>28047</v>
      </c>
      <c r="I11" s="408">
        <v>4143</v>
      </c>
      <c r="J11" s="407">
        <v>4724</v>
      </c>
      <c r="K11" s="407">
        <v>81487</v>
      </c>
      <c r="L11" s="407">
        <v>36561</v>
      </c>
      <c r="M11" s="407">
        <v>37981</v>
      </c>
      <c r="N11" s="407">
        <v>6359</v>
      </c>
      <c r="O11" s="407">
        <v>10662</v>
      </c>
      <c r="P11" s="407">
        <v>4312</v>
      </c>
      <c r="Q11" s="335"/>
      <c r="R11" s="409">
        <v>189484</v>
      </c>
      <c r="S11" s="341">
        <v>100</v>
      </c>
      <c r="Z11" s="496" t="s">
        <v>442</v>
      </c>
      <c r="AA11" s="483">
        <v>30.01</v>
      </c>
      <c r="AB11" s="497" t="s">
        <v>562</v>
      </c>
      <c r="AC11" s="485">
        <v>1490</v>
      </c>
      <c r="AD11" s="486">
        <v>20.07</v>
      </c>
      <c r="AE11" s="497" t="s">
        <v>566</v>
      </c>
      <c r="AF11" s="487">
        <v>492</v>
      </c>
    </row>
    <row r="12" spans="1:32" x14ac:dyDescent="0.25">
      <c r="A12" s="366" t="s">
        <v>281</v>
      </c>
      <c r="B12" s="366">
        <v>2014</v>
      </c>
      <c r="C12" s="366" t="s">
        <v>205</v>
      </c>
      <c r="D12" s="403"/>
      <c r="E12" s="404">
        <v>8913</v>
      </c>
      <c r="F12" s="370"/>
      <c r="G12" s="404">
        <v>4923</v>
      </c>
      <c r="H12" s="404">
        <v>3087</v>
      </c>
      <c r="I12" s="405">
        <v>859</v>
      </c>
      <c r="J12" s="339">
        <v>44</v>
      </c>
      <c r="K12" s="404">
        <v>6111</v>
      </c>
      <c r="L12" s="404">
        <v>4897</v>
      </c>
      <c r="M12" s="339">
        <v>606</v>
      </c>
      <c r="N12" s="339">
        <v>608</v>
      </c>
      <c r="O12" s="339">
        <v>9</v>
      </c>
      <c r="P12" s="339">
        <v>9</v>
      </c>
      <c r="Q12" s="367"/>
      <c r="R12" s="406">
        <v>15033</v>
      </c>
      <c r="S12" s="339">
        <v>100</v>
      </c>
      <c r="Z12" s="496" t="s">
        <v>444</v>
      </c>
      <c r="AA12" s="489">
        <v>4.0199999999999996</v>
      </c>
      <c r="AB12" s="497" t="s">
        <v>573</v>
      </c>
      <c r="AC12" s="485">
        <v>38666</v>
      </c>
      <c r="AD12" s="486">
        <v>20.04</v>
      </c>
      <c r="AE12" s="497" t="s">
        <v>566</v>
      </c>
      <c r="AF12" s="485">
        <v>18176</v>
      </c>
    </row>
    <row r="13" spans="1:32" x14ac:dyDescent="0.25">
      <c r="A13" s="376" t="s">
        <v>282</v>
      </c>
      <c r="B13" s="366">
        <v>2014</v>
      </c>
      <c r="C13" s="366" t="s">
        <v>205</v>
      </c>
      <c r="D13" s="332"/>
      <c r="E13" s="407">
        <v>2300</v>
      </c>
      <c r="F13" s="334"/>
      <c r="G13" s="335"/>
      <c r="H13" s="341">
        <v>241</v>
      </c>
      <c r="I13" s="412">
        <v>12</v>
      </c>
      <c r="J13" s="341">
        <v>250</v>
      </c>
      <c r="K13" s="341">
        <v>403</v>
      </c>
      <c r="L13" s="341">
        <v>301</v>
      </c>
      <c r="M13" s="335"/>
      <c r="N13" s="341">
        <v>101</v>
      </c>
      <c r="O13" s="341">
        <v>8</v>
      </c>
      <c r="P13" s="413">
        <v>8</v>
      </c>
      <c r="Q13" s="335"/>
      <c r="R13" s="409">
        <v>2711</v>
      </c>
      <c r="S13" s="341">
        <v>100</v>
      </c>
      <c r="Z13" s="496" t="s">
        <v>446</v>
      </c>
      <c r="AA13" s="483">
        <v>20.010000000000002</v>
      </c>
      <c r="AB13" s="497" t="s">
        <v>567</v>
      </c>
      <c r="AC13" s="485">
        <v>14367</v>
      </c>
      <c r="AD13" s="486">
        <v>22.06</v>
      </c>
      <c r="AE13" s="497" t="s">
        <v>566</v>
      </c>
      <c r="AF13" s="485">
        <v>5901</v>
      </c>
    </row>
    <row r="14" spans="1:32" x14ac:dyDescent="0.25">
      <c r="A14" s="366" t="s">
        <v>283</v>
      </c>
      <c r="B14" s="366">
        <v>2014</v>
      </c>
      <c r="C14" s="366" t="s">
        <v>205</v>
      </c>
      <c r="D14" s="410">
        <v>7866</v>
      </c>
      <c r="E14" s="404">
        <v>48109</v>
      </c>
      <c r="F14" s="414">
        <v>1102</v>
      </c>
      <c r="G14" s="404">
        <v>10468</v>
      </c>
      <c r="H14" s="404">
        <v>33388</v>
      </c>
      <c r="I14" s="414">
        <v>3150</v>
      </c>
      <c r="J14" s="367"/>
      <c r="K14" s="404">
        <v>30506</v>
      </c>
      <c r="L14" s="404">
        <v>22772</v>
      </c>
      <c r="M14" s="404">
        <v>6902</v>
      </c>
      <c r="N14" s="339">
        <v>716</v>
      </c>
      <c r="O14" s="404">
        <v>19396</v>
      </c>
      <c r="P14" s="404">
        <v>16945</v>
      </c>
      <c r="Q14" s="339">
        <v>432</v>
      </c>
      <c r="R14" s="406">
        <v>106309</v>
      </c>
      <c r="S14" s="339">
        <v>100</v>
      </c>
      <c r="Z14" s="496" t="s">
        <v>447</v>
      </c>
      <c r="AA14" s="489">
        <v>9.1199999999999992</v>
      </c>
      <c r="AB14" s="497" t="s">
        <v>589</v>
      </c>
      <c r="AC14" s="485">
        <v>82538</v>
      </c>
      <c r="AD14" s="486">
        <v>17.079999999999998</v>
      </c>
      <c r="AE14" s="497" t="s">
        <v>574</v>
      </c>
      <c r="AF14" s="485">
        <v>29493</v>
      </c>
    </row>
    <row r="15" spans="1:32" x14ac:dyDescent="0.25">
      <c r="A15" s="376" t="s">
        <v>284</v>
      </c>
      <c r="B15" s="366">
        <v>2014</v>
      </c>
      <c r="C15" s="366" t="s">
        <v>205</v>
      </c>
      <c r="D15" s="411">
        <v>2752</v>
      </c>
      <c r="E15" s="407">
        <v>8703</v>
      </c>
      <c r="F15" s="334"/>
      <c r="G15" s="407">
        <v>3445</v>
      </c>
      <c r="H15" s="407">
        <v>1824</v>
      </c>
      <c r="I15" s="408">
        <v>1738</v>
      </c>
      <c r="J15" s="407">
        <v>1696</v>
      </c>
      <c r="K15" s="407">
        <v>2589</v>
      </c>
      <c r="L15" s="341">
        <v>504</v>
      </c>
      <c r="M15" s="335"/>
      <c r="N15" s="407">
        <v>2085</v>
      </c>
      <c r="O15" s="407">
        <v>3234</v>
      </c>
      <c r="P15" s="407">
        <v>3234</v>
      </c>
      <c r="Q15" s="341">
        <v>175</v>
      </c>
      <c r="R15" s="409">
        <v>17453</v>
      </c>
      <c r="S15" s="341">
        <v>100</v>
      </c>
      <c r="Z15" s="499" t="s">
        <v>110</v>
      </c>
      <c r="AA15" s="489">
        <v>6.02</v>
      </c>
      <c r="AB15" s="497" t="s">
        <v>589</v>
      </c>
      <c r="AC15" s="485">
        <v>58023</v>
      </c>
      <c r="AD15" s="486">
        <v>17.079999999999998</v>
      </c>
      <c r="AE15" s="497" t="s">
        <v>574</v>
      </c>
      <c r="AF15" s="485">
        <v>19955</v>
      </c>
    </row>
    <row r="16" spans="1:32" x14ac:dyDescent="0.25">
      <c r="A16" s="366" t="s">
        <v>285</v>
      </c>
      <c r="B16" s="366">
        <v>2014</v>
      </c>
      <c r="C16" s="366" t="s">
        <v>205</v>
      </c>
      <c r="D16" s="410">
        <v>63130</v>
      </c>
      <c r="E16" s="404">
        <v>24411</v>
      </c>
      <c r="F16" s="370"/>
      <c r="G16" s="404">
        <v>5119</v>
      </c>
      <c r="H16" s="404">
        <v>10409</v>
      </c>
      <c r="I16" s="414">
        <v>8883</v>
      </c>
      <c r="J16" s="367"/>
      <c r="K16" s="404">
        <v>15991</v>
      </c>
      <c r="L16" s="404">
        <v>9120</v>
      </c>
      <c r="M16" s="404">
        <v>5292</v>
      </c>
      <c r="N16" s="404">
        <v>1254</v>
      </c>
      <c r="O16" s="404">
        <v>25411</v>
      </c>
      <c r="P16" s="404">
        <v>23704</v>
      </c>
      <c r="Q16" s="367"/>
      <c r="R16" s="406">
        <v>128943</v>
      </c>
      <c r="S16" s="339">
        <v>100</v>
      </c>
      <c r="Z16" s="496" t="s">
        <v>448</v>
      </c>
      <c r="AA16" s="483">
        <v>31.12</v>
      </c>
      <c r="AB16" s="497" t="s">
        <v>564</v>
      </c>
      <c r="AC16" s="485">
        <v>9092</v>
      </c>
      <c r="AD16" s="486">
        <v>20.04</v>
      </c>
      <c r="AE16" s="497" t="s">
        <v>568</v>
      </c>
      <c r="AF16" s="485">
        <v>2343</v>
      </c>
    </row>
    <row r="17" spans="1:32" x14ac:dyDescent="0.25">
      <c r="A17" s="376" t="s">
        <v>287</v>
      </c>
      <c r="B17" s="366">
        <v>2014</v>
      </c>
      <c r="C17" s="366" t="s">
        <v>205</v>
      </c>
      <c r="D17" s="411">
        <v>9749</v>
      </c>
      <c r="E17" s="407">
        <v>53287</v>
      </c>
      <c r="F17" s="334"/>
      <c r="G17" s="407">
        <v>20524</v>
      </c>
      <c r="H17" s="407">
        <v>30485</v>
      </c>
      <c r="I17" s="408">
        <v>2278</v>
      </c>
      <c r="J17" s="335"/>
      <c r="K17" s="407">
        <v>7926</v>
      </c>
      <c r="L17" s="407">
        <v>6528</v>
      </c>
      <c r="M17" s="335"/>
      <c r="N17" s="407">
        <v>1398</v>
      </c>
      <c r="O17" s="407">
        <v>3969</v>
      </c>
      <c r="P17" s="407">
        <v>1070</v>
      </c>
      <c r="Q17" s="335"/>
      <c r="R17" s="409">
        <v>74931</v>
      </c>
      <c r="S17" s="341">
        <v>89</v>
      </c>
      <c r="Z17" s="496" t="s">
        <v>450</v>
      </c>
      <c r="AA17" s="483">
        <v>31.12</v>
      </c>
      <c r="AB17" s="497" t="s">
        <v>564</v>
      </c>
      <c r="AC17" s="485">
        <v>2974</v>
      </c>
      <c r="AD17" s="486">
        <v>11.05</v>
      </c>
      <c r="AE17" s="497" t="s">
        <v>565</v>
      </c>
      <c r="AF17" s="485">
        <v>1166</v>
      </c>
    </row>
    <row r="18" spans="1:32" x14ac:dyDescent="0.25">
      <c r="A18" s="366" t="s">
        <v>289</v>
      </c>
      <c r="B18" s="366">
        <v>2014</v>
      </c>
      <c r="C18" s="366" t="s">
        <v>205</v>
      </c>
      <c r="D18" s="403"/>
      <c r="E18" s="404">
        <v>10056</v>
      </c>
      <c r="F18" s="414">
        <v>4456</v>
      </c>
      <c r="G18" s="367"/>
      <c r="H18" s="404">
        <v>4902</v>
      </c>
      <c r="I18" s="405">
        <v>698</v>
      </c>
      <c r="J18" s="367"/>
      <c r="K18" s="404">
        <v>4144</v>
      </c>
      <c r="L18" s="404">
        <v>1662</v>
      </c>
      <c r="M18" s="404">
        <v>2436</v>
      </c>
      <c r="N18" s="339">
        <v>47</v>
      </c>
      <c r="O18" s="404">
        <v>3237</v>
      </c>
      <c r="P18" s="339">
        <v>220</v>
      </c>
      <c r="Q18" s="339">
        <v>99</v>
      </c>
      <c r="R18" s="406">
        <v>17536</v>
      </c>
      <c r="S18" s="339">
        <v>100</v>
      </c>
      <c r="Z18" s="496" t="s">
        <v>451</v>
      </c>
      <c r="AA18" s="489">
        <v>1.1200000000000001</v>
      </c>
      <c r="AB18" s="497" t="s">
        <v>562</v>
      </c>
      <c r="AC18" s="485">
        <v>6002</v>
      </c>
      <c r="AD18" s="486">
        <v>21.08</v>
      </c>
      <c r="AE18" s="497" t="s">
        <v>572</v>
      </c>
      <c r="AF18" s="485">
        <v>2822</v>
      </c>
    </row>
    <row r="19" spans="1:32" x14ac:dyDescent="0.25">
      <c r="A19" s="376" t="s">
        <v>291</v>
      </c>
      <c r="B19" s="366">
        <v>2014</v>
      </c>
      <c r="C19" s="366" t="s">
        <v>205</v>
      </c>
      <c r="D19" s="332"/>
      <c r="E19" s="407">
        <v>1770</v>
      </c>
      <c r="F19" s="334"/>
      <c r="G19" s="341">
        <v>325</v>
      </c>
      <c r="H19" s="341">
        <v>496</v>
      </c>
      <c r="I19" s="412">
        <v>320</v>
      </c>
      <c r="J19" s="341">
        <v>629</v>
      </c>
      <c r="K19" s="341">
        <v>390</v>
      </c>
      <c r="L19" s="341">
        <v>340</v>
      </c>
      <c r="M19" s="341">
        <v>30</v>
      </c>
      <c r="N19" s="341">
        <v>20</v>
      </c>
      <c r="O19" s="407">
        <v>2112</v>
      </c>
      <c r="P19" s="407">
        <v>2112</v>
      </c>
      <c r="Q19" s="335"/>
      <c r="R19" s="409">
        <v>4272</v>
      </c>
      <c r="S19" s="341">
        <v>100</v>
      </c>
      <c r="Z19" s="496" t="s">
        <v>453</v>
      </c>
      <c r="AA19" s="483">
        <v>16.12</v>
      </c>
      <c r="AB19" s="497" t="s">
        <v>564</v>
      </c>
      <c r="AC19" s="485">
        <v>4572</v>
      </c>
      <c r="AD19" s="488">
        <v>6.07</v>
      </c>
      <c r="AE19" s="497" t="s">
        <v>574</v>
      </c>
      <c r="AF19" s="485">
        <v>1684</v>
      </c>
    </row>
    <row r="20" spans="1:32" x14ac:dyDescent="0.25">
      <c r="A20" s="366" t="s">
        <v>292</v>
      </c>
      <c r="B20" s="366">
        <v>2014</v>
      </c>
      <c r="C20" s="366" t="s">
        <v>205</v>
      </c>
      <c r="D20" s="410">
        <v>1890</v>
      </c>
      <c r="E20" s="404">
        <v>6095</v>
      </c>
      <c r="F20" s="405">
        <v>731</v>
      </c>
      <c r="G20" s="339">
        <v>168</v>
      </c>
      <c r="H20" s="404">
        <v>4786</v>
      </c>
      <c r="I20" s="405">
        <v>410</v>
      </c>
      <c r="J20" s="367"/>
      <c r="K20" s="339">
        <v>532</v>
      </c>
      <c r="L20" s="339">
        <v>329</v>
      </c>
      <c r="M20" s="339">
        <v>6</v>
      </c>
      <c r="N20" s="339">
        <v>197</v>
      </c>
      <c r="O20" s="339">
        <v>57</v>
      </c>
      <c r="P20" s="339">
        <v>57</v>
      </c>
      <c r="Q20" s="367"/>
      <c r="R20" s="406">
        <v>8574</v>
      </c>
      <c r="S20" s="339">
        <v>100</v>
      </c>
      <c r="Z20" s="496" t="s">
        <v>454</v>
      </c>
      <c r="AA20" s="489">
        <v>4.12</v>
      </c>
      <c r="AB20" s="497" t="s">
        <v>589</v>
      </c>
      <c r="AC20" s="485">
        <v>2278</v>
      </c>
      <c r="AD20" s="486">
        <v>14.05</v>
      </c>
      <c r="AE20" s="497" t="s">
        <v>569</v>
      </c>
      <c r="AF20" s="485">
        <v>1337</v>
      </c>
    </row>
    <row r="21" spans="1:32" x14ac:dyDescent="0.25">
      <c r="A21" s="376" t="s">
        <v>293</v>
      </c>
      <c r="B21" s="366">
        <v>2014</v>
      </c>
      <c r="C21" s="366" t="s">
        <v>205</v>
      </c>
      <c r="D21" s="332"/>
      <c r="E21" s="407">
        <v>6241</v>
      </c>
      <c r="F21" s="412">
        <v>346</v>
      </c>
      <c r="G21" s="341">
        <v>855</v>
      </c>
      <c r="H21" s="407">
        <v>3756</v>
      </c>
      <c r="I21" s="408">
        <v>1128</v>
      </c>
      <c r="J21" s="341">
        <v>156</v>
      </c>
      <c r="K21" s="407">
        <v>2220</v>
      </c>
      <c r="L21" s="407">
        <v>2165</v>
      </c>
      <c r="M21" s="335"/>
      <c r="N21" s="341">
        <v>55</v>
      </c>
      <c r="O21" s="341">
        <v>530</v>
      </c>
      <c r="P21" s="341">
        <v>238</v>
      </c>
      <c r="Q21" s="341">
        <v>169</v>
      </c>
      <c r="R21" s="409">
        <v>9160</v>
      </c>
      <c r="S21" s="341">
        <v>100</v>
      </c>
      <c r="Z21" s="496" t="s">
        <v>455</v>
      </c>
      <c r="AA21" s="483">
        <v>18.07</v>
      </c>
      <c r="AB21" s="497" t="s">
        <v>569</v>
      </c>
      <c r="AC21" s="485">
        <v>51587</v>
      </c>
      <c r="AD21" s="486">
        <v>26.12</v>
      </c>
      <c r="AE21" s="497" t="s">
        <v>566</v>
      </c>
      <c r="AF21" s="485">
        <v>18738</v>
      </c>
    </row>
    <row r="22" spans="1:32" x14ac:dyDescent="0.25">
      <c r="A22" s="366" t="s">
        <v>294</v>
      </c>
      <c r="B22" s="366">
        <v>2014</v>
      </c>
      <c r="C22" s="366" t="s">
        <v>205</v>
      </c>
      <c r="D22" s="403"/>
      <c r="E22" s="339">
        <v>63</v>
      </c>
      <c r="F22" s="370"/>
      <c r="G22" s="367"/>
      <c r="H22" s="367"/>
      <c r="I22" s="405">
        <v>63</v>
      </c>
      <c r="J22" s="367"/>
      <c r="K22" s="339">
        <v>665</v>
      </c>
      <c r="L22" s="339">
        <v>2</v>
      </c>
      <c r="M22" s="367"/>
      <c r="N22" s="367"/>
      <c r="O22" s="404">
        <v>1860</v>
      </c>
      <c r="P22" s="404">
        <v>1860</v>
      </c>
      <c r="Q22" s="367"/>
      <c r="R22" s="406">
        <v>2588</v>
      </c>
      <c r="S22" s="339">
        <v>100</v>
      </c>
      <c r="Z22" s="496" t="s">
        <v>456</v>
      </c>
      <c r="AA22" s="483">
        <v>23.01</v>
      </c>
      <c r="AB22" s="497" t="s">
        <v>570</v>
      </c>
      <c r="AC22" s="485">
        <v>1835</v>
      </c>
      <c r="AD22" s="488">
        <v>6.07</v>
      </c>
      <c r="AE22" s="497" t="s">
        <v>566</v>
      </c>
      <c r="AF22" s="487">
        <v>755</v>
      </c>
    </row>
    <row r="23" spans="1:32" x14ac:dyDescent="0.25">
      <c r="A23" s="376" t="s">
        <v>295</v>
      </c>
      <c r="B23" s="366">
        <v>2014</v>
      </c>
      <c r="C23" s="366" t="s">
        <v>205</v>
      </c>
      <c r="D23" s="332"/>
      <c r="E23" s="407">
        <v>71254</v>
      </c>
      <c r="F23" s="334"/>
      <c r="G23" s="407">
        <v>6393</v>
      </c>
      <c r="H23" s="407">
        <v>35750</v>
      </c>
      <c r="I23" s="408">
        <v>15780</v>
      </c>
      <c r="J23" s="407">
        <v>13331</v>
      </c>
      <c r="K23" s="407">
        <v>31688</v>
      </c>
      <c r="L23" s="407">
        <v>8542</v>
      </c>
      <c r="M23" s="407">
        <v>18620</v>
      </c>
      <c r="N23" s="407">
        <v>4256</v>
      </c>
      <c r="O23" s="407">
        <v>22009</v>
      </c>
      <c r="P23" s="335"/>
      <c r="Q23" s="335"/>
      <c r="R23" s="409">
        <v>124951</v>
      </c>
      <c r="S23" s="341">
        <v>100</v>
      </c>
      <c r="Z23" s="496" t="s">
        <v>457</v>
      </c>
      <c r="AA23" s="483">
        <v>13.12</v>
      </c>
      <c r="AB23" s="497" t="s">
        <v>564</v>
      </c>
      <c r="AC23" s="487">
        <v>878</v>
      </c>
      <c r="AD23" s="486">
        <v>28.03</v>
      </c>
      <c r="AE23" s="497" t="s">
        <v>580</v>
      </c>
      <c r="AF23" s="487">
        <v>368</v>
      </c>
    </row>
    <row r="24" spans="1:32" x14ac:dyDescent="0.25">
      <c r="A24" s="366" t="s">
        <v>296</v>
      </c>
      <c r="B24" s="366">
        <v>2014</v>
      </c>
      <c r="C24" s="366" t="s">
        <v>205</v>
      </c>
      <c r="D24" s="403"/>
      <c r="E24" s="404">
        <v>2620</v>
      </c>
      <c r="F24" s="370"/>
      <c r="G24" s="367"/>
      <c r="H24" s="339">
        <v>579</v>
      </c>
      <c r="I24" s="370"/>
      <c r="J24" s="404">
        <v>2041</v>
      </c>
      <c r="K24" s="339">
        <v>435</v>
      </c>
      <c r="L24" s="339">
        <v>288</v>
      </c>
      <c r="M24" s="339">
        <v>69</v>
      </c>
      <c r="N24" s="339">
        <v>78</v>
      </c>
      <c r="O24" s="404">
        <v>1026</v>
      </c>
      <c r="P24" s="339">
        <v>126</v>
      </c>
      <c r="Q24" s="339">
        <v>10</v>
      </c>
      <c r="R24" s="406">
        <v>4091</v>
      </c>
      <c r="S24" s="339">
        <v>100</v>
      </c>
      <c r="Z24" s="496" t="s">
        <v>458</v>
      </c>
      <c r="AA24" s="483">
        <v>30.01</v>
      </c>
      <c r="AB24" s="497" t="s">
        <v>562</v>
      </c>
      <c r="AC24" s="485">
        <v>1331</v>
      </c>
      <c r="AD24" s="486">
        <v>24.06</v>
      </c>
      <c r="AE24" s="497" t="s">
        <v>572</v>
      </c>
      <c r="AF24" s="487">
        <v>453</v>
      </c>
    </row>
    <row r="25" spans="1:32" x14ac:dyDescent="0.25">
      <c r="A25" s="376" t="s">
        <v>297</v>
      </c>
      <c r="B25" s="366">
        <v>2014</v>
      </c>
      <c r="C25" s="366" t="s">
        <v>205</v>
      </c>
      <c r="D25" s="332"/>
      <c r="E25" s="341">
        <v>495</v>
      </c>
      <c r="F25" s="334"/>
      <c r="G25" s="335"/>
      <c r="H25" s="341">
        <v>495</v>
      </c>
      <c r="I25" s="334"/>
      <c r="J25" s="335"/>
      <c r="K25" s="341">
        <v>177</v>
      </c>
      <c r="L25" s="341">
        <v>57</v>
      </c>
      <c r="M25" s="341">
        <v>109</v>
      </c>
      <c r="N25" s="341">
        <v>11</v>
      </c>
      <c r="O25" s="407">
        <v>1334</v>
      </c>
      <c r="P25" s="341">
        <v>38</v>
      </c>
      <c r="Q25" s="341">
        <v>21</v>
      </c>
      <c r="R25" s="409">
        <v>2027</v>
      </c>
      <c r="S25" s="341">
        <v>100</v>
      </c>
      <c r="Z25" s="496" t="s">
        <v>459</v>
      </c>
      <c r="AA25" s="483">
        <v>31.12</v>
      </c>
      <c r="AB25" s="497" t="s">
        <v>573</v>
      </c>
      <c r="AC25" s="487">
        <v>638</v>
      </c>
      <c r="AD25" s="486">
        <v>18.05</v>
      </c>
      <c r="AE25" s="497" t="s">
        <v>565</v>
      </c>
      <c r="AF25" s="487">
        <v>217</v>
      </c>
    </row>
    <row r="26" spans="1:32" x14ac:dyDescent="0.25">
      <c r="A26" s="366" t="s">
        <v>299</v>
      </c>
      <c r="B26" s="366">
        <v>2014</v>
      </c>
      <c r="C26" s="366" t="s">
        <v>205</v>
      </c>
      <c r="D26" s="403"/>
      <c r="E26" s="339">
        <v>905</v>
      </c>
      <c r="F26" s="370"/>
      <c r="G26" s="367"/>
      <c r="H26" s="339">
        <v>820</v>
      </c>
      <c r="I26" s="370"/>
      <c r="J26" s="339">
        <v>85</v>
      </c>
      <c r="K26" s="339">
        <v>140</v>
      </c>
      <c r="L26" s="339">
        <v>58</v>
      </c>
      <c r="M26" s="367"/>
      <c r="N26" s="339">
        <v>82</v>
      </c>
      <c r="O26" s="404">
        <v>1578</v>
      </c>
      <c r="P26" s="404">
        <v>1578</v>
      </c>
      <c r="Q26" s="367"/>
      <c r="R26" s="406">
        <v>2623</v>
      </c>
      <c r="S26" s="339">
        <v>100</v>
      </c>
      <c r="Z26" s="496" t="s">
        <v>460</v>
      </c>
      <c r="AA26" s="483">
        <v>31.12</v>
      </c>
      <c r="AB26" s="497" t="s">
        <v>564</v>
      </c>
      <c r="AC26" s="485">
        <v>1507</v>
      </c>
      <c r="AD26" s="486">
        <v>21.09</v>
      </c>
      <c r="AE26" s="497" t="s">
        <v>574</v>
      </c>
      <c r="AF26" s="487">
        <v>555</v>
      </c>
    </row>
    <row r="27" spans="1:32" x14ac:dyDescent="0.25">
      <c r="A27" s="376" t="s">
        <v>300</v>
      </c>
      <c r="B27" s="366">
        <v>2014</v>
      </c>
      <c r="C27" s="366" t="s">
        <v>205</v>
      </c>
      <c r="D27" s="332"/>
      <c r="E27" s="341">
        <v>220</v>
      </c>
      <c r="F27" s="412">
        <v>220</v>
      </c>
      <c r="G27" s="335"/>
      <c r="H27" s="335"/>
      <c r="I27" s="334"/>
      <c r="J27" s="335"/>
      <c r="K27" s="335"/>
      <c r="L27" s="335"/>
      <c r="M27" s="335"/>
      <c r="N27" s="335"/>
      <c r="O27" s="341">
        <v>660</v>
      </c>
      <c r="P27" s="341">
        <v>10</v>
      </c>
      <c r="Q27" s="335"/>
      <c r="R27" s="415">
        <v>880</v>
      </c>
      <c r="S27" s="341">
        <v>100</v>
      </c>
      <c r="Z27" s="499" t="s">
        <v>583</v>
      </c>
      <c r="AA27" s="483">
        <v>10.119999999999999</v>
      </c>
      <c r="AB27" s="497" t="s">
        <v>589</v>
      </c>
      <c r="AC27" s="485">
        <v>1745</v>
      </c>
      <c r="AD27" s="486">
        <v>13.07</v>
      </c>
      <c r="AE27" s="497" t="s">
        <v>574</v>
      </c>
      <c r="AF27" s="487">
        <v>500</v>
      </c>
    </row>
    <row r="28" spans="1:32" x14ac:dyDescent="0.25">
      <c r="A28" s="366" t="s">
        <v>301</v>
      </c>
      <c r="B28" s="366">
        <v>2014</v>
      </c>
      <c r="C28" s="366" t="s">
        <v>205</v>
      </c>
      <c r="D28" s="403"/>
      <c r="E28" s="404">
        <v>1157</v>
      </c>
      <c r="F28" s="405">
        <v>718</v>
      </c>
      <c r="G28" s="367"/>
      <c r="H28" s="339">
        <v>250</v>
      </c>
      <c r="I28" s="405">
        <v>189</v>
      </c>
      <c r="J28" s="367"/>
      <c r="K28" s="339">
        <v>36</v>
      </c>
      <c r="L28" s="339">
        <v>36</v>
      </c>
      <c r="M28" s="367"/>
      <c r="N28" s="367"/>
      <c r="O28" s="339">
        <v>539</v>
      </c>
      <c r="P28" s="385"/>
      <c r="Q28" s="367"/>
      <c r="R28" s="406">
        <v>1732</v>
      </c>
      <c r="S28" s="339">
        <v>100</v>
      </c>
      <c r="Z28" s="496" t="s">
        <v>461</v>
      </c>
      <c r="AA28" s="489">
        <v>3.12</v>
      </c>
      <c r="AB28" s="497" t="s">
        <v>564</v>
      </c>
      <c r="AC28" s="485">
        <v>18460</v>
      </c>
      <c r="AD28" s="486">
        <v>29.11</v>
      </c>
      <c r="AE28" s="497" t="s">
        <v>566</v>
      </c>
      <c r="AF28" s="485">
        <v>6233</v>
      </c>
    </row>
    <row r="29" spans="1:32" x14ac:dyDescent="0.25">
      <c r="A29" s="376" t="s">
        <v>362</v>
      </c>
      <c r="B29" s="366">
        <v>2014</v>
      </c>
      <c r="C29" s="366" t="s">
        <v>205</v>
      </c>
      <c r="D29" s="332"/>
      <c r="E29" s="407">
        <v>5904</v>
      </c>
      <c r="F29" s="334"/>
      <c r="G29" s="407">
        <v>3836</v>
      </c>
      <c r="H29" s="407">
        <v>2064</v>
      </c>
      <c r="I29" s="412">
        <v>4</v>
      </c>
      <c r="J29" s="335"/>
      <c r="K29" s="407">
        <v>1550</v>
      </c>
      <c r="L29" s="407">
        <v>1447</v>
      </c>
      <c r="M29" s="335"/>
      <c r="N29" s="341">
        <v>43</v>
      </c>
      <c r="O29" s="341">
        <v>12</v>
      </c>
      <c r="P29" s="341">
        <v>12</v>
      </c>
      <c r="Q29" s="335"/>
      <c r="R29" s="409">
        <v>7466</v>
      </c>
      <c r="S29" s="341">
        <v>100</v>
      </c>
      <c r="Z29" s="496" t="s">
        <v>462</v>
      </c>
      <c r="AA29" s="483">
        <v>13.01</v>
      </c>
      <c r="AB29" s="497" t="s">
        <v>590</v>
      </c>
      <c r="AC29" s="485">
        <v>22957</v>
      </c>
      <c r="AD29" s="486">
        <v>20.07</v>
      </c>
      <c r="AE29" s="497" t="s">
        <v>565</v>
      </c>
      <c r="AF29" s="485">
        <v>8633</v>
      </c>
    </row>
    <row r="30" spans="1:32" x14ac:dyDescent="0.25">
      <c r="A30" s="366" t="s">
        <v>303</v>
      </c>
      <c r="B30" s="366">
        <v>2014</v>
      </c>
      <c r="C30" s="366" t="s">
        <v>205</v>
      </c>
      <c r="D30" s="416">
        <v>492</v>
      </c>
      <c r="E30" s="404">
        <v>27729</v>
      </c>
      <c r="F30" s="370"/>
      <c r="G30" s="404">
        <v>7270</v>
      </c>
      <c r="H30" s="404">
        <v>19590</v>
      </c>
      <c r="I30" s="370"/>
      <c r="J30" s="339">
        <v>869</v>
      </c>
      <c r="K30" s="404">
        <v>4274</v>
      </c>
      <c r="L30" s="404">
        <v>2874</v>
      </c>
      <c r="M30" s="404">
        <v>1000</v>
      </c>
      <c r="N30" s="339">
        <v>400</v>
      </c>
      <c r="O30" s="339">
        <v>38</v>
      </c>
      <c r="P30" s="339">
        <v>38</v>
      </c>
      <c r="Q30" s="339">
        <v>680</v>
      </c>
      <c r="R30" s="406">
        <v>33213</v>
      </c>
      <c r="S30" s="339">
        <v>100</v>
      </c>
      <c r="Z30" s="499" t="s">
        <v>122</v>
      </c>
      <c r="AA30" s="483">
        <v>29.01</v>
      </c>
      <c r="AB30" s="497" t="s">
        <v>564</v>
      </c>
      <c r="AC30" s="485">
        <v>23715</v>
      </c>
      <c r="AD30" s="486">
        <v>21.04</v>
      </c>
      <c r="AE30" s="497" t="s">
        <v>565</v>
      </c>
      <c r="AF30" s="485">
        <v>9761</v>
      </c>
    </row>
    <row r="31" spans="1:32" x14ac:dyDescent="0.25">
      <c r="A31" s="376" t="s">
        <v>304</v>
      </c>
      <c r="B31" s="366">
        <v>2014</v>
      </c>
      <c r="C31" s="366" t="s">
        <v>205</v>
      </c>
      <c r="D31" s="332"/>
      <c r="E31" s="407">
        <v>1090</v>
      </c>
      <c r="F31" s="334"/>
      <c r="G31" s="335"/>
      <c r="H31" s="407">
        <v>1090</v>
      </c>
      <c r="I31" s="334"/>
      <c r="J31" s="335"/>
      <c r="K31" s="341">
        <v>757</v>
      </c>
      <c r="L31" s="341">
        <v>814</v>
      </c>
      <c r="M31" s="335"/>
      <c r="N31" s="335"/>
      <c r="O31" s="407">
        <v>31062</v>
      </c>
      <c r="P31" s="407">
        <v>31062</v>
      </c>
      <c r="Q31" s="335"/>
      <c r="R31" s="409">
        <v>32909</v>
      </c>
      <c r="S31" s="341">
        <v>100</v>
      </c>
      <c r="Z31" s="496" t="s">
        <v>464</v>
      </c>
      <c r="AA31" s="489">
        <v>4.0199999999999996</v>
      </c>
      <c r="AB31" s="497" t="s">
        <v>591</v>
      </c>
      <c r="AC31" s="485">
        <v>8295</v>
      </c>
      <c r="AD31" s="486">
        <v>20.04</v>
      </c>
      <c r="AE31" s="497" t="s">
        <v>567</v>
      </c>
      <c r="AF31" s="485">
        <v>3317</v>
      </c>
    </row>
    <row r="32" spans="1:32" x14ac:dyDescent="0.25">
      <c r="A32" s="366" t="s">
        <v>305</v>
      </c>
      <c r="B32" s="366">
        <v>2014</v>
      </c>
      <c r="C32" s="366" t="s">
        <v>205</v>
      </c>
      <c r="D32" s="403"/>
      <c r="E32" s="404">
        <v>29098</v>
      </c>
      <c r="F32" s="414">
        <v>8519</v>
      </c>
      <c r="G32" s="404">
        <v>17309</v>
      </c>
      <c r="H32" s="339">
        <v>944</v>
      </c>
      <c r="I32" s="370"/>
      <c r="J32" s="367"/>
      <c r="K32" s="404">
        <v>4548</v>
      </c>
      <c r="L32" s="404">
        <v>3753</v>
      </c>
      <c r="M32" s="339">
        <v>23</v>
      </c>
      <c r="N32" s="339">
        <v>772</v>
      </c>
      <c r="O32" s="404">
        <v>2354</v>
      </c>
      <c r="P32" s="339">
        <v>941</v>
      </c>
      <c r="Q32" s="367"/>
      <c r="R32" s="406">
        <v>36000</v>
      </c>
      <c r="S32" s="339">
        <v>100</v>
      </c>
      <c r="Z32" s="496" t="s">
        <v>465</v>
      </c>
      <c r="AA32" s="489">
        <v>9.1199999999999992</v>
      </c>
      <c r="AB32" s="497" t="s">
        <v>564</v>
      </c>
      <c r="AC32" s="485">
        <v>8522</v>
      </c>
      <c r="AD32" s="486">
        <v>21.04</v>
      </c>
      <c r="AE32" s="497" t="s">
        <v>568</v>
      </c>
      <c r="AF32" s="485">
        <v>3704</v>
      </c>
    </row>
    <row r="33" spans="1:32" x14ac:dyDescent="0.25">
      <c r="A33" s="376" t="s">
        <v>306</v>
      </c>
      <c r="B33" s="366">
        <v>2014</v>
      </c>
      <c r="C33" s="366" t="s">
        <v>205</v>
      </c>
      <c r="D33" s="332"/>
      <c r="E33" s="407">
        <v>7025</v>
      </c>
      <c r="F33" s="334"/>
      <c r="G33" s="407">
        <v>1756</v>
      </c>
      <c r="H33" s="407">
        <v>4717</v>
      </c>
      <c r="I33" s="412">
        <v>120</v>
      </c>
      <c r="J33" s="335"/>
      <c r="K33" s="407">
        <v>5185</v>
      </c>
      <c r="L33" s="407">
        <v>4540</v>
      </c>
      <c r="M33" s="341">
        <v>396</v>
      </c>
      <c r="N33" s="341">
        <v>187</v>
      </c>
      <c r="O33" s="407">
        <v>5684</v>
      </c>
      <c r="P33" s="407">
        <v>5684</v>
      </c>
      <c r="Q33" s="335"/>
      <c r="R33" s="409">
        <v>17894</v>
      </c>
      <c r="S33" s="341">
        <v>100</v>
      </c>
      <c r="Z33" s="496" t="s">
        <v>467</v>
      </c>
      <c r="AA33" s="483">
        <v>31.12</v>
      </c>
      <c r="AB33" s="497" t="s">
        <v>564</v>
      </c>
      <c r="AC33" s="485">
        <v>7399</v>
      </c>
      <c r="AD33" s="486">
        <v>22.06</v>
      </c>
      <c r="AE33" s="497" t="s">
        <v>565</v>
      </c>
      <c r="AF33" s="485">
        <v>2423</v>
      </c>
    </row>
    <row r="34" spans="1:32" x14ac:dyDescent="0.25">
      <c r="A34" s="366" t="s">
        <v>307</v>
      </c>
      <c r="B34" s="366">
        <v>2014</v>
      </c>
      <c r="C34" s="366" t="s">
        <v>205</v>
      </c>
      <c r="D34" s="410">
        <v>1300</v>
      </c>
      <c r="E34" s="404">
        <v>9355</v>
      </c>
      <c r="F34" s="414">
        <v>4094</v>
      </c>
      <c r="G34" s="404">
        <v>1148</v>
      </c>
      <c r="H34" s="404">
        <v>2390</v>
      </c>
      <c r="I34" s="370"/>
      <c r="J34" s="404">
        <v>1723</v>
      </c>
      <c r="K34" s="404">
        <v>4150</v>
      </c>
      <c r="L34" s="404">
        <v>2894</v>
      </c>
      <c r="M34" s="404">
        <v>1162</v>
      </c>
      <c r="N34" s="339">
        <v>94</v>
      </c>
      <c r="O34" s="404">
        <v>6332</v>
      </c>
      <c r="P34" s="404">
        <v>6332</v>
      </c>
      <c r="Q34" s="386">
        <v>0.05</v>
      </c>
      <c r="R34" s="406">
        <v>21137</v>
      </c>
      <c r="S34" s="339">
        <v>100</v>
      </c>
      <c r="Z34" s="496" t="s">
        <v>468</v>
      </c>
      <c r="AA34" s="483">
        <v>13.01</v>
      </c>
      <c r="AB34" s="497" t="s">
        <v>562</v>
      </c>
      <c r="AC34" s="485">
        <v>24872</v>
      </c>
      <c r="AD34" s="486">
        <v>20.07</v>
      </c>
      <c r="AE34" s="497" t="s">
        <v>565</v>
      </c>
      <c r="AF34" s="485">
        <v>8754</v>
      </c>
    </row>
    <row r="35" spans="1:32" x14ac:dyDescent="0.25">
      <c r="A35" s="376" t="s">
        <v>308</v>
      </c>
      <c r="B35" s="366">
        <v>2014</v>
      </c>
      <c r="C35" s="366" t="s">
        <v>205</v>
      </c>
      <c r="D35" s="332"/>
      <c r="E35" s="407">
        <v>5574</v>
      </c>
      <c r="F35" s="408">
        <v>5263</v>
      </c>
      <c r="G35" s="335"/>
      <c r="H35" s="335"/>
      <c r="I35" s="412">
        <v>311</v>
      </c>
      <c r="J35" s="335"/>
      <c r="K35" s="335"/>
      <c r="L35" s="335"/>
      <c r="M35" s="335"/>
      <c r="N35" s="335"/>
      <c r="O35" s="407">
        <v>2990</v>
      </c>
      <c r="P35" s="407">
        <v>2370</v>
      </c>
      <c r="Q35" s="335"/>
      <c r="R35" s="409">
        <v>8564</v>
      </c>
      <c r="S35" s="341">
        <v>100</v>
      </c>
      <c r="Z35" s="496" t="s">
        <v>469</v>
      </c>
      <c r="AA35" s="483">
        <v>12.12</v>
      </c>
      <c r="AB35" s="497" t="s">
        <v>564</v>
      </c>
      <c r="AC35" s="485">
        <v>2233</v>
      </c>
      <c r="AD35" s="488">
        <v>2.0499999999999998</v>
      </c>
      <c r="AE35" s="497" t="s">
        <v>592</v>
      </c>
      <c r="AF35" s="487">
        <v>965</v>
      </c>
    </row>
    <row r="36" spans="1:32" x14ac:dyDescent="0.25">
      <c r="A36" s="366" t="s">
        <v>310</v>
      </c>
      <c r="B36" s="366">
        <v>2014</v>
      </c>
      <c r="C36" s="366" t="s">
        <v>205</v>
      </c>
      <c r="D36" s="410">
        <v>9528</v>
      </c>
      <c r="E36" s="404">
        <v>5285</v>
      </c>
      <c r="F36" s="370"/>
      <c r="G36" s="339">
        <v>225</v>
      </c>
      <c r="H36" s="339">
        <v>879</v>
      </c>
      <c r="I36" s="414">
        <v>3622</v>
      </c>
      <c r="J36" s="339">
        <v>559</v>
      </c>
      <c r="K36" s="404">
        <v>8581</v>
      </c>
      <c r="L36" s="404">
        <v>5420</v>
      </c>
      <c r="M36" s="339">
        <v>79</v>
      </c>
      <c r="N36" s="404">
        <v>3082</v>
      </c>
      <c r="O36" s="404">
        <v>16155</v>
      </c>
      <c r="P36" s="404">
        <v>16155</v>
      </c>
      <c r="Q36" s="367"/>
      <c r="R36" s="406">
        <v>39549</v>
      </c>
      <c r="S36" s="339">
        <v>100</v>
      </c>
      <c r="Z36" s="496" t="s">
        <v>470</v>
      </c>
      <c r="AA36" s="483">
        <v>27.11</v>
      </c>
      <c r="AB36" s="497" t="s">
        <v>564</v>
      </c>
      <c r="AC36" s="485">
        <v>4119</v>
      </c>
      <c r="AD36" s="488">
        <v>3.08</v>
      </c>
      <c r="AE36" s="497" t="s">
        <v>565</v>
      </c>
      <c r="AF36" s="485">
        <v>2119</v>
      </c>
    </row>
    <row r="37" spans="1:32" x14ac:dyDescent="0.25">
      <c r="A37" s="376" t="s">
        <v>311</v>
      </c>
      <c r="B37" s="366">
        <v>2014</v>
      </c>
      <c r="C37" s="366" t="s">
        <v>205</v>
      </c>
      <c r="D37" s="417">
        <v>696</v>
      </c>
      <c r="E37" s="407">
        <v>1214</v>
      </c>
      <c r="F37" s="412">
        <v>553</v>
      </c>
      <c r="G37" s="341">
        <v>222</v>
      </c>
      <c r="H37" s="341">
        <v>84</v>
      </c>
      <c r="I37" s="334"/>
      <c r="J37" s="341">
        <v>355</v>
      </c>
      <c r="K37" s="341">
        <v>302</v>
      </c>
      <c r="L37" s="341">
        <v>2</v>
      </c>
      <c r="M37" s="341">
        <v>260</v>
      </c>
      <c r="N37" s="341">
        <v>40</v>
      </c>
      <c r="O37" s="407">
        <v>1245</v>
      </c>
      <c r="P37" s="407">
        <v>1065</v>
      </c>
      <c r="Q37" s="335"/>
      <c r="R37" s="409">
        <v>3456</v>
      </c>
      <c r="S37" s="341">
        <v>100</v>
      </c>
      <c r="Z37" s="522" t="s">
        <v>643</v>
      </c>
      <c r="AA37" s="503">
        <v>29.01</v>
      </c>
      <c r="AB37" s="504" t="s">
        <v>593</v>
      </c>
      <c r="AC37" s="505">
        <v>522043</v>
      </c>
      <c r="AD37" s="506">
        <v>17.079999999999998</v>
      </c>
      <c r="AE37" s="504" t="s">
        <v>594</v>
      </c>
      <c r="AF37" s="505">
        <v>230343</v>
      </c>
    </row>
    <row r="38" spans="1:32" x14ac:dyDescent="0.25">
      <c r="A38" s="366" t="s">
        <v>312</v>
      </c>
      <c r="B38" s="366">
        <v>2014</v>
      </c>
      <c r="C38" s="366" t="s">
        <v>205</v>
      </c>
      <c r="D38" s="410">
        <v>1940</v>
      </c>
      <c r="E38" s="404">
        <v>2692</v>
      </c>
      <c r="F38" s="405">
        <v>568</v>
      </c>
      <c r="G38" s="339">
        <v>440</v>
      </c>
      <c r="H38" s="404">
        <v>1076</v>
      </c>
      <c r="I38" s="405">
        <v>195</v>
      </c>
      <c r="J38" s="339">
        <v>413</v>
      </c>
      <c r="K38" s="339">
        <v>908</v>
      </c>
      <c r="L38" s="339">
        <v>3</v>
      </c>
      <c r="M38" s="339">
        <v>531</v>
      </c>
      <c r="N38" s="339">
        <v>254</v>
      </c>
      <c r="O38" s="404">
        <v>2536</v>
      </c>
      <c r="P38" s="404">
        <v>1619</v>
      </c>
      <c r="Q38" s="367"/>
      <c r="R38" s="406">
        <v>8076</v>
      </c>
      <c r="S38" s="339">
        <v>100</v>
      </c>
    </row>
    <row r="39" spans="1:32" x14ac:dyDescent="0.2">
      <c r="A39" s="527" t="s">
        <v>263</v>
      </c>
      <c r="B39" s="366">
        <v>2014</v>
      </c>
      <c r="C39" s="366" t="s">
        <v>205</v>
      </c>
      <c r="D39" s="418">
        <v>126685</v>
      </c>
      <c r="E39" s="419">
        <v>463439</v>
      </c>
      <c r="F39" s="420">
        <v>53526</v>
      </c>
      <c r="G39" s="419">
        <v>114730</v>
      </c>
      <c r="H39" s="419">
        <v>206148</v>
      </c>
      <c r="I39" s="420">
        <v>45950</v>
      </c>
      <c r="J39" s="419">
        <v>37403</v>
      </c>
      <c r="K39" s="419">
        <v>229116</v>
      </c>
      <c r="L39" s="419">
        <v>120576</v>
      </c>
      <c r="M39" s="419">
        <v>82349</v>
      </c>
      <c r="N39" s="419">
        <v>24091</v>
      </c>
      <c r="O39" s="419">
        <v>202208</v>
      </c>
      <c r="P39" s="419">
        <v>151802</v>
      </c>
      <c r="Q39" s="419">
        <v>2073</v>
      </c>
      <c r="R39" s="421">
        <v>1023521</v>
      </c>
      <c r="S39" s="342"/>
    </row>
    <row r="40" spans="1:32" customFormat="1" ht="15" x14ac:dyDescent="0.25">
      <c r="Z40" t="s">
        <v>642</v>
      </c>
    </row>
    <row r="41" spans="1:32" customFormat="1" ht="15" x14ac:dyDescent="0.25">
      <c r="A41" t="s">
        <v>641</v>
      </c>
    </row>
    <row r="42" spans="1:32" customFormat="1" ht="15" x14ac:dyDescent="0.25"/>
    <row r="43" spans="1:32" customFormat="1" ht="15" x14ac:dyDescent="0.25"/>
    <row r="44" spans="1:32" customFormat="1" ht="15" x14ac:dyDescent="0.25"/>
    <row r="45" spans="1:32" customFormat="1" ht="15" x14ac:dyDescent="0.25"/>
    <row r="46" spans="1:32" customFormat="1" ht="15" x14ac:dyDescent="0.25"/>
    <row r="47" spans="1:32" customFormat="1" ht="15" x14ac:dyDescent="0.25"/>
    <row r="48" spans="1:32" customFormat="1" ht="15" x14ac:dyDescent="0.25"/>
    <row r="49" spans="1:21" customFormat="1" ht="15" x14ac:dyDescent="0.25"/>
    <row r="50" spans="1:21" x14ac:dyDescent="0.25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08" t="s">
        <v>597</v>
      </c>
      <c r="U50" s="508" t="s">
        <v>596</v>
      </c>
    </row>
    <row r="51" spans="1:21" x14ac:dyDescent="0.25">
      <c r="A51" s="366" t="str">
        <f>A4</f>
        <v>AT</v>
      </c>
      <c r="B51" s="366">
        <f>B4</f>
        <v>2014</v>
      </c>
      <c r="C51" s="366" t="str">
        <f>C4</f>
        <v>MW</v>
      </c>
      <c r="D51" s="144">
        <f>D4</f>
        <v>0</v>
      </c>
      <c r="E51" s="144">
        <f>F4</f>
        <v>0</v>
      </c>
      <c r="F51" s="167">
        <f>G4</f>
        <v>1171</v>
      </c>
      <c r="G51" s="167">
        <f>H4</f>
        <v>5119</v>
      </c>
      <c r="H51" s="422">
        <f t="shared" ref="H51" si="0">I4+J4+(E4-SUM(F4:J4))</f>
        <v>1557</v>
      </c>
      <c r="I51" s="167">
        <f t="shared" ref="I51" si="1">L4</f>
        <v>1555</v>
      </c>
      <c r="J51" s="144">
        <v>0</v>
      </c>
      <c r="K51" s="422">
        <f>M4</f>
        <v>324</v>
      </c>
      <c r="L51" s="422">
        <f>N4</f>
        <v>426</v>
      </c>
      <c r="M51" s="422">
        <f>IF(K4-SUM(L4:N4)&lt;0,0,K4-SUM(L4:N4))</f>
        <v>0</v>
      </c>
      <c r="N51" s="167">
        <f t="shared" ref="N51:N86" si="2">P4</f>
        <v>13427</v>
      </c>
      <c r="O51" s="167">
        <f t="shared" ref="O51:O86" si="3">O4-P4</f>
        <v>0</v>
      </c>
      <c r="P51" s="422">
        <f t="shared" ref="P51:P86" si="4">Q4</f>
        <v>244</v>
      </c>
      <c r="Q51" s="167">
        <f t="shared" ref="Q51:Q86" si="5">SUM(D51:P51)</f>
        <v>23823</v>
      </c>
      <c r="R51" s="167">
        <f t="shared" ref="R51:R86" si="6">R4</f>
        <v>23823</v>
      </c>
      <c r="S51" s="424">
        <f>Q51/R51</f>
        <v>1</v>
      </c>
      <c r="T51" s="443">
        <f>VLOOKUP(Capacity_Entsoe_SFS_2014[[#This Row],[Country]],$Z$2:$AF$38,7,0)</f>
        <v>4673</v>
      </c>
      <c r="U51" s="443">
        <f>VLOOKUP(Capacity_Entsoe_SFS_2014[[#This Row],[Country]],$Z$2:$AF$38,4,0)</f>
        <v>11471</v>
      </c>
    </row>
    <row r="52" spans="1:21" x14ac:dyDescent="0.25">
      <c r="A52" s="366" t="str">
        <f t="shared" ref="A52:A86" si="7">A5</f>
        <v>BA</v>
      </c>
      <c r="B52" s="366">
        <f t="shared" ref="B52:C72" si="8">B6</f>
        <v>2014</v>
      </c>
      <c r="C52" s="366" t="str">
        <f t="shared" si="8"/>
        <v>MW</v>
      </c>
      <c r="D52" s="144">
        <f t="shared" ref="D52:D86" si="9">D5</f>
        <v>0</v>
      </c>
      <c r="E52" s="144">
        <f t="shared" ref="E52:G52" si="10">F5</f>
        <v>1578</v>
      </c>
      <c r="F52" s="167">
        <f t="shared" si="10"/>
        <v>0</v>
      </c>
      <c r="G52" s="167">
        <f t="shared" si="10"/>
        <v>0</v>
      </c>
      <c r="H52" s="422">
        <f t="shared" ref="H52:H86" si="11">I5+J5+(E5-SUM(F5:J5))</f>
        <v>0</v>
      </c>
      <c r="I52" s="167">
        <f t="shared" ref="I52:I86" si="12">L5</f>
        <v>0</v>
      </c>
      <c r="J52" s="144">
        <v>0</v>
      </c>
      <c r="K52" s="422">
        <f t="shared" ref="K52:L52" si="13">M5</f>
        <v>0</v>
      </c>
      <c r="L52" s="422">
        <f t="shared" si="13"/>
        <v>0</v>
      </c>
      <c r="M52" s="422">
        <f t="shared" ref="M52:M86" si="14">IF(K5-SUM(L5:N5)&lt;0,0,K5-SUM(L5:N5))</f>
        <v>0</v>
      </c>
      <c r="N52" s="167">
        <f t="shared" si="2"/>
        <v>1620</v>
      </c>
      <c r="O52" s="167">
        <f t="shared" si="3"/>
        <v>440</v>
      </c>
      <c r="P52" s="422">
        <f t="shared" si="4"/>
        <v>0</v>
      </c>
      <c r="Q52" s="167">
        <f t="shared" si="5"/>
        <v>3638</v>
      </c>
      <c r="R52" s="167">
        <f t="shared" si="6"/>
        <v>3638</v>
      </c>
      <c r="S52" s="424">
        <f t="shared" ref="S52:S81" si="15">Q52/R52</f>
        <v>1</v>
      </c>
      <c r="T52" s="443">
        <f>VLOOKUP(Capacity_Entsoe_SFS_2014[[#This Row],[Country]],$Z$2:$AF$38,7,0)</f>
        <v>833</v>
      </c>
      <c r="U52" s="443">
        <f>VLOOKUP(Capacity_Entsoe_SFS_2014[[#This Row],[Country]],$Z$2:$AF$38,4,0)</f>
        <v>2207</v>
      </c>
    </row>
    <row r="53" spans="1:21" x14ac:dyDescent="0.25">
      <c r="A53" s="366" t="str">
        <f t="shared" si="7"/>
        <v>BE</v>
      </c>
      <c r="B53" s="366">
        <f t="shared" si="8"/>
        <v>2014</v>
      </c>
      <c r="C53" s="366" t="str">
        <f t="shared" si="8"/>
        <v>MW</v>
      </c>
      <c r="D53" s="144">
        <f t="shared" si="9"/>
        <v>5926</v>
      </c>
      <c r="E53" s="144">
        <f t="shared" ref="E53:G53" si="16">F6</f>
        <v>0</v>
      </c>
      <c r="F53" s="167">
        <f t="shared" si="16"/>
        <v>410</v>
      </c>
      <c r="G53" s="167">
        <f t="shared" si="16"/>
        <v>6019</v>
      </c>
      <c r="H53" s="422">
        <f t="shared" si="11"/>
        <v>210</v>
      </c>
      <c r="I53" s="167">
        <f t="shared" si="12"/>
        <v>1939</v>
      </c>
      <c r="J53" s="144">
        <v>0</v>
      </c>
      <c r="K53" s="422">
        <f t="shared" ref="K53:L53" si="17">M6</f>
        <v>2986</v>
      </c>
      <c r="L53" s="422">
        <f t="shared" si="17"/>
        <v>1190</v>
      </c>
      <c r="M53" s="422">
        <f t="shared" si="14"/>
        <v>0</v>
      </c>
      <c r="N53" s="167">
        <f t="shared" si="2"/>
        <v>117</v>
      </c>
      <c r="O53" s="167">
        <f t="shared" si="3"/>
        <v>1308</v>
      </c>
      <c r="P53" s="422">
        <f t="shared" si="4"/>
        <v>0</v>
      </c>
      <c r="Q53" s="167">
        <f t="shared" si="5"/>
        <v>20105</v>
      </c>
      <c r="R53" s="167">
        <f t="shared" si="6"/>
        <v>20105</v>
      </c>
      <c r="S53" s="424">
        <f t="shared" si="15"/>
        <v>1</v>
      </c>
      <c r="T53" s="443">
        <f>VLOOKUP(Capacity_Entsoe_SFS_2014[[#This Row],[Country]],$Z$2:$AF$38,7,0)</f>
        <v>6623</v>
      </c>
      <c r="U53" s="443">
        <f>VLOOKUP(Capacity_Entsoe_SFS_2014[[#This Row],[Country]],$Z$2:$AF$38,4,0)</f>
        <v>13110</v>
      </c>
    </row>
    <row r="54" spans="1:21" x14ac:dyDescent="0.25">
      <c r="A54" s="366" t="str">
        <f t="shared" si="7"/>
        <v>BG</v>
      </c>
      <c r="B54" s="366">
        <f t="shared" si="8"/>
        <v>2014</v>
      </c>
      <c r="C54" s="366" t="str">
        <f t="shared" si="8"/>
        <v>MW</v>
      </c>
      <c r="D54" s="144">
        <f t="shared" si="9"/>
        <v>2000</v>
      </c>
      <c r="E54" s="144">
        <f t="shared" ref="E54:G54" si="18">F7</f>
        <v>4199</v>
      </c>
      <c r="F54" s="167">
        <f t="shared" si="18"/>
        <v>1548</v>
      </c>
      <c r="G54" s="167">
        <f t="shared" si="18"/>
        <v>838</v>
      </c>
      <c r="H54" s="422">
        <f t="shared" si="11"/>
        <v>0</v>
      </c>
      <c r="I54" s="167">
        <f t="shared" si="12"/>
        <v>701</v>
      </c>
      <c r="J54" s="144">
        <v>0</v>
      </c>
      <c r="K54" s="422">
        <f t="shared" ref="K54:L54" si="19">M7</f>
        <v>1039</v>
      </c>
      <c r="L54" s="422">
        <f t="shared" si="19"/>
        <v>47</v>
      </c>
      <c r="M54" s="422">
        <f t="shared" si="14"/>
        <v>0</v>
      </c>
      <c r="N54" s="167">
        <f t="shared" si="2"/>
        <v>2327</v>
      </c>
      <c r="O54" s="167">
        <f t="shared" si="3"/>
        <v>864</v>
      </c>
      <c r="P54" s="422">
        <f t="shared" si="4"/>
        <v>0</v>
      </c>
      <c r="Q54" s="167">
        <f t="shared" si="5"/>
        <v>13563</v>
      </c>
      <c r="R54" s="167">
        <f t="shared" si="6"/>
        <v>13520</v>
      </c>
      <c r="S54" s="424">
        <f t="shared" si="15"/>
        <v>1.0031804733727812</v>
      </c>
      <c r="T54" s="443">
        <f>VLOOKUP(Capacity_Entsoe_SFS_2014[[#This Row],[Country]],$Z$2:$AF$38,7,0)</f>
        <v>2656</v>
      </c>
      <c r="U54" s="443">
        <f>VLOOKUP(Capacity_Entsoe_SFS_2014[[#This Row],[Country]],$Z$2:$AF$38,4,0)</f>
        <v>7106</v>
      </c>
    </row>
    <row r="55" spans="1:21" x14ac:dyDescent="0.25">
      <c r="A55" s="366" t="str">
        <f t="shared" si="7"/>
        <v>CH</v>
      </c>
      <c r="B55" s="366">
        <f t="shared" si="8"/>
        <v>2014</v>
      </c>
      <c r="C55" s="366" t="str">
        <f t="shared" si="8"/>
        <v>MW</v>
      </c>
      <c r="D55" s="144">
        <f t="shared" si="9"/>
        <v>3308</v>
      </c>
      <c r="E55" s="144">
        <f t="shared" ref="E55:G55" si="20">F8</f>
        <v>0</v>
      </c>
      <c r="F55" s="167">
        <f t="shared" si="20"/>
        <v>0</v>
      </c>
      <c r="G55" s="167">
        <f t="shared" si="20"/>
        <v>0</v>
      </c>
      <c r="H55" s="422">
        <f t="shared" si="11"/>
        <v>426</v>
      </c>
      <c r="I55" s="167">
        <f t="shared" si="12"/>
        <v>49</v>
      </c>
      <c r="J55" s="144">
        <v>0</v>
      </c>
      <c r="K55" s="422">
        <f t="shared" ref="K55:L55" si="21">M8</f>
        <v>437</v>
      </c>
      <c r="L55" s="422">
        <f t="shared" si="21"/>
        <v>289</v>
      </c>
      <c r="M55" s="422">
        <f t="shared" si="14"/>
        <v>0</v>
      </c>
      <c r="N55" s="167">
        <f t="shared" si="2"/>
        <v>12422</v>
      </c>
      <c r="O55" s="167">
        <f t="shared" si="3"/>
        <v>1383</v>
      </c>
      <c r="P55" s="422">
        <f t="shared" si="4"/>
        <v>243</v>
      </c>
      <c r="Q55" s="167">
        <f t="shared" si="5"/>
        <v>18557</v>
      </c>
      <c r="R55" s="167">
        <f t="shared" si="6"/>
        <v>18557</v>
      </c>
      <c r="S55" s="424">
        <f t="shared" si="15"/>
        <v>1</v>
      </c>
      <c r="T55" s="443">
        <f>VLOOKUP(Capacity_Entsoe_SFS_2014[[#This Row],[Country]],$Z$2:$AF$38,7,0)</f>
        <v>2843</v>
      </c>
      <c r="U55" s="443">
        <f>VLOOKUP(Capacity_Entsoe_SFS_2014[[#This Row],[Country]],$Z$2:$AF$38,4,0)</f>
        <v>7721</v>
      </c>
    </row>
    <row r="56" spans="1:21" x14ac:dyDescent="0.25">
      <c r="A56" s="366" t="str">
        <f t="shared" si="7"/>
        <v>CY</v>
      </c>
      <c r="B56" s="366">
        <f t="shared" si="8"/>
        <v>2014</v>
      </c>
      <c r="C56" s="366" t="str">
        <f t="shared" si="8"/>
        <v>MW</v>
      </c>
      <c r="D56" s="144">
        <f t="shared" si="9"/>
        <v>0</v>
      </c>
      <c r="E56" s="144">
        <f t="shared" ref="E56:G56" si="22">F9</f>
        <v>0</v>
      </c>
      <c r="F56" s="167">
        <f t="shared" si="22"/>
        <v>0</v>
      </c>
      <c r="G56" s="167">
        <f t="shared" si="22"/>
        <v>0</v>
      </c>
      <c r="H56" s="422">
        <f t="shared" si="11"/>
        <v>1478</v>
      </c>
      <c r="I56" s="167">
        <f t="shared" si="12"/>
        <v>144</v>
      </c>
      <c r="J56" s="144">
        <v>0</v>
      </c>
      <c r="K56" s="422">
        <f t="shared" ref="K56:L56" si="23">M9</f>
        <v>0</v>
      </c>
      <c r="L56" s="422">
        <f t="shared" si="23"/>
        <v>0</v>
      </c>
      <c r="M56" s="422">
        <f t="shared" si="14"/>
        <v>0</v>
      </c>
      <c r="N56" s="167">
        <f t="shared" si="2"/>
        <v>0</v>
      </c>
      <c r="O56" s="167">
        <f t="shared" si="3"/>
        <v>0</v>
      </c>
      <c r="P56" s="422">
        <f t="shared" si="4"/>
        <v>0</v>
      </c>
      <c r="Q56" s="167">
        <f t="shared" si="5"/>
        <v>1622</v>
      </c>
      <c r="R56" s="167">
        <f t="shared" si="6"/>
        <v>1622</v>
      </c>
      <c r="S56" s="424">
        <f t="shared" si="15"/>
        <v>1</v>
      </c>
      <c r="T56" s="443">
        <f>VLOOKUP(Capacity_Entsoe_SFS_2014[[#This Row],[Country]],$Z$2:$AF$38,7,0)</f>
        <v>248</v>
      </c>
      <c r="U56" s="443">
        <f>VLOOKUP(Capacity_Entsoe_SFS_2014[[#This Row],[Country]],$Z$2:$AF$38,4,0)</f>
        <v>871</v>
      </c>
    </row>
    <row r="57" spans="1:21" x14ac:dyDescent="0.25">
      <c r="A57" s="366" t="str">
        <f t="shared" si="7"/>
        <v>CZ</v>
      </c>
      <c r="B57" s="366">
        <f t="shared" si="8"/>
        <v>2014</v>
      </c>
      <c r="C57" s="366" t="str">
        <f t="shared" si="8"/>
        <v>MW</v>
      </c>
      <c r="D57" s="144">
        <f t="shared" si="9"/>
        <v>4040</v>
      </c>
      <c r="E57" s="144">
        <f t="shared" ref="E57:G57" si="24">F10</f>
        <v>0</v>
      </c>
      <c r="F57" s="167">
        <f t="shared" si="24"/>
        <v>0</v>
      </c>
      <c r="G57" s="167">
        <f t="shared" si="24"/>
        <v>2023</v>
      </c>
      <c r="H57" s="422">
        <f t="shared" si="11"/>
        <v>10031</v>
      </c>
      <c r="I57" s="167">
        <f t="shared" si="12"/>
        <v>278</v>
      </c>
      <c r="J57" s="144">
        <v>0</v>
      </c>
      <c r="K57" s="422">
        <f t="shared" ref="K57:L57" si="25">M10</f>
        <v>2061</v>
      </c>
      <c r="L57" s="422">
        <f t="shared" si="25"/>
        <v>0</v>
      </c>
      <c r="M57" s="422">
        <f t="shared" si="14"/>
        <v>0</v>
      </c>
      <c r="N57" s="167">
        <f t="shared" si="2"/>
        <v>1090</v>
      </c>
      <c r="O57" s="167">
        <f t="shared" si="3"/>
        <v>1171</v>
      </c>
      <c r="P57" s="422">
        <f t="shared" si="4"/>
        <v>0</v>
      </c>
      <c r="Q57" s="167">
        <f t="shared" si="5"/>
        <v>20694</v>
      </c>
      <c r="R57" s="167">
        <f t="shared" si="6"/>
        <v>20694</v>
      </c>
      <c r="S57" s="424">
        <f t="shared" si="15"/>
        <v>1</v>
      </c>
      <c r="T57" s="443">
        <f>VLOOKUP(Capacity_Entsoe_SFS_2014[[#This Row],[Country]],$Z$2:$AF$38,7,0)</f>
        <v>4290</v>
      </c>
      <c r="U57" s="443">
        <f>VLOOKUP(Capacity_Entsoe_SFS_2014[[#This Row],[Country]],$Z$2:$AF$38,4,0)</f>
        <v>10058</v>
      </c>
    </row>
    <row r="58" spans="1:21" x14ac:dyDescent="0.25">
      <c r="A58" s="366" t="str">
        <f t="shared" si="7"/>
        <v>DE</v>
      </c>
      <c r="B58" s="366">
        <f t="shared" si="8"/>
        <v>2014</v>
      </c>
      <c r="C58" s="366" t="str">
        <f t="shared" si="8"/>
        <v>MW</v>
      </c>
      <c r="D58" s="144">
        <f t="shared" si="9"/>
        <v>12068</v>
      </c>
      <c r="E58" s="144">
        <f t="shared" ref="E58:G58" si="26">F11</f>
        <v>21179</v>
      </c>
      <c r="F58" s="167">
        <f t="shared" si="26"/>
        <v>27175</v>
      </c>
      <c r="G58" s="167">
        <f t="shared" si="26"/>
        <v>28047</v>
      </c>
      <c r="H58" s="422">
        <f t="shared" si="11"/>
        <v>8866</v>
      </c>
      <c r="I58" s="167">
        <f t="shared" si="12"/>
        <v>36561</v>
      </c>
      <c r="J58" s="144">
        <v>0</v>
      </c>
      <c r="K58" s="422">
        <f t="shared" ref="K58:L58" si="27">M11</f>
        <v>37981</v>
      </c>
      <c r="L58" s="422">
        <f t="shared" si="27"/>
        <v>6359</v>
      </c>
      <c r="M58" s="422">
        <f t="shared" si="14"/>
        <v>586</v>
      </c>
      <c r="N58" s="167">
        <f t="shared" si="2"/>
        <v>4312</v>
      </c>
      <c r="O58" s="167">
        <f t="shared" si="3"/>
        <v>6350</v>
      </c>
      <c r="P58" s="422">
        <f t="shared" si="4"/>
        <v>0</v>
      </c>
      <c r="Q58" s="167">
        <f t="shared" si="5"/>
        <v>189484</v>
      </c>
      <c r="R58" s="167">
        <f t="shared" si="6"/>
        <v>189484</v>
      </c>
      <c r="S58" s="424">
        <f t="shared" si="15"/>
        <v>1</v>
      </c>
      <c r="T58" s="443">
        <f>VLOOKUP(Capacity_Entsoe_SFS_2014[[#This Row],[Country]],$Z$2:$AF$38,7,0)</f>
        <v>36709</v>
      </c>
      <c r="U58" s="443">
        <f>VLOOKUP(Capacity_Entsoe_SFS_2014[[#This Row],[Country]],$Z$2:$AF$38,4,0)</f>
        <v>81738</v>
      </c>
    </row>
    <row r="59" spans="1:21" x14ac:dyDescent="0.25">
      <c r="A59" s="366" t="str">
        <f t="shared" si="7"/>
        <v>DK</v>
      </c>
      <c r="B59" s="366">
        <f t="shared" si="8"/>
        <v>2014</v>
      </c>
      <c r="C59" s="366" t="str">
        <f t="shared" si="8"/>
        <v>MW</v>
      </c>
      <c r="D59" s="144">
        <f t="shared" si="9"/>
        <v>0</v>
      </c>
      <c r="E59" s="144">
        <f t="shared" ref="E59:G59" si="28">F12</f>
        <v>0</v>
      </c>
      <c r="F59" s="167">
        <f t="shared" si="28"/>
        <v>4923</v>
      </c>
      <c r="G59" s="167">
        <f t="shared" si="28"/>
        <v>3087</v>
      </c>
      <c r="H59" s="422">
        <f t="shared" si="11"/>
        <v>903</v>
      </c>
      <c r="I59" s="167">
        <f t="shared" si="12"/>
        <v>4897</v>
      </c>
      <c r="J59" s="144">
        <v>0</v>
      </c>
      <c r="K59" s="422">
        <f t="shared" ref="K59:L59" si="29">M12</f>
        <v>606</v>
      </c>
      <c r="L59" s="422">
        <f t="shared" si="29"/>
        <v>608</v>
      </c>
      <c r="M59" s="422">
        <f t="shared" si="14"/>
        <v>0</v>
      </c>
      <c r="N59" s="167">
        <f t="shared" si="2"/>
        <v>9</v>
      </c>
      <c r="O59" s="167">
        <f t="shared" si="3"/>
        <v>0</v>
      </c>
      <c r="P59" s="422">
        <f t="shared" si="4"/>
        <v>0</v>
      </c>
      <c r="Q59" s="167">
        <f t="shared" si="5"/>
        <v>15033</v>
      </c>
      <c r="R59" s="167">
        <f t="shared" si="6"/>
        <v>15033</v>
      </c>
      <c r="S59" s="424">
        <f t="shared" si="15"/>
        <v>1</v>
      </c>
      <c r="T59" s="443">
        <f>VLOOKUP(Capacity_Entsoe_SFS_2014[[#This Row],[Country]],$Z$2:$AF$38,7,0)</f>
        <v>2296</v>
      </c>
      <c r="U59" s="443">
        <f>VLOOKUP(Capacity_Entsoe_SFS_2014[[#This Row],[Country]],$Z$2:$AF$38,4,0)</f>
        <v>6002</v>
      </c>
    </row>
    <row r="60" spans="1:21" x14ac:dyDescent="0.25">
      <c r="A60" s="366" t="str">
        <f t="shared" si="7"/>
        <v>EE</v>
      </c>
      <c r="B60" s="366">
        <f t="shared" si="8"/>
        <v>2014</v>
      </c>
      <c r="C60" s="366" t="str">
        <f t="shared" si="8"/>
        <v>MW</v>
      </c>
      <c r="D60" s="144">
        <f t="shared" si="9"/>
        <v>0</v>
      </c>
      <c r="E60" s="144">
        <f t="shared" ref="E60:G60" si="30">F13</f>
        <v>0</v>
      </c>
      <c r="F60" s="167">
        <f t="shared" si="30"/>
        <v>0</v>
      </c>
      <c r="G60" s="167">
        <f t="shared" si="30"/>
        <v>241</v>
      </c>
      <c r="H60" s="422">
        <f t="shared" si="11"/>
        <v>2059</v>
      </c>
      <c r="I60" s="167">
        <f t="shared" si="12"/>
        <v>301</v>
      </c>
      <c r="J60" s="144">
        <v>0</v>
      </c>
      <c r="K60" s="422">
        <f t="shared" ref="K60:L60" si="31">M13</f>
        <v>0</v>
      </c>
      <c r="L60" s="422">
        <f t="shared" si="31"/>
        <v>101</v>
      </c>
      <c r="M60" s="422">
        <f t="shared" si="14"/>
        <v>1</v>
      </c>
      <c r="N60" s="167">
        <f t="shared" si="2"/>
        <v>8</v>
      </c>
      <c r="O60" s="167">
        <f t="shared" si="3"/>
        <v>0</v>
      </c>
      <c r="P60" s="422">
        <f t="shared" si="4"/>
        <v>0</v>
      </c>
      <c r="Q60" s="167">
        <f t="shared" si="5"/>
        <v>2711</v>
      </c>
      <c r="R60" s="167">
        <f t="shared" si="6"/>
        <v>2711</v>
      </c>
      <c r="S60" s="424">
        <f t="shared" si="15"/>
        <v>1</v>
      </c>
      <c r="T60" s="443">
        <f>VLOOKUP(Capacity_Entsoe_SFS_2014[[#This Row],[Country]],$Z$2:$AF$38,7,0)</f>
        <v>492</v>
      </c>
      <c r="U60" s="443">
        <f>VLOOKUP(Capacity_Entsoe_SFS_2014[[#This Row],[Country]],$Z$2:$AF$38,4,0)</f>
        <v>1490</v>
      </c>
    </row>
    <row r="61" spans="1:21" x14ac:dyDescent="0.25">
      <c r="A61" s="366" t="str">
        <f t="shared" si="7"/>
        <v>ES</v>
      </c>
      <c r="B61" s="366">
        <f t="shared" si="8"/>
        <v>2014</v>
      </c>
      <c r="C61" s="366" t="str">
        <f t="shared" si="8"/>
        <v>MW</v>
      </c>
      <c r="D61" s="144">
        <f t="shared" si="9"/>
        <v>7866</v>
      </c>
      <c r="E61" s="144">
        <f t="shared" ref="E61:G61" si="32">F14</f>
        <v>1102</v>
      </c>
      <c r="F61" s="167">
        <f t="shared" si="32"/>
        <v>10468</v>
      </c>
      <c r="G61" s="167">
        <f t="shared" si="32"/>
        <v>33388</v>
      </c>
      <c r="H61" s="422">
        <f t="shared" si="11"/>
        <v>3151</v>
      </c>
      <c r="I61" s="167">
        <f t="shared" si="12"/>
        <v>22772</v>
      </c>
      <c r="J61" s="144">
        <v>0</v>
      </c>
      <c r="K61" s="422">
        <f t="shared" ref="K61:L61" si="33">M14</f>
        <v>6902</v>
      </c>
      <c r="L61" s="422">
        <f t="shared" si="33"/>
        <v>716</v>
      </c>
      <c r="M61" s="422">
        <f t="shared" si="14"/>
        <v>116</v>
      </c>
      <c r="N61" s="167">
        <f t="shared" si="2"/>
        <v>16945</v>
      </c>
      <c r="O61" s="167">
        <f t="shared" si="3"/>
        <v>2451</v>
      </c>
      <c r="P61" s="422">
        <f t="shared" si="4"/>
        <v>432</v>
      </c>
      <c r="Q61" s="167">
        <f t="shared" si="5"/>
        <v>106309</v>
      </c>
      <c r="R61" s="167">
        <f t="shared" si="6"/>
        <v>106309</v>
      </c>
      <c r="S61" s="424">
        <f t="shared" si="15"/>
        <v>1</v>
      </c>
      <c r="T61" s="443">
        <f>VLOOKUP(Capacity_Entsoe_SFS_2014[[#This Row],[Country]],$Z$2:$AF$38,7,0)</f>
        <v>18176</v>
      </c>
      <c r="U61" s="443">
        <f>VLOOKUP(Capacity_Entsoe_SFS_2014[[#This Row],[Country]],$Z$2:$AF$38,4,0)</f>
        <v>38666</v>
      </c>
    </row>
    <row r="62" spans="1:21" x14ac:dyDescent="0.25">
      <c r="A62" s="366" t="str">
        <f t="shared" si="7"/>
        <v>FI</v>
      </c>
      <c r="B62" s="366">
        <f t="shared" si="8"/>
        <v>2014</v>
      </c>
      <c r="C62" s="366" t="str">
        <f t="shared" si="8"/>
        <v>MW</v>
      </c>
      <c r="D62" s="144">
        <f t="shared" si="9"/>
        <v>2752</v>
      </c>
      <c r="E62" s="144">
        <f t="shared" ref="E62:G62" si="34">F15</f>
        <v>0</v>
      </c>
      <c r="F62" s="167">
        <f t="shared" si="34"/>
        <v>3445</v>
      </c>
      <c r="G62" s="167">
        <f t="shared" si="34"/>
        <v>1824</v>
      </c>
      <c r="H62" s="422">
        <f t="shared" si="11"/>
        <v>3434</v>
      </c>
      <c r="I62" s="167">
        <f t="shared" si="12"/>
        <v>504</v>
      </c>
      <c r="J62" s="144">
        <v>0</v>
      </c>
      <c r="K62" s="422">
        <f t="shared" ref="K62:L62" si="35">M15</f>
        <v>0</v>
      </c>
      <c r="L62" s="422">
        <f t="shared" si="35"/>
        <v>2085</v>
      </c>
      <c r="M62" s="422">
        <f t="shared" si="14"/>
        <v>0</v>
      </c>
      <c r="N62" s="167">
        <f t="shared" si="2"/>
        <v>3234</v>
      </c>
      <c r="O62" s="167">
        <f t="shared" si="3"/>
        <v>0</v>
      </c>
      <c r="P62" s="422">
        <f t="shared" si="4"/>
        <v>175</v>
      </c>
      <c r="Q62" s="167">
        <f t="shared" si="5"/>
        <v>17453</v>
      </c>
      <c r="R62" s="167">
        <f t="shared" si="6"/>
        <v>17453</v>
      </c>
      <c r="S62" s="424">
        <f t="shared" si="15"/>
        <v>1</v>
      </c>
      <c r="T62" s="443">
        <f>VLOOKUP(Capacity_Entsoe_SFS_2014[[#This Row],[Country]],$Z$2:$AF$38,7,0)</f>
        <v>5901</v>
      </c>
      <c r="U62" s="443">
        <f>VLOOKUP(Capacity_Entsoe_SFS_2014[[#This Row],[Country]],$Z$2:$AF$38,4,0)</f>
        <v>14367</v>
      </c>
    </row>
    <row r="63" spans="1:21" x14ac:dyDescent="0.25">
      <c r="A63" s="366" t="str">
        <f t="shared" si="7"/>
        <v>FR</v>
      </c>
      <c r="B63" s="366">
        <f t="shared" si="8"/>
        <v>2014</v>
      </c>
      <c r="C63" s="366" t="str">
        <f t="shared" si="8"/>
        <v>MW</v>
      </c>
      <c r="D63" s="144">
        <f t="shared" si="9"/>
        <v>63130</v>
      </c>
      <c r="E63" s="144">
        <f t="shared" ref="E63:G63" si="36">F16</f>
        <v>0</v>
      </c>
      <c r="F63" s="167">
        <f t="shared" si="36"/>
        <v>5119</v>
      </c>
      <c r="G63" s="167">
        <f t="shared" si="36"/>
        <v>10409</v>
      </c>
      <c r="H63" s="422">
        <f t="shared" si="11"/>
        <v>8883</v>
      </c>
      <c r="I63" s="167">
        <f t="shared" si="12"/>
        <v>9120</v>
      </c>
      <c r="J63" s="144">
        <v>0</v>
      </c>
      <c r="K63" s="422">
        <f t="shared" ref="K63:L63" si="37">M16</f>
        <v>5292</v>
      </c>
      <c r="L63" s="422">
        <f t="shared" si="37"/>
        <v>1254</v>
      </c>
      <c r="M63" s="422">
        <f t="shared" si="14"/>
        <v>325</v>
      </c>
      <c r="N63" s="167">
        <f t="shared" si="2"/>
        <v>23704</v>
      </c>
      <c r="O63" s="167">
        <f t="shared" si="3"/>
        <v>1707</v>
      </c>
      <c r="P63" s="422">
        <f t="shared" si="4"/>
        <v>0</v>
      </c>
      <c r="Q63" s="167">
        <f t="shared" si="5"/>
        <v>128943</v>
      </c>
      <c r="R63" s="167">
        <f t="shared" si="6"/>
        <v>128943</v>
      </c>
      <c r="S63" s="424">
        <f t="shared" si="15"/>
        <v>1</v>
      </c>
      <c r="T63" s="443">
        <f>VLOOKUP(Capacity_Entsoe_SFS_2014[[#This Row],[Country]],$Z$2:$AF$38,7,0)</f>
        <v>29493</v>
      </c>
      <c r="U63" s="443">
        <f>VLOOKUP(Capacity_Entsoe_SFS_2014[[#This Row],[Country]],$Z$2:$AF$38,4,0)</f>
        <v>82538</v>
      </c>
    </row>
    <row r="64" spans="1:21" x14ac:dyDescent="0.25">
      <c r="A64" s="366" t="str">
        <f t="shared" si="7"/>
        <v>GB</v>
      </c>
      <c r="B64" s="366">
        <f t="shared" si="8"/>
        <v>2014</v>
      </c>
      <c r="C64" s="366" t="str">
        <f t="shared" si="8"/>
        <v>MW</v>
      </c>
      <c r="D64" s="144">
        <f t="shared" si="9"/>
        <v>9749</v>
      </c>
      <c r="E64" s="144">
        <f t="shared" ref="E64:G64" si="38">F17</f>
        <v>0</v>
      </c>
      <c r="F64" s="167">
        <f t="shared" si="38"/>
        <v>20524</v>
      </c>
      <c r="G64" s="167">
        <f t="shared" si="38"/>
        <v>30485</v>
      </c>
      <c r="H64" s="422">
        <f t="shared" si="11"/>
        <v>2278</v>
      </c>
      <c r="I64" s="167">
        <f t="shared" si="12"/>
        <v>6528</v>
      </c>
      <c r="J64" s="144">
        <v>0</v>
      </c>
      <c r="K64" s="422">
        <f t="shared" ref="K64:L64" si="39">M17</f>
        <v>0</v>
      </c>
      <c r="L64" s="422">
        <f t="shared" si="39"/>
        <v>1398</v>
      </c>
      <c r="M64" s="422">
        <f t="shared" si="14"/>
        <v>0</v>
      </c>
      <c r="N64" s="167">
        <f t="shared" si="2"/>
        <v>1070</v>
      </c>
      <c r="O64" s="167">
        <f t="shared" si="3"/>
        <v>2899</v>
      </c>
      <c r="P64" s="422">
        <f t="shared" si="4"/>
        <v>0</v>
      </c>
      <c r="Q64" s="167">
        <f t="shared" si="5"/>
        <v>74931</v>
      </c>
      <c r="R64" s="167">
        <f t="shared" si="6"/>
        <v>74931</v>
      </c>
      <c r="S64" s="424">
        <f t="shared" si="15"/>
        <v>1</v>
      </c>
      <c r="T64" s="443">
        <f>VLOOKUP(Capacity_Entsoe_SFS_2014[[#This Row],[Country]],$Z$2:$AF$38,7,0)</f>
        <v>19955</v>
      </c>
      <c r="U64" s="443">
        <f>VLOOKUP(Capacity_Entsoe_SFS_2014[[#This Row],[Country]],$Z$2:$AF$38,4,0)</f>
        <v>58023</v>
      </c>
    </row>
    <row r="65" spans="1:21" x14ac:dyDescent="0.25">
      <c r="A65" s="366" t="str">
        <f t="shared" si="7"/>
        <v>GR</v>
      </c>
      <c r="B65" s="366">
        <f t="shared" si="8"/>
        <v>2014</v>
      </c>
      <c r="C65" s="366" t="str">
        <f t="shared" si="8"/>
        <v>MW</v>
      </c>
      <c r="D65" s="144">
        <f t="shared" si="9"/>
        <v>0</v>
      </c>
      <c r="E65" s="144">
        <f t="shared" ref="E65:G65" si="40">F18</f>
        <v>4456</v>
      </c>
      <c r="F65" s="167">
        <f t="shared" si="40"/>
        <v>0</v>
      </c>
      <c r="G65" s="167">
        <f t="shared" si="40"/>
        <v>4902</v>
      </c>
      <c r="H65" s="422">
        <f t="shared" si="11"/>
        <v>698</v>
      </c>
      <c r="I65" s="167">
        <f t="shared" si="12"/>
        <v>1662</v>
      </c>
      <c r="J65" s="144">
        <v>0</v>
      </c>
      <c r="K65" s="422">
        <f t="shared" ref="K65:L65" si="41">M18</f>
        <v>2436</v>
      </c>
      <c r="L65" s="422">
        <f t="shared" si="41"/>
        <v>47</v>
      </c>
      <c r="M65" s="422">
        <f t="shared" si="14"/>
        <v>0</v>
      </c>
      <c r="N65" s="167">
        <f t="shared" si="2"/>
        <v>220</v>
      </c>
      <c r="O65" s="167">
        <f t="shared" si="3"/>
        <v>3017</v>
      </c>
      <c r="P65" s="422">
        <f t="shared" si="4"/>
        <v>99</v>
      </c>
      <c r="Q65" s="167">
        <f t="shared" si="5"/>
        <v>17537</v>
      </c>
      <c r="R65" s="167">
        <f t="shared" si="6"/>
        <v>17536</v>
      </c>
      <c r="S65" s="424">
        <f t="shared" si="15"/>
        <v>1.0000570255474452</v>
      </c>
      <c r="T65" s="443">
        <f>VLOOKUP(Capacity_Entsoe_SFS_2014[[#This Row],[Country]],$Z$2:$AF$38,7,0)</f>
        <v>2343</v>
      </c>
      <c r="U65" s="443">
        <f>VLOOKUP(Capacity_Entsoe_SFS_2014[[#This Row],[Country]],$Z$2:$AF$38,4,0)</f>
        <v>9092</v>
      </c>
    </row>
    <row r="66" spans="1:21" x14ac:dyDescent="0.25">
      <c r="A66" s="366" t="str">
        <f t="shared" si="7"/>
        <v>HR</v>
      </c>
      <c r="B66" s="366">
        <f t="shared" si="8"/>
        <v>2014</v>
      </c>
      <c r="C66" s="366" t="str">
        <f t="shared" si="8"/>
        <v>MW</v>
      </c>
      <c r="D66" s="144">
        <f t="shared" si="9"/>
        <v>0</v>
      </c>
      <c r="E66" s="144">
        <f t="shared" ref="E66:G66" si="42">F19</f>
        <v>0</v>
      </c>
      <c r="F66" s="167">
        <f t="shared" si="42"/>
        <v>325</v>
      </c>
      <c r="G66" s="167">
        <f t="shared" si="42"/>
        <v>496</v>
      </c>
      <c r="H66" s="422">
        <f t="shared" si="11"/>
        <v>949</v>
      </c>
      <c r="I66" s="167">
        <f t="shared" si="12"/>
        <v>340</v>
      </c>
      <c r="J66" s="144">
        <v>0</v>
      </c>
      <c r="K66" s="422">
        <f t="shared" ref="K66:L66" si="43">M19</f>
        <v>30</v>
      </c>
      <c r="L66" s="422">
        <f t="shared" si="43"/>
        <v>20</v>
      </c>
      <c r="M66" s="422">
        <f t="shared" si="14"/>
        <v>0</v>
      </c>
      <c r="N66" s="167">
        <f t="shared" si="2"/>
        <v>2112</v>
      </c>
      <c r="O66" s="167">
        <f t="shared" si="3"/>
        <v>0</v>
      </c>
      <c r="P66" s="422">
        <f t="shared" si="4"/>
        <v>0</v>
      </c>
      <c r="Q66" s="167">
        <f t="shared" si="5"/>
        <v>4272</v>
      </c>
      <c r="R66" s="167">
        <f t="shared" si="6"/>
        <v>4272</v>
      </c>
      <c r="S66" s="424">
        <f t="shared" si="15"/>
        <v>1</v>
      </c>
      <c r="T66" s="443">
        <f>VLOOKUP(Capacity_Entsoe_SFS_2014[[#This Row],[Country]],$Z$2:$AF$38,7,0)</f>
        <v>1166</v>
      </c>
      <c r="U66" s="443">
        <f>VLOOKUP(Capacity_Entsoe_SFS_2014[[#This Row],[Country]],$Z$2:$AF$38,4,0)</f>
        <v>2974</v>
      </c>
    </row>
    <row r="67" spans="1:21" x14ac:dyDescent="0.25">
      <c r="A67" s="366" t="str">
        <f t="shared" si="7"/>
        <v>HU</v>
      </c>
      <c r="B67" s="366">
        <f t="shared" si="8"/>
        <v>2014</v>
      </c>
      <c r="C67" s="366" t="str">
        <f t="shared" si="8"/>
        <v>MW</v>
      </c>
      <c r="D67" s="144">
        <f t="shared" si="9"/>
        <v>1890</v>
      </c>
      <c r="E67" s="144">
        <f t="shared" ref="E67:G67" si="44">F20</f>
        <v>731</v>
      </c>
      <c r="F67" s="167">
        <f t="shared" si="44"/>
        <v>168</v>
      </c>
      <c r="G67" s="167">
        <f t="shared" si="44"/>
        <v>4786</v>
      </c>
      <c r="H67" s="422">
        <f t="shared" si="11"/>
        <v>410</v>
      </c>
      <c r="I67" s="167">
        <f t="shared" si="12"/>
        <v>329</v>
      </c>
      <c r="J67" s="144">
        <v>0</v>
      </c>
      <c r="K67" s="422">
        <f t="shared" ref="K67:L67" si="45">M20</f>
        <v>6</v>
      </c>
      <c r="L67" s="422">
        <f t="shared" si="45"/>
        <v>197</v>
      </c>
      <c r="M67" s="422">
        <f t="shared" si="14"/>
        <v>0</v>
      </c>
      <c r="N67" s="167">
        <f t="shared" si="2"/>
        <v>57</v>
      </c>
      <c r="O67" s="167">
        <f t="shared" si="3"/>
        <v>0</v>
      </c>
      <c r="P67" s="422">
        <f t="shared" si="4"/>
        <v>0</v>
      </c>
      <c r="Q67" s="167">
        <f t="shared" si="5"/>
        <v>8574</v>
      </c>
      <c r="R67" s="167">
        <f t="shared" si="6"/>
        <v>8574</v>
      </c>
      <c r="S67" s="424">
        <f t="shared" si="15"/>
        <v>1</v>
      </c>
      <c r="T67" s="443">
        <f>VLOOKUP(Capacity_Entsoe_SFS_2014[[#This Row],[Country]],$Z$2:$AF$38,7,0)</f>
        <v>2822</v>
      </c>
      <c r="U67" s="443">
        <f>VLOOKUP(Capacity_Entsoe_SFS_2014[[#This Row],[Country]],$Z$2:$AF$38,4,0)</f>
        <v>6002</v>
      </c>
    </row>
    <row r="68" spans="1:21" x14ac:dyDescent="0.25">
      <c r="A68" s="366" t="str">
        <f t="shared" si="7"/>
        <v>IE</v>
      </c>
      <c r="B68" s="366">
        <f t="shared" si="8"/>
        <v>2014</v>
      </c>
      <c r="C68" s="366" t="str">
        <f t="shared" si="8"/>
        <v>MW</v>
      </c>
      <c r="D68" s="144">
        <f t="shared" si="9"/>
        <v>0</v>
      </c>
      <c r="E68" s="144">
        <f t="shared" ref="E68:G68" si="46">F21</f>
        <v>346</v>
      </c>
      <c r="F68" s="167">
        <f t="shared" si="46"/>
        <v>855</v>
      </c>
      <c r="G68" s="167">
        <f t="shared" si="46"/>
        <v>3756</v>
      </c>
      <c r="H68" s="422">
        <f t="shared" si="11"/>
        <v>1284</v>
      </c>
      <c r="I68" s="167">
        <f t="shared" si="12"/>
        <v>2165</v>
      </c>
      <c r="J68" s="144">
        <v>0</v>
      </c>
      <c r="K68" s="422">
        <f t="shared" ref="K68:L68" si="47">M21</f>
        <v>0</v>
      </c>
      <c r="L68" s="422">
        <f t="shared" si="47"/>
        <v>55</v>
      </c>
      <c r="M68" s="422">
        <f t="shared" si="14"/>
        <v>0</v>
      </c>
      <c r="N68" s="167">
        <f t="shared" si="2"/>
        <v>238</v>
      </c>
      <c r="O68" s="167">
        <f t="shared" si="3"/>
        <v>292</v>
      </c>
      <c r="P68" s="422">
        <f t="shared" si="4"/>
        <v>169</v>
      </c>
      <c r="Q68" s="167">
        <f t="shared" si="5"/>
        <v>9160</v>
      </c>
      <c r="R68" s="167">
        <f t="shared" si="6"/>
        <v>9160</v>
      </c>
      <c r="S68" s="424">
        <f t="shared" si="15"/>
        <v>1</v>
      </c>
      <c r="T68" s="443">
        <f>VLOOKUP(Capacity_Entsoe_SFS_2014[[#This Row],[Country]],$Z$2:$AF$38,7,0)</f>
        <v>1684</v>
      </c>
      <c r="U68" s="443">
        <f>VLOOKUP(Capacity_Entsoe_SFS_2014[[#This Row],[Country]],$Z$2:$AF$38,4,0)</f>
        <v>4572</v>
      </c>
    </row>
    <row r="69" spans="1:21" x14ac:dyDescent="0.25">
      <c r="A69" s="366" t="str">
        <f t="shared" si="7"/>
        <v>IS</v>
      </c>
      <c r="B69" s="366">
        <f t="shared" si="8"/>
        <v>2014</v>
      </c>
      <c r="C69" s="366" t="str">
        <f t="shared" si="8"/>
        <v>MW</v>
      </c>
      <c r="D69" s="144">
        <f t="shared" si="9"/>
        <v>0</v>
      </c>
      <c r="E69" s="144">
        <f t="shared" ref="E69:G69" si="48">F22</f>
        <v>0</v>
      </c>
      <c r="F69" s="167">
        <f t="shared" si="48"/>
        <v>0</v>
      </c>
      <c r="G69" s="167">
        <f t="shared" si="48"/>
        <v>0</v>
      </c>
      <c r="H69" s="422">
        <f t="shared" si="11"/>
        <v>63</v>
      </c>
      <c r="I69" s="167">
        <f t="shared" si="12"/>
        <v>2</v>
      </c>
      <c r="J69" s="144">
        <v>0</v>
      </c>
      <c r="K69" s="422">
        <f t="shared" ref="K69:L69" si="49">M22</f>
        <v>0</v>
      </c>
      <c r="L69" s="422">
        <f t="shared" si="49"/>
        <v>0</v>
      </c>
      <c r="M69" s="422">
        <f t="shared" si="14"/>
        <v>663</v>
      </c>
      <c r="N69" s="167">
        <f t="shared" si="2"/>
        <v>1860</v>
      </c>
      <c r="O69" s="167">
        <f t="shared" si="3"/>
        <v>0</v>
      </c>
      <c r="P69" s="422">
        <f t="shared" si="4"/>
        <v>0</v>
      </c>
      <c r="Q69" s="167">
        <f t="shared" si="5"/>
        <v>2588</v>
      </c>
      <c r="R69" s="167">
        <f t="shared" si="6"/>
        <v>2588</v>
      </c>
      <c r="S69" s="424">
        <f t="shared" si="15"/>
        <v>1</v>
      </c>
      <c r="T69" s="443">
        <f>VLOOKUP(Capacity_Entsoe_SFS_2014[[#This Row],[Country]],$Z$2:$AF$38,7,0)</f>
        <v>1337</v>
      </c>
      <c r="U69" s="443">
        <f>VLOOKUP(Capacity_Entsoe_SFS_2014[[#This Row],[Country]],$Z$2:$AF$38,4,0)</f>
        <v>2278</v>
      </c>
    </row>
    <row r="70" spans="1:21" x14ac:dyDescent="0.25">
      <c r="A70" s="366" t="str">
        <f t="shared" si="7"/>
        <v>IT</v>
      </c>
      <c r="B70" s="366">
        <f t="shared" si="8"/>
        <v>2014</v>
      </c>
      <c r="C70" s="366" t="str">
        <f t="shared" si="8"/>
        <v>MW</v>
      </c>
      <c r="D70" s="144">
        <f t="shared" si="9"/>
        <v>0</v>
      </c>
      <c r="E70" s="144">
        <f t="shared" ref="E70:G70" si="50">F23</f>
        <v>0</v>
      </c>
      <c r="F70" s="167">
        <f t="shared" si="50"/>
        <v>6393</v>
      </c>
      <c r="G70" s="167">
        <f t="shared" si="50"/>
        <v>35750</v>
      </c>
      <c r="H70" s="422">
        <f t="shared" si="11"/>
        <v>29111</v>
      </c>
      <c r="I70" s="167">
        <f t="shared" si="12"/>
        <v>8542</v>
      </c>
      <c r="J70" s="144">
        <v>0</v>
      </c>
      <c r="K70" s="422">
        <f t="shared" ref="K70:L70" si="51">M23</f>
        <v>18620</v>
      </c>
      <c r="L70" s="422">
        <f t="shared" si="51"/>
        <v>4256</v>
      </c>
      <c r="M70" s="422">
        <f t="shared" si="14"/>
        <v>270</v>
      </c>
      <c r="N70" s="167">
        <f t="shared" si="2"/>
        <v>0</v>
      </c>
      <c r="O70" s="167">
        <f t="shared" si="3"/>
        <v>22009</v>
      </c>
      <c r="P70" s="422">
        <f t="shared" si="4"/>
        <v>0</v>
      </c>
      <c r="Q70" s="167">
        <f t="shared" si="5"/>
        <v>124951</v>
      </c>
      <c r="R70" s="167">
        <f t="shared" si="6"/>
        <v>124951</v>
      </c>
      <c r="S70" s="424">
        <f t="shared" si="15"/>
        <v>1</v>
      </c>
      <c r="T70" s="443">
        <f>VLOOKUP(Capacity_Entsoe_SFS_2014[[#This Row],[Country]],$Z$2:$AF$38,7,0)</f>
        <v>18738</v>
      </c>
      <c r="U70" s="443">
        <f>VLOOKUP(Capacity_Entsoe_SFS_2014[[#This Row],[Country]],$Z$2:$AF$38,4,0)</f>
        <v>51587</v>
      </c>
    </row>
    <row r="71" spans="1:21" x14ac:dyDescent="0.25">
      <c r="A71" s="366" t="str">
        <f t="shared" si="7"/>
        <v>LT</v>
      </c>
      <c r="B71" s="366">
        <f t="shared" si="8"/>
        <v>2014</v>
      </c>
      <c r="C71" s="366" t="str">
        <f t="shared" si="8"/>
        <v>MW</v>
      </c>
      <c r="D71" s="144">
        <f t="shared" si="9"/>
        <v>0</v>
      </c>
      <c r="E71" s="144">
        <f t="shared" ref="E71:G71" si="52">F24</f>
        <v>0</v>
      </c>
      <c r="F71" s="167">
        <f t="shared" si="52"/>
        <v>0</v>
      </c>
      <c r="G71" s="167">
        <f t="shared" si="52"/>
        <v>579</v>
      </c>
      <c r="H71" s="422">
        <f t="shared" si="11"/>
        <v>2041</v>
      </c>
      <c r="I71" s="167">
        <f t="shared" si="12"/>
        <v>288</v>
      </c>
      <c r="J71" s="144">
        <v>0</v>
      </c>
      <c r="K71" s="422">
        <f t="shared" ref="K71:L71" si="53">M24</f>
        <v>69</v>
      </c>
      <c r="L71" s="422">
        <f t="shared" si="53"/>
        <v>78</v>
      </c>
      <c r="M71" s="422">
        <f t="shared" si="14"/>
        <v>0</v>
      </c>
      <c r="N71" s="167">
        <f t="shared" si="2"/>
        <v>126</v>
      </c>
      <c r="O71" s="167">
        <f t="shared" si="3"/>
        <v>900</v>
      </c>
      <c r="P71" s="422">
        <f t="shared" si="4"/>
        <v>10</v>
      </c>
      <c r="Q71" s="167">
        <f t="shared" si="5"/>
        <v>4091</v>
      </c>
      <c r="R71" s="167">
        <f t="shared" si="6"/>
        <v>4091</v>
      </c>
      <c r="S71" s="424">
        <f t="shared" si="15"/>
        <v>1</v>
      </c>
      <c r="T71" s="443">
        <f>VLOOKUP(Capacity_Entsoe_SFS_2014[[#This Row],[Country]],$Z$2:$AF$38,7,0)</f>
        <v>755</v>
      </c>
      <c r="U71" s="443">
        <f>VLOOKUP(Capacity_Entsoe_SFS_2014[[#This Row],[Country]],$Z$2:$AF$38,4,0)</f>
        <v>1835</v>
      </c>
    </row>
    <row r="72" spans="1:21" x14ac:dyDescent="0.25">
      <c r="A72" s="366" t="str">
        <f t="shared" si="7"/>
        <v>LU</v>
      </c>
      <c r="B72" s="366">
        <f t="shared" si="8"/>
        <v>2014</v>
      </c>
      <c r="C72" s="366" t="str">
        <f t="shared" si="8"/>
        <v>MW</v>
      </c>
      <c r="D72" s="144">
        <f t="shared" si="9"/>
        <v>0</v>
      </c>
      <c r="E72" s="144">
        <f t="shared" ref="E72:G72" si="54">F25</f>
        <v>0</v>
      </c>
      <c r="F72" s="167">
        <f t="shared" si="54"/>
        <v>0</v>
      </c>
      <c r="G72" s="167">
        <f t="shared" si="54"/>
        <v>495</v>
      </c>
      <c r="H72" s="422">
        <f t="shared" si="11"/>
        <v>0</v>
      </c>
      <c r="I72" s="167">
        <f t="shared" si="12"/>
        <v>57</v>
      </c>
      <c r="J72" s="144">
        <v>0</v>
      </c>
      <c r="K72" s="422">
        <f t="shared" ref="K72:L72" si="55">M25</f>
        <v>109</v>
      </c>
      <c r="L72" s="422">
        <f t="shared" si="55"/>
        <v>11</v>
      </c>
      <c r="M72" s="422">
        <f t="shared" si="14"/>
        <v>0</v>
      </c>
      <c r="N72" s="167">
        <f t="shared" si="2"/>
        <v>38</v>
      </c>
      <c r="O72" s="167">
        <f t="shared" si="3"/>
        <v>1296</v>
      </c>
      <c r="P72" s="422">
        <f t="shared" si="4"/>
        <v>21</v>
      </c>
      <c r="Q72" s="167">
        <f t="shared" si="5"/>
        <v>2027</v>
      </c>
      <c r="R72" s="167">
        <f t="shared" si="6"/>
        <v>2027</v>
      </c>
      <c r="S72" s="424">
        <f t="shared" si="15"/>
        <v>1</v>
      </c>
      <c r="T72" s="443">
        <f>VLOOKUP(Capacity_Entsoe_SFS_2014[[#This Row],[Country]],$Z$2:$AF$38,7,0)</f>
        <v>368</v>
      </c>
      <c r="U72" s="443">
        <f>VLOOKUP(Capacity_Entsoe_SFS_2014[[#This Row],[Country]],$Z$2:$AF$38,4,0)</f>
        <v>878</v>
      </c>
    </row>
    <row r="73" spans="1:21" x14ac:dyDescent="0.25">
      <c r="A73" s="366" t="str">
        <f t="shared" si="7"/>
        <v>LV</v>
      </c>
      <c r="B73" s="366">
        <f t="shared" ref="B73:C78" si="56">B29</f>
        <v>2014</v>
      </c>
      <c r="C73" s="366" t="str">
        <f t="shared" si="56"/>
        <v>MW</v>
      </c>
      <c r="D73" s="144">
        <f t="shared" si="9"/>
        <v>0</v>
      </c>
      <c r="E73" s="144">
        <f t="shared" ref="E73:G73" si="57">F26</f>
        <v>0</v>
      </c>
      <c r="F73" s="167">
        <f t="shared" si="57"/>
        <v>0</v>
      </c>
      <c r="G73" s="167">
        <f t="shared" si="57"/>
        <v>820</v>
      </c>
      <c r="H73" s="422">
        <f t="shared" si="11"/>
        <v>85</v>
      </c>
      <c r="I73" s="167">
        <f t="shared" si="12"/>
        <v>58</v>
      </c>
      <c r="J73" s="144">
        <v>0</v>
      </c>
      <c r="K73" s="422">
        <f t="shared" ref="K73:L73" si="58">M26</f>
        <v>0</v>
      </c>
      <c r="L73" s="422">
        <f t="shared" si="58"/>
        <v>82</v>
      </c>
      <c r="M73" s="422">
        <f t="shared" si="14"/>
        <v>0</v>
      </c>
      <c r="N73" s="167">
        <f t="shared" si="2"/>
        <v>1578</v>
      </c>
      <c r="O73" s="167">
        <f t="shared" si="3"/>
        <v>0</v>
      </c>
      <c r="P73" s="422">
        <f t="shared" si="4"/>
        <v>0</v>
      </c>
      <c r="Q73" s="167">
        <f t="shared" si="5"/>
        <v>2623</v>
      </c>
      <c r="R73" s="167">
        <f t="shared" si="6"/>
        <v>2623</v>
      </c>
      <c r="S73" s="424">
        <f t="shared" si="15"/>
        <v>1</v>
      </c>
      <c r="T73" s="443">
        <f>VLOOKUP(Capacity_Entsoe_SFS_2014[[#This Row],[Country]],$Z$2:$AF$38,7,0)</f>
        <v>453</v>
      </c>
      <c r="U73" s="443">
        <f>VLOOKUP(Capacity_Entsoe_SFS_2014[[#This Row],[Country]],$Z$2:$AF$38,4,0)</f>
        <v>1331</v>
      </c>
    </row>
    <row r="74" spans="1:21" x14ac:dyDescent="0.25">
      <c r="A74" s="366" t="str">
        <f t="shared" si="7"/>
        <v>ME</v>
      </c>
      <c r="B74" s="366">
        <f t="shared" si="56"/>
        <v>2014</v>
      </c>
      <c r="C74" s="366" t="str">
        <f t="shared" si="56"/>
        <v>MW</v>
      </c>
      <c r="D74" s="144">
        <f t="shared" si="9"/>
        <v>0</v>
      </c>
      <c r="E74" s="144">
        <f t="shared" ref="E74:G74" si="59">F27</f>
        <v>220</v>
      </c>
      <c r="F74" s="167">
        <f t="shared" si="59"/>
        <v>0</v>
      </c>
      <c r="G74" s="167">
        <f t="shared" si="59"/>
        <v>0</v>
      </c>
      <c r="H74" s="422">
        <f t="shared" si="11"/>
        <v>0</v>
      </c>
      <c r="I74" s="167">
        <f t="shared" si="12"/>
        <v>0</v>
      </c>
      <c r="J74" s="144">
        <v>0</v>
      </c>
      <c r="K74" s="422">
        <f t="shared" ref="K74:L74" si="60">M27</f>
        <v>0</v>
      </c>
      <c r="L74" s="422">
        <f t="shared" si="60"/>
        <v>0</v>
      </c>
      <c r="M74" s="422">
        <f t="shared" si="14"/>
        <v>0</v>
      </c>
      <c r="N74" s="167">
        <f t="shared" si="2"/>
        <v>10</v>
      </c>
      <c r="O74" s="167">
        <f t="shared" si="3"/>
        <v>650</v>
      </c>
      <c r="P74" s="422">
        <f t="shared" si="4"/>
        <v>0</v>
      </c>
      <c r="Q74" s="167">
        <f t="shared" si="5"/>
        <v>880</v>
      </c>
      <c r="R74" s="167">
        <f t="shared" si="6"/>
        <v>880</v>
      </c>
      <c r="S74" s="424">
        <f t="shared" si="15"/>
        <v>1</v>
      </c>
      <c r="T74" s="443">
        <f>VLOOKUP(Capacity_Entsoe_SFS_2014[[#This Row],[Country]],$Z$2:$AF$38,7,0)</f>
        <v>217</v>
      </c>
      <c r="U74" s="443">
        <f>VLOOKUP(Capacity_Entsoe_SFS_2014[[#This Row],[Country]],$Z$2:$AF$38,4,0)</f>
        <v>638</v>
      </c>
    </row>
    <row r="75" spans="1:21" x14ac:dyDescent="0.25">
      <c r="A75" s="366" t="str">
        <f t="shared" si="7"/>
        <v>MK</v>
      </c>
      <c r="B75" s="366">
        <f t="shared" si="56"/>
        <v>2014</v>
      </c>
      <c r="C75" s="366" t="str">
        <f t="shared" si="56"/>
        <v>MW</v>
      </c>
      <c r="D75" s="144">
        <f t="shared" si="9"/>
        <v>0</v>
      </c>
      <c r="E75" s="144">
        <f t="shared" ref="E75:G75" si="61">F28</f>
        <v>718</v>
      </c>
      <c r="F75" s="167">
        <f t="shared" si="61"/>
        <v>0</v>
      </c>
      <c r="G75" s="167">
        <f t="shared" si="61"/>
        <v>250</v>
      </c>
      <c r="H75" s="422">
        <f t="shared" si="11"/>
        <v>189</v>
      </c>
      <c r="I75" s="167">
        <f t="shared" si="12"/>
        <v>36</v>
      </c>
      <c r="J75" s="144">
        <v>0</v>
      </c>
      <c r="K75" s="422">
        <f t="shared" ref="K75:L75" si="62">M28</f>
        <v>0</v>
      </c>
      <c r="L75" s="422">
        <f t="shared" si="62"/>
        <v>0</v>
      </c>
      <c r="M75" s="422">
        <f t="shared" si="14"/>
        <v>0</v>
      </c>
      <c r="N75" s="167">
        <f t="shared" si="2"/>
        <v>0</v>
      </c>
      <c r="O75" s="167">
        <f t="shared" si="3"/>
        <v>539</v>
      </c>
      <c r="P75" s="422">
        <f t="shared" si="4"/>
        <v>0</v>
      </c>
      <c r="Q75" s="167">
        <f t="shared" si="5"/>
        <v>1732</v>
      </c>
      <c r="R75" s="167">
        <f t="shared" si="6"/>
        <v>1732</v>
      </c>
      <c r="S75" s="424">
        <f t="shared" si="15"/>
        <v>1</v>
      </c>
      <c r="T75" s="443">
        <f>VLOOKUP(Capacity_Entsoe_SFS_2014[[#This Row],[Country]],$Z$2:$AF$38,7,0)</f>
        <v>555</v>
      </c>
      <c r="U75" s="443">
        <f>VLOOKUP(Capacity_Entsoe_SFS_2014[[#This Row],[Country]],$Z$2:$AF$38,4,0)</f>
        <v>1507</v>
      </c>
    </row>
    <row r="76" spans="1:21" x14ac:dyDescent="0.25">
      <c r="A76" s="366" t="str">
        <f t="shared" si="7"/>
        <v>NI</v>
      </c>
      <c r="B76" s="366">
        <f t="shared" si="56"/>
        <v>2014</v>
      </c>
      <c r="C76" s="366" t="str">
        <f t="shared" si="56"/>
        <v>MW</v>
      </c>
      <c r="D76" s="144">
        <f t="shared" si="9"/>
        <v>0</v>
      </c>
      <c r="E76" s="144">
        <f t="shared" ref="E76:G76" si="63">F29</f>
        <v>0</v>
      </c>
      <c r="F76" s="167">
        <f t="shared" si="63"/>
        <v>3836</v>
      </c>
      <c r="G76" s="167">
        <f t="shared" si="63"/>
        <v>2064</v>
      </c>
      <c r="H76" s="422">
        <f t="shared" si="11"/>
        <v>4</v>
      </c>
      <c r="I76" s="167">
        <f t="shared" si="12"/>
        <v>1447</v>
      </c>
      <c r="J76" s="144">
        <v>0</v>
      </c>
      <c r="K76" s="422">
        <f t="shared" ref="K76:L76" si="64">M29</f>
        <v>0</v>
      </c>
      <c r="L76" s="422">
        <f t="shared" si="64"/>
        <v>43</v>
      </c>
      <c r="M76" s="422">
        <f t="shared" si="14"/>
        <v>60</v>
      </c>
      <c r="N76" s="167">
        <f t="shared" si="2"/>
        <v>12</v>
      </c>
      <c r="O76" s="167">
        <f t="shared" si="3"/>
        <v>0</v>
      </c>
      <c r="P76" s="422">
        <f t="shared" si="4"/>
        <v>0</v>
      </c>
      <c r="Q76" s="167">
        <f t="shared" si="5"/>
        <v>7466</v>
      </c>
      <c r="R76" s="167">
        <f t="shared" si="6"/>
        <v>7466</v>
      </c>
      <c r="S76" s="424">
        <f t="shared" si="15"/>
        <v>1</v>
      </c>
      <c r="T76" s="443">
        <f>VLOOKUP(Capacity_Entsoe_SFS_2014[[#This Row],[Country]],$Z$2:$AF$38,7,0)</f>
        <v>500</v>
      </c>
      <c r="U76" s="443">
        <f>VLOOKUP(Capacity_Entsoe_SFS_2014[[#This Row],[Country]],$Z$2:$AF$38,4,0)</f>
        <v>1745</v>
      </c>
    </row>
    <row r="77" spans="1:21" x14ac:dyDescent="0.25">
      <c r="A77" s="366" t="str">
        <f t="shared" si="7"/>
        <v>NL</v>
      </c>
      <c r="B77" s="366">
        <f t="shared" si="56"/>
        <v>2014</v>
      </c>
      <c r="C77" s="366" t="str">
        <f t="shared" si="56"/>
        <v>MW</v>
      </c>
      <c r="D77" s="144">
        <f t="shared" si="9"/>
        <v>492</v>
      </c>
      <c r="E77" s="144">
        <f t="shared" ref="E77:G77" si="65">F30</f>
        <v>0</v>
      </c>
      <c r="F77" s="167">
        <f t="shared" si="65"/>
        <v>7270</v>
      </c>
      <c r="G77" s="167">
        <f t="shared" si="65"/>
        <v>19590</v>
      </c>
      <c r="H77" s="422">
        <f t="shared" si="11"/>
        <v>869</v>
      </c>
      <c r="I77" s="167">
        <f t="shared" si="12"/>
        <v>2874</v>
      </c>
      <c r="J77" s="144">
        <v>0</v>
      </c>
      <c r="K77" s="422">
        <f t="shared" ref="K77:L77" si="66">M30</f>
        <v>1000</v>
      </c>
      <c r="L77" s="422">
        <f t="shared" si="66"/>
        <v>400</v>
      </c>
      <c r="M77" s="422">
        <f t="shared" si="14"/>
        <v>0</v>
      </c>
      <c r="N77" s="167">
        <f t="shared" si="2"/>
        <v>38</v>
      </c>
      <c r="O77" s="167">
        <f t="shared" si="3"/>
        <v>0</v>
      </c>
      <c r="P77" s="422">
        <f t="shared" si="4"/>
        <v>680</v>
      </c>
      <c r="Q77" s="167">
        <f t="shared" si="5"/>
        <v>33213</v>
      </c>
      <c r="R77" s="167">
        <f t="shared" si="6"/>
        <v>33213</v>
      </c>
      <c r="S77" s="424">
        <f t="shared" si="15"/>
        <v>1</v>
      </c>
      <c r="T77" s="443">
        <f>VLOOKUP(Capacity_Entsoe_SFS_2014[[#This Row],[Country]],$Z$2:$AF$38,7,0)</f>
        <v>6233</v>
      </c>
      <c r="U77" s="443">
        <f>VLOOKUP(Capacity_Entsoe_SFS_2014[[#This Row],[Country]],$Z$2:$AF$38,4,0)</f>
        <v>18460</v>
      </c>
    </row>
    <row r="78" spans="1:21" x14ac:dyDescent="0.25">
      <c r="A78" s="366" t="str">
        <f t="shared" si="7"/>
        <v>NO</v>
      </c>
      <c r="B78" s="366">
        <f t="shared" si="56"/>
        <v>2014</v>
      </c>
      <c r="C78" s="366" t="str">
        <f t="shared" si="56"/>
        <v>MW</v>
      </c>
      <c r="D78" s="144">
        <f t="shared" si="9"/>
        <v>0</v>
      </c>
      <c r="E78" s="144">
        <f t="shared" ref="E78:G78" si="67">F31</f>
        <v>0</v>
      </c>
      <c r="F78" s="167">
        <f t="shared" si="67"/>
        <v>0</v>
      </c>
      <c r="G78" s="167">
        <f t="shared" si="67"/>
        <v>1090</v>
      </c>
      <c r="H78" s="422">
        <f t="shared" si="11"/>
        <v>0</v>
      </c>
      <c r="I78" s="167">
        <f t="shared" si="12"/>
        <v>814</v>
      </c>
      <c r="J78" s="144">
        <v>0</v>
      </c>
      <c r="K78" s="422">
        <f t="shared" ref="K78:L78" si="68">M31</f>
        <v>0</v>
      </c>
      <c r="L78" s="422">
        <f t="shared" si="68"/>
        <v>0</v>
      </c>
      <c r="M78" s="422">
        <f t="shared" si="14"/>
        <v>0</v>
      </c>
      <c r="N78" s="167">
        <f t="shared" si="2"/>
        <v>31062</v>
      </c>
      <c r="O78" s="167">
        <f t="shared" si="3"/>
        <v>0</v>
      </c>
      <c r="P78" s="422">
        <f t="shared" si="4"/>
        <v>0</v>
      </c>
      <c r="Q78" s="167">
        <f t="shared" si="5"/>
        <v>32966</v>
      </c>
      <c r="R78" s="167">
        <f t="shared" si="6"/>
        <v>32909</v>
      </c>
      <c r="S78" s="424">
        <f t="shared" si="15"/>
        <v>1.0017320489835608</v>
      </c>
      <c r="T78" s="443">
        <f>VLOOKUP(Capacity_Entsoe_SFS_2014[[#This Row],[Country]],$Z$2:$AF$38,7,0)</f>
        <v>8633</v>
      </c>
      <c r="U78" s="443">
        <f>VLOOKUP(Capacity_Entsoe_SFS_2014[[#This Row],[Country]],$Z$2:$AF$38,4,0)</f>
        <v>22957</v>
      </c>
    </row>
    <row r="79" spans="1:21" x14ac:dyDescent="0.25">
      <c r="A79" s="366" t="str">
        <f t="shared" si="7"/>
        <v>PL</v>
      </c>
      <c r="B79" s="366">
        <f t="shared" ref="B79:C81" si="69">B36</f>
        <v>2014</v>
      </c>
      <c r="C79" s="366" t="str">
        <f t="shared" si="69"/>
        <v>MW</v>
      </c>
      <c r="D79" s="144">
        <f t="shared" si="9"/>
        <v>0</v>
      </c>
      <c r="E79" s="144">
        <f t="shared" ref="E79:G79" si="70">F32</f>
        <v>8519</v>
      </c>
      <c r="F79" s="167">
        <f t="shared" si="70"/>
        <v>17309</v>
      </c>
      <c r="G79" s="167">
        <f t="shared" si="70"/>
        <v>944</v>
      </c>
      <c r="H79" s="422">
        <f t="shared" si="11"/>
        <v>2326</v>
      </c>
      <c r="I79" s="167">
        <f t="shared" si="12"/>
        <v>3753</v>
      </c>
      <c r="J79" s="144">
        <v>0</v>
      </c>
      <c r="K79" s="422">
        <f t="shared" ref="K79:L79" si="71">M32</f>
        <v>23</v>
      </c>
      <c r="L79" s="422">
        <f t="shared" si="71"/>
        <v>772</v>
      </c>
      <c r="M79" s="422">
        <f t="shared" si="14"/>
        <v>0</v>
      </c>
      <c r="N79" s="167">
        <f t="shared" si="2"/>
        <v>941</v>
      </c>
      <c r="O79" s="167">
        <f t="shared" si="3"/>
        <v>1413</v>
      </c>
      <c r="P79" s="422">
        <f t="shared" si="4"/>
        <v>0</v>
      </c>
      <c r="Q79" s="167">
        <f t="shared" si="5"/>
        <v>36000</v>
      </c>
      <c r="R79" s="167">
        <f t="shared" si="6"/>
        <v>36000</v>
      </c>
      <c r="S79" s="424">
        <f t="shared" si="15"/>
        <v>1</v>
      </c>
      <c r="T79" s="443">
        <f>VLOOKUP(Capacity_Entsoe_SFS_2014[[#This Row],[Country]],$Z$2:$AF$38,7,0)</f>
        <v>9761</v>
      </c>
      <c r="U79" s="443">
        <f>VLOOKUP(Capacity_Entsoe_SFS_2014[[#This Row],[Country]],$Z$2:$AF$38,4,0)</f>
        <v>23715</v>
      </c>
    </row>
    <row r="80" spans="1:21" x14ac:dyDescent="0.25">
      <c r="A80" s="366" t="str">
        <f t="shared" si="7"/>
        <v>PT</v>
      </c>
      <c r="B80" s="366">
        <f t="shared" si="69"/>
        <v>2014</v>
      </c>
      <c r="C80" s="366" t="str">
        <f t="shared" si="69"/>
        <v>MW</v>
      </c>
      <c r="D80" s="144">
        <f t="shared" si="9"/>
        <v>0</v>
      </c>
      <c r="E80" s="144">
        <f t="shared" ref="E80:G80" si="72">F33</f>
        <v>0</v>
      </c>
      <c r="F80" s="167">
        <f t="shared" si="72"/>
        <v>1756</v>
      </c>
      <c r="G80" s="167">
        <f t="shared" si="72"/>
        <v>4717</v>
      </c>
      <c r="H80" s="422">
        <f t="shared" si="11"/>
        <v>552</v>
      </c>
      <c r="I80" s="167">
        <f t="shared" si="12"/>
        <v>4540</v>
      </c>
      <c r="J80" s="144">
        <v>0</v>
      </c>
      <c r="K80" s="422">
        <f t="shared" ref="K80:L80" si="73">M33</f>
        <v>396</v>
      </c>
      <c r="L80" s="422">
        <f t="shared" si="73"/>
        <v>187</v>
      </c>
      <c r="M80" s="422">
        <f t="shared" si="14"/>
        <v>62</v>
      </c>
      <c r="N80" s="167">
        <f t="shared" si="2"/>
        <v>5684</v>
      </c>
      <c r="O80" s="167">
        <f t="shared" si="3"/>
        <v>0</v>
      </c>
      <c r="P80" s="422">
        <f t="shared" si="4"/>
        <v>0</v>
      </c>
      <c r="Q80" s="167">
        <f t="shared" si="5"/>
        <v>17894</v>
      </c>
      <c r="R80" s="167">
        <f t="shared" si="6"/>
        <v>17894</v>
      </c>
      <c r="S80" s="424">
        <f t="shared" si="15"/>
        <v>1</v>
      </c>
      <c r="T80" s="443">
        <f>VLOOKUP(Capacity_Entsoe_SFS_2014[[#This Row],[Country]],$Z$2:$AF$38,7,0)</f>
        <v>3317</v>
      </c>
      <c r="U80" s="443">
        <f>VLOOKUP(Capacity_Entsoe_SFS_2014[[#This Row],[Country]],$Z$2:$AF$38,4,0)</f>
        <v>8295</v>
      </c>
    </row>
    <row r="81" spans="1:21" x14ac:dyDescent="0.25">
      <c r="A81" s="366" t="str">
        <f t="shared" si="7"/>
        <v>RO</v>
      </c>
      <c r="B81" s="366">
        <f t="shared" si="69"/>
        <v>2014</v>
      </c>
      <c r="C81" s="366" t="str">
        <f t="shared" si="69"/>
        <v>MW</v>
      </c>
      <c r="D81" s="144">
        <f t="shared" si="9"/>
        <v>1300</v>
      </c>
      <c r="E81" s="144">
        <f t="shared" ref="E81:G81" si="74">F34</f>
        <v>4094</v>
      </c>
      <c r="F81" s="167">
        <f t="shared" si="74"/>
        <v>1148</v>
      </c>
      <c r="G81" s="167">
        <f t="shared" si="74"/>
        <v>2390</v>
      </c>
      <c r="H81" s="422">
        <f t="shared" si="11"/>
        <v>1723</v>
      </c>
      <c r="I81" s="167">
        <f t="shared" si="12"/>
        <v>2894</v>
      </c>
      <c r="J81" s="144">
        <v>0</v>
      </c>
      <c r="K81" s="422">
        <f t="shared" ref="K81:L81" si="75">M34</f>
        <v>1162</v>
      </c>
      <c r="L81" s="422">
        <f t="shared" si="75"/>
        <v>94</v>
      </c>
      <c r="M81" s="422">
        <f t="shared" si="14"/>
        <v>0</v>
      </c>
      <c r="N81" s="167">
        <f t="shared" si="2"/>
        <v>6332</v>
      </c>
      <c r="O81" s="167">
        <f t="shared" si="3"/>
        <v>0</v>
      </c>
      <c r="P81" s="422">
        <f t="shared" si="4"/>
        <v>0.05</v>
      </c>
      <c r="Q81" s="167">
        <f t="shared" si="5"/>
        <v>21137.05</v>
      </c>
      <c r="R81" s="167">
        <f t="shared" si="6"/>
        <v>21137</v>
      </c>
      <c r="S81" s="424">
        <f t="shared" si="15"/>
        <v>1.000002365520178</v>
      </c>
      <c r="T81" s="443">
        <f>VLOOKUP(Capacity_Entsoe_SFS_2014[[#This Row],[Country]],$Z$2:$AF$38,7,0)</f>
        <v>3704</v>
      </c>
      <c r="U81" s="443">
        <f>VLOOKUP(Capacity_Entsoe_SFS_2014[[#This Row],[Country]],$Z$2:$AF$38,4,0)</f>
        <v>8522</v>
      </c>
    </row>
    <row r="82" spans="1:21" x14ac:dyDescent="0.25">
      <c r="A82" s="366" t="str">
        <f t="shared" si="7"/>
        <v>RS</v>
      </c>
      <c r="B82" s="366">
        <f>B5</f>
        <v>2014</v>
      </c>
      <c r="C82" s="366" t="str">
        <f>C5</f>
        <v>MW</v>
      </c>
      <c r="D82" s="144">
        <f t="shared" si="9"/>
        <v>0</v>
      </c>
      <c r="E82" s="144">
        <f t="shared" ref="E82:G82" si="76">F35</f>
        <v>5263</v>
      </c>
      <c r="F82" s="167">
        <f t="shared" si="76"/>
        <v>0</v>
      </c>
      <c r="G82" s="167">
        <f t="shared" si="76"/>
        <v>0</v>
      </c>
      <c r="H82" s="422">
        <f t="shared" si="11"/>
        <v>311</v>
      </c>
      <c r="I82" s="167">
        <f t="shared" si="12"/>
        <v>0</v>
      </c>
      <c r="J82" s="144">
        <v>0</v>
      </c>
      <c r="K82" s="422">
        <f t="shared" ref="K82:L82" si="77">M35</f>
        <v>0</v>
      </c>
      <c r="L82" s="422">
        <f t="shared" si="77"/>
        <v>0</v>
      </c>
      <c r="M82" s="422">
        <f t="shared" si="14"/>
        <v>0</v>
      </c>
      <c r="N82" s="167">
        <f t="shared" si="2"/>
        <v>2370</v>
      </c>
      <c r="O82" s="167">
        <f t="shared" si="3"/>
        <v>620</v>
      </c>
      <c r="P82" s="422">
        <f t="shared" si="4"/>
        <v>0</v>
      </c>
      <c r="Q82" s="167">
        <f t="shared" si="5"/>
        <v>8564</v>
      </c>
      <c r="R82" s="167">
        <f t="shared" si="6"/>
        <v>8564</v>
      </c>
      <c r="S82" s="424">
        <f>Q82/R82</f>
        <v>1</v>
      </c>
      <c r="T82" s="443">
        <f>VLOOKUP(Capacity_Entsoe_SFS_2014[[#This Row],[Country]],$Z$2:$AF$38,7,0)</f>
        <v>2423</v>
      </c>
      <c r="U82" s="443">
        <f>VLOOKUP(Capacity_Entsoe_SFS_2014[[#This Row],[Country]],$Z$2:$AF$38,4,0)</f>
        <v>7399</v>
      </c>
    </row>
    <row r="83" spans="1:21" x14ac:dyDescent="0.25">
      <c r="A83" s="366" t="str">
        <f t="shared" si="7"/>
        <v>SE</v>
      </c>
      <c r="B83" s="366">
        <f t="shared" ref="B83:C84" si="78">B27</f>
        <v>2014</v>
      </c>
      <c r="C83" s="366" t="str">
        <f t="shared" si="78"/>
        <v>MW</v>
      </c>
      <c r="D83" s="144">
        <f t="shared" si="9"/>
        <v>9528</v>
      </c>
      <c r="E83" s="144">
        <f t="shared" ref="E83:G83" si="79">F36</f>
        <v>0</v>
      </c>
      <c r="F83" s="167">
        <f t="shared" si="79"/>
        <v>225</v>
      </c>
      <c r="G83" s="167">
        <f t="shared" si="79"/>
        <v>879</v>
      </c>
      <c r="H83" s="422">
        <f t="shared" si="11"/>
        <v>4181</v>
      </c>
      <c r="I83" s="167">
        <f t="shared" si="12"/>
        <v>5420</v>
      </c>
      <c r="J83" s="144">
        <v>0</v>
      </c>
      <c r="K83" s="422">
        <f t="shared" ref="K83:L83" si="80">M36</f>
        <v>79</v>
      </c>
      <c r="L83" s="422">
        <f t="shared" si="80"/>
        <v>3082</v>
      </c>
      <c r="M83" s="422">
        <f t="shared" si="14"/>
        <v>0</v>
      </c>
      <c r="N83" s="167">
        <f t="shared" si="2"/>
        <v>16155</v>
      </c>
      <c r="O83" s="167">
        <f t="shared" si="3"/>
        <v>0</v>
      </c>
      <c r="P83" s="422">
        <f t="shared" si="4"/>
        <v>0</v>
      </c>
      <c r="Q83" s="167">
        <f t="shared" si="5"/>
        <v>39549</v>
      </c>
      <c r="R83" s="167">
        <f t="shared" si="6"/>
        <v>39549</v>
      </c>
      <c r="S83" s="424">
        <f>Q83/R83</f>
        <v>1</v>
      </c>
      <c r="T83" s="443">
        <f>VLOOKUP(Capacity_Entsoe_SFS_2014[[#This Row],[Country]],$Z$2:$AF$38,7,0)</f>
        <v>8754</v>
      </c>
      <c r="U83" s="443">
        <f>VLOOKUP(Capacity_Entsoe_SFS_2014[[#This Row],[Country]],$Z$2:$AF$38,4,0)</f>
        <v>24872</v>
      </c>
    </row>
    <row r="84" spans="1:21" x14ac:dyDescent="0.25">
      <c r="A84" s="366" t="str">
        <f t="shared" si="7"/>
        <v>SI</v>
      </c>
      <c r="B84" s="366">
        <f t="shared" si="78"/>
        <v>2014</v>
      </c>
      <c r="C84" s="366" t="str">
        <f t="shared" si="78"/>
        <v>MW</v>
      </c>
      <c r="D84" s="144">
        <f t="shared" si="9"/>
        <v>696</v>
      </c>
      <c r="E84" s="144">
        <f t="shared" ref="E84:G84" si="81">F37</f>
        <v>553</v>
      </c>
      <c r="F84" s="167">
        <f t="shared" si="81"/>
        <v>222</v>
      </c>
      <c r="G84" s="167">
        <f t="shared" si="81"/>
        <v>84</v>
      </c>
      <c r="H84" s="422">
        <f t="shared" si="11"/>
        <v>355</v>
      </c>
      <c r="I84" s="167">
        <f t="shared" si="12"/>
        <v>2</v>
      </c>
      <c r="J84" s="144">
        <v>0</v>
      </c>
      <c r="K84" s="422">
        <f t="shared" ref="K84:L84" si="82">M37</f>
        <v>260</v>
      </c>
      <c r="L84" s="422">
        <f t="shared" si="82"/>
        <v>40</v>
      </c>
      <c r="M84" s="422">
        <f t="shared" si="14"/>
        <v>0</v>
      </c>
      <c r="N84" s="167">
        <f t="shared" si="2"/>
        <v>1065</v>
      </c>
      <c r="O84" s="167">
        <f t="shared" si="3"/>
        <v>180</v>
      </c>
      <c r="P84" s="422">
        <f t="shared" si="4"/>
        <v>0</v>
      </c>
      <c r="Q84" s="167">
        <f t="shared" si="5"/>
        <v>3457</v>
      </c>
      <c r="R84" s="167">
        <f t="shared" si="6"/>
        <v>3456</v>
      </c>
      <c r="S84" s="424">
        <f>Q84/R84</f>
        <v>1.0002893518518519</v>
      </c>
      <c r="T84" s="443">
        <f>VLOOKUP(Capacity_Entsoe_SFS_2014[[#This Row],[Country]],$Z$2:$AF$38,7,0)</f>
        <v>965</v>
      </c>
      <c r="U84" s="443">
        <f>VLOOKUP(Capacity_Entsoe_SFS_2014[[#This Row],[Country]],$Z$2:$AF$38,4,0)</f>
        <v>2233</v>
      </c>
    </row>
    <row r="85" spans="1:21" x14ac:dyDescent="0.25">
      <c r="A85" s="366" t="str">
        <f t="shared" si="7"/>
        <v>SK</v>
      </c>
      <c r="B85" s="366">
        <f>B35</f>
        <v>2014</v>
      </c>
      <c r="C85" s="366" t="str">
        <f>C35</f>
        <v>MW</v>
      </c>
      <c r="D85" s="144">
        <f t="shared" si="9"/>
        <v>1940</v>
      </c>
      <c r="E85" s="144">
        <f t="shared" ref="E85:G85" si="83">F38</f>
        <v>568</v>
      </c>
      <c r="F85" s="167">
        <f t="shared" si="83"/>
        <v>440</v>
      </c>
      <c r="G85" s="167">
        <f t="shared" si="83"/>
        <v>1076</v>
      </c>
      <c r="H85" s="422">
        <f t="shared" si="11"/>
        <v>608</v>
      </c>
      <c r="I85" s="167">
        <f t="shared" si="12"/>
        <v>3</v>
      </c>
      <c r="J85" s="144">
        <v>0</v>
      </c>
      <c r="K85" s="422">
        <f t="shared" ref="K85:L85" si="84">M38</f>
        <v>531</v>
      </c>
      <c r="L85" s="422">
        <f t="shared" si="84"/>
        <v>254</v>
      </c>
      <c r="M85" s="422">
        <f t="shared" si="14"/>
        <v>120</v>
      </c>
      <c r="N85" s="167">
        <f t="shared" si="2"/>
        <v>1619</v>
      </c>
      <c r="O85" s="167">
        <f t="shared" si="3"/>
        <v>917</v>
      </c>
      <c r="P85" s="422">
        <f t="shared" si="4"/>
        <v>0</v>
      </c>
      <c r="Q85" s="167">
        <f t="shared" si="5"/>
        <v>8076</v>
      </c>
      <c r="R85" s="167">
        <f t="shared" si="6"/>
        <v>8076</v>
      </c>
      <c r="S85" s="424">
        <f>Q85/R85</f>
        <v>1</v>
      </c>
      <c r="T85" s="443">
        <f>VLOOKUP(Capacity_Entsoe_SFS_2014[[#This Row],[Country]],$Z$2:$AF$38,7,0)</f>
        <v>2119</v>
      </c>
      <c r="U85" s="443">
        <f>VLOOKUP(Capacity_Entsoe_SFS_2014[[#This Row],[Country]],$Z$2:$AF$38,4,0)</f>
        <v>4119</v>
      </c>
    </row>
    <row r="86" spans="1:21" x14ac:dyDescent="0.25">
      <c r="A86" s="366" t="str">
        <f t="shared" si="7"/>
        <v>ENTSO-E</v>
      </c>
      <c r="B86" s="520">
        <f>B39</f>
        <v>2014</v>
      </c>
      <c r="C86" s="520" t="str">
        <f>C39</f>
        <v>MW</v>
      </c>
      <c r="D86" s="144">
        <f t="shared" si="9"/>
        <v>126685</v>
      </c>
      <c r="E86" s="144">
        <f t="shared" ref="E86:G86" si="85">F39</f>
        <v>53526</v>
      </c>
      <c r="F86" s="167">
        <f t="shared" si="85"/>
        <v>114730</v>
      </c>
      <c r="G86" s="167">
        <f t="shared" si="85"/>
        <v>206148</v>
      </c>
      <c r="H86" s="422">
        <f t="shared" si="11"/>
        <v>89035</v>
      </c>
      <c r="I86" s="167">
        <f t="shared" si="12"/>
        <v>120576</v>
      </c>
      <c r="J86" s="144">
        <v>0</v>
      </c>
      <c r="K86" s="422">
        <f t="shared" ref="K86:L86" si="86">M39</f>
        <v>82349</v>
      </c>
      <c r="L86" s="422">
        <f t="shared" si="86"/>
        <v>24091</v>
      </c>
      <c r="M86" s="422">
        <f t="shared" si="14"/>
        <v>2100</v>
      </c>
      <c r="N86" s="167">
        <f t="shared" si="2"/>
        <v>151802</v>
      </c>
      <c r="O86" s="167">
        <f t="shared" si="3"/>
        <v>50406</v>
      </c>
      <c r="P86" s="422">
        <f t="shared" si="4"/>
        <v>2073</v>
      </c>
      <c r="Q86" s="521">
        <f t="shared" si="5"/>
        <v>1023521</v>
      </c>
      <c r="R86" s="167">
        <f t="shared" si="6"/>
        <v>1023521</v>
      </c>
      <c r="S86" s="519">
        <f>Q86/R86</f>
        <v>1</v>
      </c>
      <c r="T86" s="521">
        <f>VLOOKUP(Capacity_Entsoe_SFS_2014[[#This Row],[Country]],$Z$2:$AF$38,7,0)</f>
        <v>230343</v>
      </c>
      <c r="U86" s="521">
        <f>VLOOKUP(Capacity_Entsoe_SFS_2014[[#This Row],[Country]],$Z$2:$AF$38,4,0)</f>
        <v>522043</v>
      </c>
    </row>
  </sheetData>
  <mergeCells count="1">
    <mergeCell ref="H1:O1"/>
  </mergeCells>
  <pageMargins left="0.7" right="0.7" top="0.78740157499999996" bottom="0.78740157499999996" header="0.3" footer="0.3"/>
  <pageSetup paperSize="9" orientation="portrait" r:id="rId1"/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tabColor theme="7"/>
  </sheetPr>
  <dimension ref="A1:DK89"/>
  <sheetViews>
    <sheetView topLeftCell="AG1" zoomScale="115" zoomScaleNormal="115" workbookViewId="0">
      <selection activeCell="AK15" sqref="AK15"/>
    </sheetView>
  </sheetViews>
  <sheetFormatPr baseColWidth="10" defaultColWidth="12.28515625" defaultRowHeight="12" x14ac:dyDescent="0.2"/>
  <cols>
    <col min="1" max="6" width="12.28515625" style="168"/>
    <col min="7" max="7" width="13.28515625" style="168" customWidth="1"/>
    <col min="8" max="8" width="17" style="168" customWidth="1"/>
    <col min="9" max="9" width="14.28515625" style="168" customWidth="1"/>
    <col min="10" max="10" width="14.42578125" style="168" customWidth="1"/>
    <col min="11" max="13" width="12.28515625" style="168"/>
    <col min="14" max="14" width="20.5703125" style="168" customWidth="1"/>
    <col min="15" max="15" width="16.85546875" style="168" customWidth="1"/>
    <col min="16" max="16" width="14.7109375" style="168" customWidth="1"/>
    <col min="17" max="17" width="17" style="168" customWidth="1"/>
    <col min="18" max="18" width="16.5703125" style="168" customWidth="1"/>
    <col min="19" max="19" width="17.42578125" style="168" customWidth="1"/>
    <col min="20" max="24" width="12.28515625" style="168"/>
    <col min="25" max="29" width="12.42578125" style="168" bestFit="1" customWidth="1"/>
    <col min="30" max="30" width="15.85546875" style="168" bestFit="1" customWidth="1"/>
    <col min="31" max="37" width="12.42578125" style="168" bestFit="1" customWidth="1"/>
    <col min="38" max="40" width="12.28515625" style="168"/>
    <col min="41" max="114" width="12.28515625" style="107"/>
    <col min="115" max="16384" width="12.28515625" style="168"/>
  </cols>
  <sheetData>
    <row r="1" spans="1:41" ht="61.5" x14ac:dyDescent="0.2">
      <c r="A1" s="169" t="s">
        <v>265</v>
      </c>
      <c r="B1" s="169"/>
      <c r="C1" s="169"/>
      <c r="D1" s="96" t="s">
        <v>56</v>
      </c>
      <c r="E1" s="97" t="s">
        <v>57</v>
      </c>
      <c r="F1" s="97" t="s">
        <v>58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59</v>
      </c>
      <c r="Q1" s="99" t="s">
        <v>149</v>
      </c>
      <c r="R1" s="99" t="s">
        <v>148</v>
      </c>
      <c r="S1" s="99" t="s">
        <v>60</v>
      </c>
      <c r="T1" s="100" t="s">
        <v>41</v>
      </c>
      <c r="U1" s="101" t="s">
        <v>42</v>
      </c>
      <c r="V1" s="101" t="s">
        <v>43</v>
      </c>
      <c r="W1" s="101" t="s">
        <v>44</v>
      </c>
      <c r="X1" s="101" t="s">
        <v>45</v>
      </c>
      <c r="Y1" s="101" t="s">
        <v>46</v>
      </c>
      <c r="Z1" s="101" t="s">
        <v>47</v>
      </c>
      <c r="AA1" s="101" t="s">
        <v>48</v>
      </c>
      <c r="AB1" s="101" t="s">
        <v>49</v>
      </c>
      <c r="AC1" s="101" t="s">
        <v>50</v>
      </c>
      <c r="AD1" s="101" t="s">
        <v>51</v>
      </c>
      <c r="AE1" s="101" t="s">
        <v>52</v>
      </c>
      <c r="AF1" s="101" t="s">
        <v>53</v>
      </c>
      <c r="AG1" s="101" t="s">
        <v>54</v>
      </c>
      <c r="AH1" s="101" t="s">
        <v>55</v>
      </c>
      <c r="AI1" s="102" t="s">
        <v>40</v>
      </c>
      <c r="AJ1" s="103" t="s">
        <v>222</v>
      </c>
      <c r="AK1" s="104" t="s">
        <v>223</v>
      </c>
      <c r="AL1" s="105" t="s">
        <v>224</v>
      </c>
      <c r="AM1" s="170" t="s">
        <v>197</v>
      </c>
    </row>
    <row r="2" spans="1:41" x14ac:dyDescent="0.2">
      <c r="A2" s="171"/>
      <c r="B2" s="171"/>
      <c r="C2" s="171"/>
      <c r="D2" s="172" t="s">
        <v>266</v>
      </c>
      <c r="E2" s="173" t="s">
        <v>267</v>
      </c>
      <c r="F2" s="173" t="s">
        <v>267</v>
      </c>
      <c r="G2" s="173" t="s">
        <v>267</v>
      </c>
      <c r="H2" s="173" t="s">
        <v>267</v>
      </c>
      <c r="I2" s="173" t="s">
        <v>267</v>
      </c>
      <c r="J2" s="173" t="s">
        <v>267</v>
      </c>
      <c r="K2" s="173" t="s">
        <v>267</v>
      </c>
      <c r="L2" s="173" t="s">
        <v>267</v>
      </c>
      <c r="M2" s="173" t="s">
        <v>267</v>
      </c>
      <c r="N2" s="173" t="s">
        <v>267</v>
      </c>
      <c r="O2" s="173" t="s">
        <v>267</v>
      </c>
      <c r="P2" s="173" t="s">
        <v>267</v>
      </c>
      <c r="Q2" s="173" t="s">
        <v>267</v>
      </c>
      <c r="R2" s="173" t="s">
        <v>267</v>
      </c>
      <c r="S2" s="173" t="s">
        <v>267</v>
      </c>
      <c r="T2" s="174" t="s">
        <v>266</v>
      </c>
      <c r="U2" s="175" t="s">
        <v>267</v>
      </c>
      <c r="V2" s="175" t="s">
        <v>267</v>
      </c>
      <c r="W2" s="175" t="s">
        <v>267</v>
      </c>
      <c r="X2" s="175" t="s">
        <v>267</v>
      </c>
      <c r="Y2" s="175" t="s">
        <v>267</v>
      </c>
      <c r="Z2" s="175" t="s">
        <v>267</v>
      </c>
      <c r="AA2" s="175" t="s">
        <v>267</v>
      </c>
      <c r="AB2" s="175" t="s">
        <v>267</v>
      </c>
      <c r="AC2" s="175" t="s">
        <v>267</v>
      </c>
      <c r="AD2" s="175" t="s">
        <v>267</v>
      </c>
      <c r="AE2" s="175" t="s">
        <v>267</v>
      </c>
      <c r="AF2" s="175" t="s">
        <v>267</v>
      </c>
      <c r="AG2" s="175" t="s">
        <v>267</v>
      </c>
      <c r="AH2" s="176" t="s">
        <v>267</v>
      </c>
      <c r="AI2" s="177" t="s">
        <v>266</v>
      </c>
      <c r="AJ2" s="178" t="s">
        <v>267</v>
      </c>
      <c r="AK2" s="177" t="s">
        <v>266</v>
      </c>
      <c r="AL2" s="179"/>
      <c r="AM2" s="180"/>
    </row>
    <row r="3" spans="1:41" x14ac:dyDescent="0.2">
      <c r="A3" s="181" t="s">
        <v>268</v>
      </c>
      <c r="B3" s="181">
        <v>2018</v>
      </c>
      <c r="C3" s="181" t="s">
        <v>152</v>
      </c>
      <c r="D3" s="182">
        <v>0</v>
      </c>
      <c r="E3" s="183">
        <v>0</v>
      </c>
      <c r="F3" s="183">
        <v>0</v>
      </c>
      <c r="G3" s="183">
        <v>0</v>
      </c>
      <c r="H3" s="183">
        <v>0</v>
      </c>
      <c r="I3" s="183">
        <v>0</v>
      </c>
      <c r="J3" s="183">
        <v>0</v>
      </c>
      <c r="K3" s="183">
        <v>0</v>
      </c>
      <c r="L3" s="183">
        <v>0</v>
      </c>
      <c r="M3" s="183">
        <v>0</v>
      </c>
      <c r="N3" s="183">
        <v>0</v>
      </c>
      <c r="O3" s="183">
        <v>0</v>
      </c>
      <c r="P3" s="183">
        <v>0</v>
      </c>
      <c r="Q3" s="183">
        <v>0</v>
      </c>
      <c r="R3" s="183">
        <v>0</v>
      </c>
      <c r="S3" s="183">
        <v>0</v>
      </c>
      <c r="T3" s="184">
        <v>8.1</v>
      </c>
      <c r="U3" s="183">
        <v>0</v>
      </c>
      <c r="V3" s="183">
        <v>0</v>
      </c>
      <c r="W3" s="183">
        <v>0</v>
      </c>
      <c r="X3" s="183">
        <v>0</v>
      </c>
      <c r="Y3" s="183">
        <v>0</v>
      </c>
      <c r="Z3" s="183">
        <v>0</v>
      </c>
      <c r="AA3" s="183">
        <v>0</v>
      </c>
      <c r="AB3" s="183">
        <v>0</v>
      </c>
      <c r="AC3" s="185">
        <v>5.9</v>
      </c>
      <c r="AD3" s="185">
        <v>2.2000000000000002</v>
      </c>
      <c r="AE3" s="183">
        <v>0</v>
      </c>
      <c r="AF3" s="183">
        <v>0</v>
      </c>
      <c r="AG3" s="183">
        <v>0</v>
      </c>
      <c r="AH3" s="186">
        <v>0</v>
      </c>
      <c r="AI3" s="184">
        <v>8.1</v>
      </c>
      <c r="AJ3" s="183"/>
      <c r="AK3" s="184">
        <v>7.2</v>
      </c>
      <c r="AL3" s="185">
        <v>0.5</v>
      </c>
      <c r="AM3" s="187" t="s">
        <v>268</v>
      </c>
    </row>
    <row r="4" spans="1:41" x14ac:dyDescent="0.2">
      <c r="A4" s="181" t="s">
        <v>269</v>
      </c>
      <c r="B4" s="181">
        <v>2018</v>
      </c>
      <c r="C4" s="181" t="s">
        <v>152</v>
      </c>
      <c r="D4" s="188">
        <v>18.600000000000001</v>
      </c>
      <c r="E4" s="189">
        <v>0</v>
      </c>
      <c r="F4" s="190">
        <v>15</v>
      </c>
      <c r="G4" s="189">
        <v>0</v>
      </c>
      <c r="H4" s="189">
        <v>0</v>
      </c>
      <c r="I4" s="190">
        <v>9.8000000000000007</v>
      </c>
      <c r="J4" s="190">
        <v>1.8</v>
      </c>
      <c r="K4" s="190">
        <v>0.6</v>
      </c>
      <c r="L4" s="189">
        <v>0</v>
      </c>
      <c r="M4" s="189">
        <v>0</v>
      </c>
      <c r="N4" s="189">
        <v>0</v>
      </c>
      <c r="O4" s="190">
        <v>2.7</v>
      </c>
      <c r="P4" s="189">
        <v>0</v>
      </c>
      <c r="Q4" s="190">
        <v>3.6</v>
      </c>
      <c r="R4" s="189">
        <v>0</v>
      </c>
      <c r="S4" s="189">
        <v>0</v>
      </c>
      <c r="T4" s="191">
        <v>43.2</v>
      </c>
      <c r="U4" s="192">
        <v>0</v>
      </c>
      <c r="V4" s="193">
        <v>5.9</v>
      </c>
      <c r="W4" s="192">
        <v>0</v>
      </c>
      <c r="X4" s="192">
        <v>0</v>
      </c>
      <c r="Y4" s="192">
        <v>0</v>
      </c>
      <c r="Z4" s="192">
        <v>0</v>
      </c>
      <c r="AA4" s="192">
        <v>0</v>
      </c>
      <c r="AB4" s="192">
        <v>0</v>
      </c>
      <c r="AC4" s="192">
        <v>0</v>
      </c>
      <c r="AD4" s="193">
        <v>24</v>
      </c>
      <c r="AE4" s="193">
        <v>10.1</v>
      </c>
      <c r="AF4" s="192">
        <v>0</v>
      </c>
      <c r="AG4" s="193">
        <v>3.2</v>
      </c>
      <c r="AH4" s="194">
        <v>5.7</v>
      </c>
      <c r="AI4" s="195">
        <v>67.5</v>
      </c>
      <c r="AJ4" s="196">
        <v>5.0999999999999996</v>
      </c>
      <c r="AK4" s="195">
        <v>71.400000000000006</v>
      </c>
      <c r="AL4" s="196">
        <v>0.3</v>
      </c>
      <c r="AM4" s="187" t="s">
        <v>269</v>
      </c>
      <c r="AO4" s="563">
        <f>AK4-AI4</f>
        <v>3.9000000000000057</v>
      </c>
    </row>
    <row r="5" spans="1:41" x14ac:dyDescent="0.2">
      <c r="A5" s="181" t="s">
        <v>270</v>
      </c>
      <c r="B5" s="181">
        <v>2018</v>
      </c>
      <c r="C5" s="181" t="s">
        <v>152</v>
      </c>
      <c r="D5" s="184">
        <v>11</v>
      </c>
      <c r="E5" s="183">
        <v>0</v>
      </c>
      <c r="F5" s="185">
        <v>10.8</v>
      </c>
      <c r="G5" s="185">
        <v>10.8</v>
      </c>
      <c r="H5" s="183">
        <v>0</v>
      </c>
      <c r="I5" s="183">
        <v>0</v>
      </c>
      <c r="J5" s="183">
        <v>0</v>
      </c>
      <c r="K5" s="183">
        <v>0</v>
      </c>
      <c r="L5" s="183">
        <v>0</v>
      </c>
      <c r="M5" s="183">
        <v>0</v>
      </c>
      <c r="N5" s="183">
        <v>0</v>
      </c>
      <c r="O5" s="183">
        <v>0</v>
      </c>
      <c r="P5" s="183">
        <v>0</v>
      </c>
      <c r="Q5" s="185">
        <v>0.1</v>
      </c>
      <c r="R5" s="183">
        <v>0</v>
      </c>
      <c r="S5" s="183">
        <v>0</v>
      </c>
      <c r="T5" s="184">
        <v>6.3</v>
      </c>
      <c r="U5" s="183">
        <v>0</v>
      </c>
      <c r="V5" s="185">
        <v>0.1</v>
      </c>
      <c r="W5" s="183">
        <v>0</v>
      </c>
      <c r="X5" s="183">
        <v>0</v>
      </c>
      <c r="Y5" s="183">
        <v>0</v>
      </c>
      <c r="Z5" s="183">
        <v>0</v>
      </c>
      <c r="AA5" s="183">
        <v>0</v>
      </c>
      <c r="AB5" s="183">
        <v>0</v>
      </c>
      <c r="AC5" s="185">
        <v>5.8</v>
      </c>
      <c r="AD5" s="183">
        <v>0</v>
      </c>
      <c r="AE5" s="185">
        <v>0.3</v>
      </c>
      <c r="AF5" s="183">
        <v>0</v>
      </c>
      <c r="AG5" s="183">
        <v>0</v>
      </c>
      <c r="AH5" s="194">
        <v>0.1</v>
      </c>
      <c r="AI5" s="184">
        <v>17.3</v>
      </c>
      <c r="AJ5" s="185">
        <v>0.1</v>
      </c>
      <c r="AK5" s="184">
        <v>12.6</v>
      </c>
      <c r="AL5" s="183" t="s">
        <v>271</v>
      </c>
      <c r="AM5" s="187" t="s">
        <v>270</v>
      </c>
      <c r="AO5" s="563">
        <f t="shared" ref="AO5:AO12" si="0">AK5-AI5</f>
        <v>-4.7000000000000011</v>
      </c>
    </row>
    <row r="6" spans="1:41" x14ac:dyDescent="0.2">
      <c r="A6" s="181" t="s">
        <v>272</v>
      </c>
      <c r="B6" s="181">
        <v>2018</v>
      </c>
      <c r="C6" s="181" t="s">
        <v>152</v>
      </c>
      <c r="D6" s="188">
        <v>53.5</v>
      </c>
      <c r="E6" s="190">
        <v>27</v>
      </c>
      <c r="F6" s="190">
        <v>24.3</v>
      </c>
      <c r="G6" s="189">
        <v>0</v>
      </c>
      <c r="H6" s="190">
        <v>2.1</v>
      </c>
      <c r="I6" s="190">
        <v>22.1</v>
      </c>
      <c r="J6" s="189">
        <v>0</v>
      </c>
      <c r="K6" s="190">
        <v>0.1</v>
      </c>
      <c r="L6" s="189">
        <v>0</v>
      </c>
      <c r="M6" s="189">
        <v>0</v>
      </c>
      <c r="N6" s="189">
        <v>0</v>
      </c>
      <c r="O6" s="189">
        <v>0</v>
      </c>
      <c r="P6" s="190">
        <v>1</v>
      </c>
      <c r="Q6" s="189">
        <v>0</v>
      </c>
      <c r="R6" s="190">
        <v>1</v>
      </c>
      <c r="S6" s="190">
        <v>0.2</v>
      </c>
      <c r="T6" s="191">
        <v>15.6</v>
      </c>
      <c r="U6" s="193">
        <v>3.4</v>
      </c>
      <c r="V6" s="193">
        <v>3.7</v>
      </c>
      <c r="W6" s="193">
        <v>3.5</v>
      </c>
      <c r="X6" s="192">
        <v>0</v>
      </c>
      <c r="Y6" s="193">
        <v>2.7</v>
      </c>
      <c r="Z6" s="193">
        <v>0.8</v>
      </c>
      <c r="AA6" s="192">
        <v>0</v>
      </c>
      <c r="AB6" s="193">
        <v>1.2</v>
      </c>
      <c r="AC6" s="192">
        <v>0</v>
      </c>
      <c r="AD6" s="193">
        <v>0.3</v>
      </c>
      <c r="AE6" s="192">
        <v>0</v>
      </c>
      <c r="AF6" s="192">
        <v>0</v>
      </c>
      <c r="AG6" s="193">
        <v>0.1</v>
      </c>
      <c r="AH6" s="186">
        <v>0</v>
      </c>
      <c r="AI6" s="195">
        <v>69.099999999999994</v>
      </c>
      <c r="AJ6" s="196">
        <v>1.3</v>
      </c>
      <c r="AK6" s="195">
        <v>85.1</v>
      </c>
      <c r="AL6" s="196">
        <v>0.3</v>
      </c>
      <c r="AM6" s="187" t="s">
        <v>272</v>
      </c>
      <c r="AO6" s="563">
        <f t="shared" si="0"/>
        <v>16</v>
      </c>
    </row>
    <row r="7" spans="1:41" x14ac:dyDescent="0.2">
      <c r="A7" s="181" t="s">
        <v>273</v>
      </c>
      <c r="B7" s="181">
        <v>2018</v>
      </c>
      <c r="C7" s="181" t="s">
        <v>152</v>
      </c>
      <c r="D7" s="184">
        <v>34.299999999999997</v>
      </c>
      <c r="E7" s="185">
        <v>15.3</v>
      </c>
      <c r="F7" s="185">
        <v>18.7</v>
      </c>
      <c r="G7" s="185">
        <v>16.8</v>
      </c>
      <c r="H7" s="183">
        <v>0</v>
      </c>
      <c r="I7" s="185">
        <v>1.7</v>
      </c>
      <c r="J7" s="185">
        <v>0.3</v>
      </c>
      <c r="K7" s="183">
        <v>0</v>
      </c>
      <c r="L7" s="183">
        <v>0</v>
      </c>
      <c r="M7" s="183">
        <v>0</v>
      </c>
      <c r="N7" s="183">
        <v>0</v>
      </c>
      <c r="O7" s="183">
        <v>0</v>
      </c>
      <c r="P7" s="185">
        <v>0.3</v>
      </c>
      <c r="Q7" s="185">
        <v>0</v>
      </c>
      <c r="R7" s="183">
        <v>0</v>
      </c>
      <c r="S7" s="183">
        <v>0</v>
      </c>
      <c r="T7" s="184">
        <v>8</v>
      </c>
      <c r="U7" s="183">
        <v>0</v>
      </c>
      <c r="V7" s="185">
        <v>1.4</v>
      </c>
      <c r="W7" s="185">
        <v>1.4</v>
      </c>
      <c r="X7" s="183">
        <v>0</v>
      </c>
      <c r="Y7" s="185">
        <v>0.3</v>
      </c>
      <c r="Z7" s="183">
        <v>0</v>
      </c>
      <c r="AA7" s="183">
        <v>0</v>
      </c>
      <c r="AB7" s="183">
        <v>0</v>
      </c>
      <c r="AC7" s="185">
        <v>2.7</v>
      </c>
      <c r="AD7" s="185">
        <v>1.6</v>
      </c>
      <c r="AE7" s="185">
        <v>0.7</v>
      </c>
      <c r="AF7" s="183">
        <v>0</v>
      </c>
      <c r="AG7" s="183">
        <v>0</v>
      </c>
      <c r="AH7" s="186">
        <v>0</v>
      </c>
      <c r="AI7" s="184">
        <v>42.3</v>
      </c>
      <c r="AJ7" s="185">
        <v>0.4</v>
      </c>
      <c r="AK7" s="184">
        <v>34.1</v>
      </c>
      <c r="AL7" s="183" t="s">
        <v>274</v>
      </c>
      <c r="AM7" s="187" t="s">
        <v>273</v>
      </c>
      <c r="AO7" s="563">
        <f t="shared" si="0"/>
        <v>-8.1999999999999957</v>
      </c>
    </row>
    <row r="8" spans="1:41" x14ac:dyDescent="0.2">
      <c r="A8" s="181" t="s">
        <v>275</v>
      </c>
      <c r="B8" s="181">
        <v>2018</v>
      </c>
      <c r="C8" s="181" t="s">
        <v>152</v>
      </c>
      <c r="D8" s="188">
        <v>26.8</v>
      </c>
      <c r="E8" s="190">
        <v>24.4</v>
      </c>
      <c r="F8" s="190">
        <v>1</v>
      </c>
      <c r="G8" s="189">
        <v>0</v>
      </c>
      <c r="H8" s="189">
        <v>0</v>
      </c>
      <c r="I8" s="190">
        <v>1</v>
      </c>
      <c r="J8" s="189">
        <v>0</v>
      </c>
      <c r="K8" s="190">
        <v>0</v>
      </c>
      <c r="L8" s="189">
        <v>0</v>
      </c>
      <c r="M8" s="189">
        <v>0</v>
      </c>
      <c r="N8" s="189">
        <v>0</v>
      </c>
      <c r="O8" s="189">
        <v>0</v>
      </c>
      <c r="P8" s="189">
        <v>0</v>
      </c>
      <c r="Q8" s="189">
        <v>0</v>
      </c>
      <c r="R8" s="190">
        <v>1.4</v>
      </c>
      <c r="S8" s="189">
        <v>0</v>
      </c>
      <c r="T8" s="191">
        <v>40.700000000000003</v>
      </c>
      <c r="U8" s="192">
        <v>0</v>
      </c>
      <c r="V8" s="193">
        <v>0.1</v>
      </c>
      <c r="W8" s="193">
        <v>1.2</v>
      </c>
      <c r="X8" s="192">
        <v>0</v>
      </c>
      <c r="Y8" s="193">
        <v>0.3</v>
      </c>
      <c r="Z8" s="193">
        <v>0.4</v>
      </c>
      <c r="AA8" s="192">
        <v>0</v>
      </c>
      <c r="AB8" s="193">
        <v>1.3</v>
      </c>
      <c r="AC8" s="193">
        <v>20.5</v>
      </c>
      <c r="AD8" s="193">
        <v>16.899999999999999</v>
      </c>
      <c r="AE8" s="192">
        <v>0</v>
      </c>
      <c r="AF8" s="192">
        <v>0</v>
      </c>
      <c r="AG8" s="192">
        <v>0</v>
      </c>
      <c r="AH8" s="186">
        <v>0</v>
      </c>
      <c r="AI8" s="195">
        <v>67.599999999999994</v>
      </c>
      <c r="AJ8" s="196">
        <v>4</v>
      </c>
      <c r="AK8" s="195">
        <v>62.3</v>
      </c>
      <c r="AL8" s="197" t="s">
        <v>276</v>
      </c>
      <c r="AM8" s="187" t="s">
        <v>275</v>
      </c>
      <c r="AO8" s="563">
        <f t="shared" si="0"/>
        <v>-5.2999999999999972</v>
      </c>
    </row>
    <row r="9" spans="1:41" x14ac:dyDescent="0.2">
      <c r="A9" s="181" t="s">
        <v>277</v>
      </c>
      <c r="B9" s="181">
        <v>2018</v>
      </c>
      <c r="C9" s="181" t="s">
        <v>152</v>
      </c>
      <c r="D9" s="184">
        <v>4.8</v>
      </c>
      <c r="E9" s="183">
        <v>0</v>
      </c>
      <c r="F9" s="185">
        <v>4.8</v>
      </c>
      <c r="G9" s="183">
        <v>0</v>
      </c>
      <c r="H9" s="183">
        <v>0</v>
      </c>
      <c r="I9" s="183">
        <v>0</v>
      </c>
      <c r="J9" s="183">
        <v>0</v>
      </c>
      <c r="K9" s="185">
        <v>4.8</v>
      </c>
      <c r="L9" s="183">
        <v>0</v>
      </c>
      <c r="M9" s="183">
        <v>0</v>
      </c>
      <c r="N9" s="183">
        <v>0</v>
      </c>
      <c r="O9" s="183">
        <v>0</v>
      </c>
      <c r="P9" s="183">
        <v>0</v>
      </c>
      <c r="Q9" s="183">
        <v>0</v>
      </c>
      <c r="R9" s="183">
        <v>0</v>
      </c>
      <c r="S9" s="183">
        <v>0</v>
      </c>
      <c r="T9" s="184">
        <v>0.2</v>
      </c>
      <c r="U9" s="183">
        <v>0</v>
      </c>
      <c r="V9" s="185">
        <v>0.2</v>
      </c>
      <c r="W9" s="183">
        <v>0</v>
      </c>
      <c r="X9" s="183">
        <v>0</v>
      </c>
      <c r="Y9" s="183">
        <v>0</v>
      </c>
      <c r="Z9" s="183">
        <v>0</v>
      </c>
      <c r="AA9" s="183">
        <v>0</v>
      </c>
      <c r="AB9" s="183">
        <v>0</v>
      </c>
      <c r="AC9" s="183">
        <v>0</v>
      </c>
      <c r="AD9" s="183">
        <v>0</v>
      </c>
      <c r="AE9" s="183">
        <v>0</v>
      </c>
      <c r="AF9" s="183">
        <v>0</v>
      </c>
      <c r="AG9" s="183">
        <v>0</v>
      </c>
      <c r="AH9" s="186">
        <v>0</v>
      </c>
      <c r="AI9" s="184">
        <v>5</v>
      </c>
      <c r="AJ9" s="183"/>
      <c r="AK9" s="184">
        <v>5</v>
      </c>
      <c r="AL9" s="185">
        <v>5.3</v>
      </c>
      <c r="AM9" s="187" t="s">
        <v>277</v>
      </c>
      <c r="AO9" s="563">
        <f t="shared" si="0"/>
        <v>0</v>
      </c>
    </row>
    <row r="10" spans="1:41" x14ac:dyDescent="0.2">
      <c r="A10" s="181" t="s">
        <v>278</v>
      </c>
      <c r="B10" s="181">
        <v>2018</v>
      </c>
      <c r="C10" s="181" t="s">
        <v>152</v>
      </c>
      <c r="D10" s="188">
        <v>73</v>
      </c>
      <c r="E10" s="190">
        <v>28.3</v>
      </c>
      <c r="F10" s="190">
        <v>43.6</v>
      </c>
      <c r="G10" s="190">
        <v>34.200000000000003</v>
      </c>
      <c r="H10" s="190">
        <v>1.6</v>
      </c>
      <c r="I10" s="190">
        <v>4.4000000000000004</v>
      </c>
      <c r="J10" s="190">
        <v>3.2</v>
      </c>
      <c r="K10" s="190">
        <v>0</v>
      </c>
      <c r="L10" s="189">
        <v>0</v>
      </c>
      <c r="M10" s="189">
        <v>0</v>
      </c>
      <c r="N10" s="189">
        <v>0</v>
      </c>
      <c r="O10" s="190">
        <v>0.1</v>
      </c>
      <c r="P10" s="190">
        <v>1.1000000000000001</v>
      </c>
      <c r="Q10" s="189">
        <v>0</v>
      </c>
      <c r="R10" s="189">
        <v>0</v>
      </c>
      <c r="S10" s="189">
        <v>0</v>
      </c>
      <c r="T10" s="191">
        <v>8.9</v>
      </c>
      <c r="U10" s="192">
        <v>0</v>
      </c>
      <c r="V10" s="193">
        <v>0.6</v>
      </c>
      <c r="W10" s="193">
        <v>2.2999999999999998</v>
      </c>
      <c r="X10" s="192">
        <v>0</v>
      </c>
      <c r="Y10" s="193">
        <v>2</v>
      </c>
      <c r="Z10" s="193">
        <v>2.4</v>
      </c>
      <c r="AA10" s="192">
        <v>0</v>
      </c>
      <c r="AB10" s="192">
        <v>0</v>
      </c>
      <c r="AC10" s="193">
        <v>0.7</v>
      </c>
      <c r="AD10" s="193">
        <v>0.9</v>
      </c>
      <c r="AE10" s="192">
        <v>0</v>
      </c>
      <c r="AF10" s="192">
        <v>0</v>
      </c>
      <c r="AG10" s="192">
        <v>0</v>
      </c>
      <c r="AH10" s="186">
        <v>0</v>
      </c>
      <c r="AI10" s="195">
        <v>81.8</v>
      </c>
      <c r="AJ10" s="196">
        <v>1.4</v>
      </c>
      <c r="AK10" s="195">
        <v>66.599999999999994</v>
      </c>
      <c r="AL10" s="196">
        <v>0.4</v>
      </c>
      <c r="AM10" s="187" t="s">
        <v>278</v>
      </c>
      <c r="AO10" s="563">
        <f t="shared" si="0"/>
        <v>-15.200000000000003</v>
      </c>
    </row>
    <row r="11" spans="1:41" x14ac:dyDescent="0.2">
      <c r="A11" s="181" t="s">
        <v>279</v>
      </c>
      <c r="B11" s="181">
        <v>2018</v>
      </c>
      <c r="C11" s="181" t="s">
        <v>152</v>
      </c>
      <c r="D11" s="184">
        <v>384.7</v>
      </c>
      <c r="E11" s="185">
        <v>71.900000000000006</v>
      </c>
      <c r="F11" s="185">
        <v>300.89999999999998</v>
      </c>
      <c r="G11" s="185">
        <v>134.80000000000001</v>
      </c>
      <c r="H11" s="183">
        <v>0</v>
      </c>
      <c r="I11" s="185">
        <v>87.3</v>
      </c>
      <c r="J11" s="185">
        <v>72.900000000000006</v>
      </c>
      <c r="K11" s="185">
        <v>3.2</v>
      </c>
      <c r="L11" s="183">
        <v>0</v>
      </c>
      <c r="M11" s="183">
        <v>0</v>
      </c>
      <c r="N11" s="185">
        <v>2.6</v>
      </c>
      <c r="O11" s="183">
        <v>0</v>
      </c>
      <c r="P11" s="185">
        <v>5.6</v>
      </c>
      <c r="Q11" s="185">
        <v>1.1000000000000001</v>
      </c>
      <c r="R11" s="185">
        <v>5.2</v>
      </c>
      <c r="S11" s="183">
        <v>0</v>
      </c>
      <c r="T11" s="184">
        <v>212.9</v>
      </c>
      <c r="U11" s="185">
        <v>19</v>
      </c>
      <c r="V11" s="185">
        <v>88.2</v>
      </c>
      <c r="W11" s="185">
        <v>41.2</v>
      </c>
      <c r="X11" s="183">
        <v>0</v>
      </c>
      <c r="Y11" s="185">
        <v>40.1</v>
      </c>
      <c r="Z11" s="183">
        <v>0</v>
      </c>
      <c r="AA11" s="185">
        <v>0.2</v>
      </c>
      <c r="AB11" s="185">
        <v>4.7</v>
      </c>
      <c r="AC11" s="185">
        <v>0.5</v>
      </c>
      <c r="AD11" s="185">
        <v>17.899999999999999</v>
      </c>
      <c r="AE11" s="198">
        <v>0</v>
      </c>
      <c r="AF11" s="183">
        <v>0</v>
      </c>
      <c r="AG11" s="185">
        <v>1.2</v>
      </c>
      <c r="AH11" s="186">
        <v>0</v>
      </c>
      <c r="AI11" s="184">
        <v>597.6</v>
      </c>
      <c r="AJ11" s="185">
        <v>8.3000000000000007</v>
      </c>
      <c r="AK11" s="184">
        <v>538.1</v>
      </c>
      <c r="AL11" s="183" t="s">
        <v>280</v>
      </c>
      <c r="AM11" s="187" t="s">
        <v>279</v>
      </c>
      <c r="AN11" s="564"/>
      <c r="AO11" s="563">
        <f t="shared" si="0"/>
        <v>-59.5</v>
      </c>
    </row>
    <row r="12" spans="1:41" x14ac:dyDescent="0.2">
      <c r="A12" s="181" t="s">
        <v>281</v>
      </c>
      <c r="B12" s="181">
        <v>2018</v>
      </c>
      <c r="C12" s="181" t="s">
        <v>152</v>
      </c>
      <c r="D12" s="188">
        <v>9.1</v>
      </c>
      <c r="E12" s="189">
        <v>0</v>
      </c>
      <c r="F12" s="190">
        <v>9.1</v>
      </c>
      <c r="G12" s="189">
        <v>0</v>
      </c>
      <c r="H12" s="189">
        <v>0</v>
      </c>
      <c r="I12" s="190">
        <v>2.2000000000000002</v>
      </c>
      <c r="J12" s="190">
        <v>6.9</v>
      </c>
      <c r="K12" s="190">
        <v>0.1</v>
      </c>
      <c r="L12" s="189">
        <v>0</v>
      </c>
      <c r="M12" s="189">
        <v>0</v>
      </c>
      <c r="N12" s="189">
        <v>0</v>
      </c>
      <c r="O12" s="189">
        <v>0</v>
      </c>
      <c r="P12" s="189">
        <v>0</v>
      </c>
      <c r="Q12" s="189">
        <v>0</v>
      </c>
      <c r="R12" s="189">
        <v>0</v>
      </c>
      <c r="S12" s="189">
        <v>0</v>
      </c>
      <c r="T12" s="191">
        <v>19.8</v>
      </c>
      <c r="U12" s="193">
        <v>4.5999999999999996</v>
      </c>
      <c r="V12" s="193">
        <v>9.3000000000000007</v>
      </c>
      <c r="W12" s="193">
        <v>1</v>
      </c>
      <c r="X12" s="192">
        <v>0</v>
      </c>
      <c r="Y12" s="193">
        <v>3.1</v>
      </c>
      <c r="Z12" s="193">
        <v>0.5</v>
      </c>
      <c r="AA12" s="192">
        <v>0</v>
      </c>
      <c r="AB12" s="193">
        <v>1.3</v>
      </c>
      <c r="AC12" s="192">
        <v>0</v>
      </c>
      <c r="AD12" s="193">
        <v>0</v>
      </c>
      <c r="AE12" s="192">
        <v>0</v>
      </c>
      <c r="AF12" s="192">
        <v>0</v>
      </c>
      <c r="AG12" s="192">
        <v>0</v>
      </c>
      <c r="AH12" s="186">
        <v>0</v>
      </c>
      <c r="AI12" s="195">
        <v>28.9</v>
      </c>
      <c r="AJ12" s="197"/>
      <c r="AK12" s="195">
        <v>34.1</v>
      </c>
      <c r="AL12" s="197" t="s">
        <v>280</v>
      </c>
      <c r="AM12" s="187" t="s">
        <v>281</v>
      </c>
      <c r="AO12" s="563">
        <f t="shared" si="0"/>
        <v>5.2000000000000028</v>
      </c>
    </row>
    <row r="13" spans="1:41" x14ac:dyDescent="0.2">
      <c r="A13" s="181" t="s">
        <v>282</v>
      </c>
      <c r="B13" s="181">
        <v>2018</v>
      </c>
      <c r="C13" s="181" t="s">
        <v>152</v>
      </c>
      <c r="D13" s="184">
        <v>8.8000000000000007</v>
      </c>
      <c r="E13" s="183">
        <v>0</v>
      </c>
      <c r="F13" s="185">
        <v>8.8000000000000007</v>
      </c>
      <c r="G13" s="183">
        <v>0</v>
      </c>
      <c r="H13" s="183">
        <v>0</v>
      </c>
      <c r="I13" s="183">
        <v>0</v>
      </c>
      <c r="J13" s="183">
        <v>0</v>
      </c>
      <c r="K13" s="183">
        <v>0</v>
      </c>
      <c r="L13" s="185">
        <v>8.8000000000000007</v>
      </c>
      <c r="M13" s="183">
        <v>0</v>
      </c>
      <c r="N13" s="183">
        <v>0</v>
      </c>
      <c r="O13" s="183">
        <v>0</v>
      </c>
      <c r="P13" s="183">
        <v>0</v>
      </c>
      <c r="Q13" s="183">
        <v>0</v>
      </c>
      <c r="R13" s="183">
        <v>0</v>
      </c>
      <c r="S13" s="183">
        <v>0</v>
      </c>
      <c r="T13" s="184">
        <v>1.5</v>
      </c>
      <c r="U13" s="183">
        <v>0</v>
      </c>
      <c r="V13" s="185">
        <v>0.6</v>
      </c>
      <c r="W13" s="185">
        <v>0</v>
      </c>
      <c r="X13" s="183">
        <v>0</v>
      </c>
      <c r="Y13" s="185">
        <v>0.7</v>
      </c>
      <c r="Z13" s="185">
        <v>0</v>
      </c>
      <c r="AA13" s="183">
        <v>0</v>
      </c>
      <c r="AB13" s="185">
        <v>0</v>
      </c>
      <c r="AC13" s="183">
        <v>0</v>
      </c>
      <c r="AD13" s="185">
        <v>0.1</v>
      </c>
      <c r="AE13" s="183">
        <v>0</v>
      </c>
      <c r="AF13" s="183">
        <v>0</v>
      </c>
      <c r="AG13" s="183">
        <v>0</v>
      </c>
      <c r="AH13" s="186">
        <v>0</v>
      </c>
      <c r="AI13" s="184">
        <v>10.3</v>
      </c>
      <c r="AJ13" s="183"/>
      <c r="AK13" s="184">
        <v>8.6999999999999993</v>
      </c>
      <c r="AL13" s="185">
        <v>2.5</v>
      </c>
      <c r="AM13" s="187" t="s">
        <v>282</v>
      </c>
    </row>
    <row r="14" spans="1:41" x14ac:dyDescent="0.2">
      <c r="A14" s="181" t="s">
        <v>283</v>
      </c>
      <c r="B14" s="181">
        <v>2018</v>
      </c>
      <c r="C14" s="181" t="s">
        <v>152</v>
      </c>
      <c r="D14" s="188">
        <v>160.69999999999999</v>
      </c>
      <c r="E14" s="190">
        <v>53.2</v>
      </c>
      <c r="F14" s="190">
        <v>103</v>
      </c>
      <c r="G14" s="190">
        <v>25.6</v>
      </c>
      <c r="H14" s="189">
        <v>0</v>
      </c>
      <c r="I14" s="190">
        <v>53.7</v>
      </c>
      <c r="J14" s="190">
        <v>11.7</v>
      </c>
      <c r="K14" s="190">
        <v>12</v>
      </c>
      <c r="L14" s="189">
        <v>0</v>
      </c>
      <c r="M14" s="189">
        <v>0</v>
      </c>
      <c r="N14" s="189">
        <v>0</v>
      </c>
      <c r="O14" s="189">
        <v>0</v>
      </c>
      <c r="P14" s="190">
        <v>1.6</v>
      </c>
      <c r="Q14" s="190">
        <v>0.4</v>
      </c>
      <c r="R14" s="190">
        <v>2.4</v>
      </c>
      <c r="S14" s="190">
        <v>0</v>
      </c>
      <c r="T14" s="191">
        <v>100.3</v>
      </c>
      <c r="U14" s="192">
        <v>0</v>
      </c>
      <c r="V14" s="193">
        <v>49.6</v>
      </c>
      <c r="W14" s="193">
        <v>7.8</v>
      </c>
      <c r="X14" s="193">
        <v>4.4000000000000004</v>
      </c>
      <c r="Y14" s="193">
        <v>2.8</v>
      </c>
      <c r="Z14" s="193">
        <v>0.8</v>
      </c>
      <c r="AA14" s="192">
        <v>0</v>
      </c>
      <c r="AB14" s="193">
        <v>0.9</v>
      </c>
      <c r="AC14" s="193">
        <v>24.5</v>
      </c>
      <c r="AD14" s="193">
        <v>6.6</v>
      </c>
      <c r="AE14" s="193">
        <v>3</v>
      </c>
      <c r="AF14" s="192">
        <v>0</v>
      </c>
      <c r="AG14" s="193">
        <v>0</v>
      </c>
      <c r="AH14" s="186">
        <v>0</v>
      </c>
      <c r="AI14" s="195">
        <v>261</v>
      </c>
      <c r="AJ14" s="196">
        <v>3.2</v>
      </c>
      <c r="AK14" s="195">
        <v>268.89999999999998</v>
      </c>
      <c r="AL14" s="196">
        <v>0.4</v>
      </c>
      <c r="AM14" s="187" t="s">
        <v>283</v>
      </c>
    </row>
    <row r="15" spans="1:41" x14ac:dyDescent="0.2">
      <c r="A15" s="181" t="s">
        <v>284</v>
      </c>
      <c r="B15" s="181">
        <v>2018</v>
      </c>
      <c r="C15" s="181" t="s">
        <v>152</v>
      </c>
      <c r="D15" s="184">
        <v>35.799999999999997</v>
      </c>
      <c r="E15" s="185">
        <v>21.9</v>
      </c>
      <c r="F15" s="185">
        <v>13</v>
      </c>
      <c r="G15" s="183">
        <v>0</v>
      </c>
      <c r="H15" s="183">
        <v>0</v>
      </c>
      <c r="I15" s="185">
        <v>3.9</v>
      </c>
      <c r="J15" s="185">
        <v>5.8</v>
      </c>
      <c r="K15" s="185">
        <v>0.2</v>
      </c>
      <c r="L15" s="183">
        <v>0</v>
      </c>
      <c r="M15" s="185">
        <v>3</v>
      </c>
      <c r="N15" s="183">
        <v>0</v>
      </c>
      <c r="O15" s="183">
        <v>0</v>
      </c>
      <c r="P15" s="183">
        <v>0</v>
      </c>
      <c r="Q15" s="183">
        <v>0</v>
      </c>
      <c r="R15" s="183">
        <v>0</v>
      </c>
      <c r="S15" s="185">
        <v>0.9</v>
      </c>
      <c r="T15" s="184">
        <v>31.7</v>
      </c>
      <c r="U15" s="183">
        <v>0</v>
      </c>
      <c r="V15" s="185">
        <v>5.9</v>
      </c>
      <c r="W15" s="185">
        <v>0.2</v>
      </c>
      <c r="X15" s="183">
        <v>0</v>
      </c>
      <c r="Y15" s="185">
        <v>12.5</v>
      </c>
      <c r="Z15" s="183">
        <v>0</v>
      </c>
      <c r="AA15" s="183">
        <v>0</v>
      </c>
      <c r="AB15" s="183">
        <v>0</v>
      </c>
      <c r="AC15" s="183">
        <v>0</v>
      </c>
      <c r="AD15" s="185">
        <v>13.1</v>
      </c>
      <c r="AE15" s="183">
        <v>0</v>
      </c>
      <c r="AF15" s="183">
        <v>0</v>
      </c>
      <c r="AG15" s="183">
        <v>0</v>
      </c>
      <c r="AH15" s="186">
        <v>0</v>
      </c>
      <c r="AI15" s="184">
        <v>67.5</v>
      </c>
      <c r="AJ15" s="183"/>
      <c r="AK15" s="184">
        <v>87.4</v>
      </c>
      <c r="AL15" s="185">
        <v>2.2999999999999998</v>
      </c>
      <c r="AM15" s="187" t="s">
        <v>284</v>
      </c>
    </row>
    <row r="16" spans="1:41" x14ac:dyDescent="0.2">
      <c r="A16" s="181" t="s">
        <v>285</v>
      </c>
      <c r="B16" s="181">
        <v>2018</v>
      </c>
      <c r="C16" s="181" t="s">
        <v>152</v>
      </c>
      <c r="D16" s="188">
        <v>439.9</v>
      </c>
      <c r="E16" s="190">
        <v>393.2</v>
      </c>
      <c r="F16" s="190">
        <v>39.5</v>
      </c>
      <c r="G16" s="189">
        <v>0</v>
      </c>
      <c r="H16" s="189">
        <v>0</v>
      </c>
      <c r="I16" s="190">
        <v>31.4</v>
      </c>
      <c r="J16" s="190">
        <v>5.8</v>
      </c>
      <c r="K16" s="190">
        <v>2.2000000000000002</v>
      </c>
      <c r="L16" s="189">
        <v>0</v>
      </c>
      <c r="M16" s="189">
        <v>0</v>
      </c>
      <c r="N16" s="189">
        <v>0</v>
      </c>
      <c r="O16" s="189">
        <v>0</v>
      </c>
      <c r="P16" s="189">
        <v>0</v>
      </c>
      <c r="Q16" s="190">
        <v>5.0999999999999996</v>
      </c>
      <c r="R16" s="190">
        <v>2.1</v>
      </c>
      <c r="S16" s="189">
        <v>0</v>
      </c>
      <c r="T16" s="191">
        <v>108.8</v>
      </c>
      <c r="U16" s="192">
        <v>0</v>
      </c>
      <c r="V16" s="193">
        <v>27.8</v>
      </c>
      <c r="W16" s="193">
        <v>10.199999999999999</v>
      </c>
      <c r="X16" s="192">
        <v>0</v>
      </c>
      <c r="Y16" s="193">
        <v>2.8</v>
      </c>
      <c r="Z16" s="193">
        <v>2.4</v>
      </c>
      <c r="AA16" s="192">
        <v>0</v>
      </c>
      <c r="AB16" s="193">
        <v>2.4</v>
      </c>
      <c r="AC16" s="192">
        <v>0</v>
      </c>
      <c r="AD16" s="193">
        <v>32.299999999999997</v>
      </c>
      <c r="AE16" s="193">
        <v>30.9</v>
      </c>
      <c r="AF16" s="192">
        <v>0</v>
      </c>
      <c r="AG16" s="192">
        <v>0</v>
      </c>
      <c r="AH16" s="186">
        <v>0</v>
      </c>
      <c r="AI16" s="195">
        <v>548.6</v>
      </c>
      <c r="AJ16" s="196">
        <v>7.3</v>
      </c>
      <c r="AK16" s="195">
        <v>478.3</v>
      </c>
      <c r="AL16" s="197" t="s">
        <v>286</v>
      </c>
      <c r="AM16" s="187" t="s">
        <v>285</v>
      </c>
    </row>
    <row r="17" spans="1:39" x14ac:dyDescent="0.2">
      <c r="A17" s="181" t="s">
        <v>287</v>
      </c>
      <c r="B17" s="181">
        <v>2018</v>
      </c>
      <c r="C17" s="181" t="s">
        <v>152</v>
      </c>
      <c r="D17" s="184">
        <v>207.4</v>
      </c>
      <c r="E17" s="185">
        <v>60.7</v>
      </c>
      <c r="F17" s="185">
        <v>146.69999999999999</v>
      </c>
      <c r="G17" s="183">
        <v>0</v>
      </c>
      <c r="H17" s="183">
        <v>0</v>
      </c>
      <c r="I17" s="185">
        <v>129.9</v>
      </c>
      <c r="J17" s="185">
        <v>16.8</v>
      </c>
      <c r="K17" s="185">
        <v>0</v>
      </c>
      <c r="L17" s="183">
        <v>0</v>
      </c>
      <c r="M17" s="183">
        <v>0</v>
      </c>
      <c r="N17" s="183">
        <v>0</v>
      </c>
      <c r="O17" s="183">
        <v>0</v>
      </c>
      <c r="P17" s="183">
        <v>0</v>
      </c>
      <c r="Q17" s="183">
        <v>0</v>
      </c>
      <c r="R17" s="183">
        <v>0</v>
      </c>
      <c r="S17" s="183">
        <v>0</v>
      </c>
      <c r="T17" s="184">
        <v>78.400000000000006</v>
      </c>
      <c r="U17" s="185">
        <v>16.7</v>
      </c>
      <c r="V17" s="185">
        <v>25.6</v>
      </c>
      <c r="W17" s="185">
        <v>11.8</v>
      </c>
      <c r="X17" s="183">
        <v>0</v>
      </c>
      <c r="Y17" s="185">
        <v>17.8</v>
      </c>
      <c r="Z17" s="185">
        <v>0.1</v>
      </c>
      <c r="AA17" s="183">
        <v>0</v>
      </c>
      <c r="AB17" s="185">
        <v>0.4</v>
      </c>
      <c r="AC17" s="185">
        <v>2.5</v>
      </c>
      <c r="AD17" s="185">
        <v>3.4</v>
      </c>
      <c r="AE17" s="183">
        <v>0</v>
      </c>
      <c r="AF17" s="183">
        <v>0</v>
      </c>
      <c r="AG17" s="183">
        <v>0</v>
      </c>
      <c r="AH17" s="186">
        <v>0</v>
      </c>
      <c r="AI17" s="184">
        <v>285.8</v>
      </c>
      <c r="AJ17" s="185">
        <v>3.4</v>
      </c>
      <c r="AK17" s="184">
        <v>304</v>
      </c>
      <c r="AL17" s="183" t="s">
        <v>288</v>
      </c>
      <c r="AM17" s="187" t="s">
        <v>287</v>
      </c>
    </row>
    <row r="18" spans="1:39" x14ac:dyDescent="0.2">
      <c r="A18" s="181" t="s">
        <v>289</v>
      </c>
      <c r="B18" s="181">
        <v>2018</v>
      </c>
      <c r="C18" s="181" t="s">
        <v>152</v>
      </c>
      <c r="D18" s="188">
        <v>29.1</v>
      </c>
      <c r="E18" s="189">
        <v>0</v>
      </c>
      <c r="F18" s="190">
        <v>29</v>
      </c>
      <c r="G18" s="190">
        <v>14.9</v>
      </c>
      <c r="H18" s="189">
        <v>0</v>
      </c>
      <c r="I18" s="190">
        <v>14.1</v>
      </c>
      <c r="J18" s="189">
        <v>0</v>
      </c>
      <c r="K18" s="189">
        <v>0</v>
      </c>
      <c r="L18" s="189">
        <v>0</v>
      </c>
      <c r="M18" s="189">
        <v>0</v>
      </c>
      <c r="N18" s="189">
        <v>0</v>
      </c>
      <c r="O18" s="189">
        <v>0</v>
      </c>
      <c r="P18" s="189">
        <v>0</v>
      </c>
      <c r="Q18" s="190">
        <v>0</v>
      </c>
      <c r="R18" s="189">
        <v>0</v>
      </c>
      <c r="S18" s="189">
        <v>0</v>
      </c>
      <c r="T18" s="191">
        <v>16.3</v>
      </c>
      <c r="U18" s="192">
        <v>0</v>
      </c>
      <c r="V18" s="193">
        <v>5.6</v>
      </c>
      <c r="W18" s="193">
        <v>3.5</v>
      </c>
      <c r="X18" s="192">
        <v>0</v>
      </c>
      <c r="Y18" s="193">
        <v>0.3</v>
      </c>
      <c r="Z18" s="192">
        <v>0</v>
      </c>
      <c r="AA18" s="192">
        <v>0</v>
      </c>
      <c r="AB18" s="192">
        <v>0</v>
      </c>
      <c r="AC18" s="193">
        <v>4.4000000000000004</v>
      </c>
      <c r="AD18" s="193">
        <v>0.7</v>
      </c>
      <c r="AE18" s="193">
        <v>0.6</v>
      </c>
      <c r="AF18" s="192">
        <v>0</v>
      </c>
      <c r="AG18" s="193">
        <v>1.1000000000000001</v>
      </c>
      <c r="AH18" s="186">
        <v>0</v>
      </c>
      <c r="AI18" s="195">
        <v>45.3</v>
      </c>
      <c r="AJ18" s="196">
        <v>0</v>
      </c>
      <c r="AK18" s="195">
        <v>51.6</v>
      </c>
      <c r="AL18" s="197" t="s">
        <v>290</v>
      </c>
      <c r="AM18" s="187" t="s">
        <v>289</v>
      </c>
    </row>
    <row r="19" spans="1:39" x14ac:dyDescent="0.2">
      <c r="A19" s="181" t="s">
        <v>291</v>
      </c>
      <c r="B19" s="181">
        <v>2018</v>
      </c>
      <c r="C19" s="181" t="s">
        <v>152</v>
      </c>
      <c r="D19" s="184">
        <v>3.2</v>
      </c>
      <c r="E19" s="183">
        <v>0</v>
      </c>
      <c r="F19" s="185">
        <v>3.2</v>
      </c>
      <c r="G19" s="183">
        <v>0</v>
      </c>
      <c r="H19" s="183">
        <v>0</v>
      </c>
      <c r="I19" s="185">
        <v>1.9</v>
      </c>
      <c r="J19" s="185">
        <v>1.3</v>
      </c>
      <c r="K19" s="183">
        <v>0</v>
      </c>
      <c r="L19" s="183">
        <v>0</v>
      </c>
      <c r="M19" s="183">
        <v>0</v>
      </c>
      <c r="N19" s="183">
        <v>0</v>
      </c>
      <c r="O19" s="183">
        <v>0</v>
      </c>
      <c r="P19" s="183">
        <v>0</v>
      </c>
      <c r="Q19" s="183">
        <v>0</v>
      </c>
      <c r="R19" s="183">
        <v>0</v>
      </c>
      <c r="S19" s="183">
        <v>0</v>
      </c>
      <c r="T19" s="184">
        <v>8.9</v>
      </c>
      <c r="U19" s="183">
        <v>0</v>
      </c>
      <c r="V19" s="185">
        <v>1.3</v>
      </c>
      <c r="W19" s="185">
        <v>0.1</v>
      </c>
      <c r="X19" s="183">
        <v>0</v>
      </c>
      <c r="Y19" s="185">
        <v>0.3</v>
      </c>
      <c r="Z19" s="185">
        <v>0.3</v>
      </c>
      <c r="AA19" s="183">
        <v>0</v>
      </c>
      <c r="AB19" s="185">
        <v>0</v>
      </c>
      <c r="AC19" s="185">
        <v>4.5999999999999996</v>
      </c>
      <c r="AD19" s="185">
        <v>1.8</v>
      </c>
      <c r="AE19" s="185">
        <v>0.5</v>
      </c>
      <c r="AF19" s="183">
        <v>0</v>
      </c>
      <c r="AG19" s="185">
        <v>0</v>
      </c>
      <c r="AH19" s="186">
        <v>0</v>
      </c>
      <c r="AI19" s="184">
        <v>12.1</v>
      </c>
      <c r="AJ19" s="185">
        <v>0.1</v>
      </c>
      <c r="AK19" s="184">
        <v>18.2</v>
      </c>
      <c r="AL19" s="185">
        <v>1.7</v>
      </c>
      <c r="AM19" s="187" t="s">
        <v>291</v>
      </c>
    </row>
    <row r="20" spans="1:39" x14ac:dyDescent="0.2">
      <c r="A20" s="181" t="s">
        <v>292</v>
      </c>
      <c r="B20" s="181">
        <v>2018</v>
      </c>
      <c r="C20" s="181" t="s">
        <v>152</v>
      </c>
      <c r="D20" s="188">
        <v>24.8</v>
      </c>
      <c r="E20" s="190">
        <v>14.8</v>
      </c>
      <c r="F20" s="190">
        <v>10</v>
      </c>
      <c r="G20" s="190">
        <v>4.5</v>
      </c>
      <c r="H20" s="189">
        <v>0</v>
      </c>
      <c r="I20" s="190">
        <v>5.4</v>
      </c>
      <c r="J20" s="190">
        <v>0</v>
      </c>
      <c r="K20" s="190">
        <v>0.1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  <c r="R20" s="189">
        <v>0</v>
      </c>
      <c r="S20" s="189">
        <v>0</v>
      </c>
      <c r="T20" s="191">
        <v>3.4</v>
      </c>
      <c r="U20" s="192">
        <v>0</v>
      </c>
      <c r="V20" s="193">
        <v>0.6</v>
      </c>
      <c r="W20" s="193">
        <v>0.3</v>
      </c>
      <c r="X20" s="192">
        <v>0</v>
      </c>
      <c r="Y20" s="193">
        <v>1.8</v>
      </c>
      <c r="Z20" s="193">
        <v>0.2</v>
      </c>
      <c r="AA20" s="192">
        <v>0</v>
      </c>
      <c r="AB20" s="193">
        <v>0.4</v>
      </c>
      <c r="AC20" s="192">
        <v>0</v>
      </c>
      <c r="AD20" s="193">
        <v>0.2</v>
      </c>
      <c r="AE20" s="192">
        <v>0</v>
      </c>
      <c r="AF20" s="192">
        <v>0</v>
      </c>
      <c r="AG20" s="192">
        <v>0</v>
      </c>
      <c r="AH20" s="186">
        <v>0</v>
      </c>
      <c r="AI20" s="195">
        <v>28.2</v>
      </c>
      <c r="AJ20" s="197"/>
      <c r="AK20" s="195">
        <v>42.5</v>
      </c>
      <c r="AL20" s="196">
        <v>1.3</v>
      </c>
      <c r="AM20" s="187" t="s">
        <v>292</v>
      </c>
    </row>
    <row r="21" spans="1:39" x14ac:dyDescent="0.2">
      <c r="A21" s="181" t="s">
        <v>293</v>
      </c>
      <c r="B21" s="181">
        <v>2018</v>
      </c>
      <c r="C21" s="181" t="s">
        <v>152</v>
      </c>
      <c r="D21" s="184">
        <v>19.8</v>
      </c>
      <c r="E21" s="183">
        <v>0</v>
      </c>
      <c r="F21" s="185">
        <v>19.3</v>
      </c>
      <c r="G21" s="183">
        <v>0</v>
      </c>
      <c r="H21" s="183">
        <v>0</v>
      </c>
      <c r="I21" s="185">
        <v>14.9</v>
      </c>
      <c r="J21" s="185">
        <v>2.1</v>
      </c>
      <c r="K21" s="185">
        <v>0.1</v>
      </c>
      <c r="L21" s="183">
        <v>0</v>
      </c>
      <c r="M21" s="185">
        <v>2.2000000000000002</v>
      </c>
      <c r="N21" s="183">
        <v>0</v>
      </c>
      <c r="O21" s="183">
        <v>0</v>
      </c>
      <c r="P21" s="185">
        <v>0.2</v>
      </c>
      <c r="Q21" s="183">
        <v>0</v>
      </c>
      <c r="R21" s="185">
        <v>0.3</v>
      </c>
      <c r="S21" s="183">
        <v>0</v>
      </c>
      <c r="T21" s="184">
        <v>9.5</v>
      </c>
      <c r="U21" s="183">
        <v>0</v>
      </c>
      <c r="V21" s="185">
        <v>8.4</v>
      </c>
      <c r="W21" s="183">
        <v>0</v>
      </c>
      <c r="X21" s="183">
        <v>0</v>
      </c>
      <c r="Y21" s="183">
        <v>0</v>
      </c>
      <c r="Z21" s="183">
        <v>0</v>
      </c>
      <c r="AA21" s="183">
        <v>0</v>
      </c>
      <c r="AB21" s="185">
        <v>0.3</v>
      </c>
      <c r="AC21" s="183">
        <v>0</v>
      </c>
      <c r="AD21" s="185">
        <v>0.7</v>
      </c>
      <c r="AE21" s="183">
        <v>0</v>
      </c>
      <c r="AF21" s="183">
        <v>0</v>
      </c>
      <c r="AG21" s="185">
        <v>0.2</v>
      </c>
      <c r="AH21" s="186">
        <v>0</v>
      </c>
      <c r="AI21" s="184">
        <v>29.3</v>
      </c>
      <c r="AJ21" s="185">
        <v>0.5</v>
      </c>
      <c r="AK21" s="184">
        <v>28.7</v>
      </c>
      <c r="AL21" s="185">
        <v>2.1</v>
      </c>
      <c r="AM21" s="187" t="s">
        <v>293</v>
      </c>
    </row>
    <row r="22" spans="1:39" x14ac:dyDescent="0.2">
      <c r="A22" s="181" t="s">
        <v>294</v>
      </c>
      <c r="B22" s="181">
        <v>2018</v>
      </c>
      <c r="C22" s="181" t="s">
        <v>152</v>
      </c>
      <c r="D22" s="188">
        <v>0</v>
      </c>
      <c r="E22" s="189">
        <v>0</v>
      </c>
      <c r="F22" s="190">
        <v>0</v>
      </c>
      <c r="G22" s="189">
        <v>0</v>
      </c>
      <c r="H22" s="189">
        <v>0</v>
      </c>
      <c r="I22" s="189">
        <v>0</v>
      </c>
      <c r="J22" s="189">
        <v>0</v>
      </c>
      <c r="K22" s="190">
        <v>0</v>
      </c>
      <c r="L22" s="189">
        <v>0</v>
      </c>
      <c r="M22" s="189">
        <v>0</v>
      </c>
      <c r="N22" s="189">
        <v>0</v>
      </c>
      <c r="O22" s="189">
        <v>0</v>
      </c>
      <c r="P22" s="189">
        <v>0</v>
      </c>
      <c r="Q22" s="189">
        <v>0</v>
      </c>
      <c r="R22" s="189">
        <v>0</v>
      </c>
      <c r="S22" s="189">
        <v>0</v>
      </c>
      <c r="T22" s="191">
        <v>19.3</v>
      </c>
      <c r="U22" s="192">
        <v>0</v>
      </c>
      <c r="V22" s="193">
        <v>0</v>
      </c>
      <c r="W22" s="192">
        <v>0</v>
      </c>
      <c r="X22" s="192">
        <v>0</v>
      </c>
      <c r="Y22" s="192">
        <v>0</v>
      </c>
      <c r="Z22" s="192">
        <v>0</v>
      </c>
      <c r="AA22" s="193">
        <v>5.6</v>
      </c>
      <c r="AB22" s="192">
        <v>0</v>
      </c>
      <c r="AC22" s="193">
        <v>13.5</v>
      </c>
      <c r="AD22" s="193">
        <v>0.2</v>
      </c>
      <c r="AE22" s="192">
        <v>0</v>
      </c>
      <c r="AF22" s="192">
        <v>0</v>
      </c>
      <c r="AG22" s="192">
        <v>0</v>
      </c>
      <c r="AH22" s="186">
        <v>0</v>
      </c>
      <c r="AI22" s="195">
        <v>19.3</v>
      </c>
      <c r="AJ22" s="197"/>
      <c r="AK22" s="195">
        <v>19.3</v>
      </c>
      <c r="AL22" s="196">
        <v>3.4</v>
      </c>
      <c r="AM22" s="187" t="s">
        <v>294</v>
      </c>
    </row>
    <row r="23" spans="1:39" x14ac:dyDescent="0.2">
      <c r="A23" s="181" t="s">
        <v>295</v>
      </c>
      <c r="B23" s="181">
        <v>2018</v>
      </c>
      <c r="C23" s="181" t="s">
        <v>152</v>
      </c>
      <c r="D23" s="184">
        <v>170.3</v>
      </c>
      <c r="E23" s="183">
        <v>0</v>
      </c>
      <c r="F23" s="185">
        <v>158.69999999999999</v>
      </c>
      <c r="G23" s="183">
        <v>0</v>
      </c>
      <c r="H23" s="185">
        <v>2.2000000000000002</v>
      </c>
      <c r="I23" s="185">
        <v>124</v>
      </c>
      <c r="J23" s="185">
        <v>28.8</v>
      </c>
      <c r="K23" s="185">
        <v>3.6</v>
      </c>
      <c r="L23" s="183">
        <v>0</v>
      </c>
      <c r="M23" s="183">
        <v>0</v>
      </c>
      <c r="N23" s="183">
        <v>0</v>
      </c>
      <c r="O23" s="183">
        <v>0</v>
      </c>
      <c r="P23" s="185">
        <v>1.9</v>
      </c>
      <c r="Q23" s="185">
        <v>0.5</v>
      </c>
      <c r="R23" s="185">
        <v>2.1</v>
      </c>
      <c r="S23" s="185">
        <v>7.2</v>
      </c>
      <c r="T23" s="184">
        <v>110.2</v>
      </c>
      <c r="U23" s="183">
        <v>0</v>
      </c>
      <c r="V23" s="185">
        <v>17.3</v>
      </c>
      <c r="W23" s="185">
        <v>22.9</v>
      </c>
      <c r="X23" s="183">
        <v>0</v>
      </c>
      <c r="Y23" s="185">
        <v>7.6</v>
      </c>
      <c r="Z23" s="185">
        <v>7.3</v>
      </c>
      <c r="AA23" s="185">
        <v>5.7</v>
      </c>
      <c r="AB23" s="185">
        <v>2.1</v>
      </c>
      <c r="AC23" s="185">
        <v>8.9</v>
      </c>
      <c r="AD23" s="185">
        <v>36.200000000000003</v>
      </c>
      <c r="AE23" s="185">
        <v>2</v>
      </c>
      <c r="AF23" s="183">
        <v>0</v>
      </c>
      <c r="AG23" s="183">
        <v>0</v>
      </c>
      <c r="AH23" s="186">
        <v>0</v>
      </c>
      <c r="AI23" s="184">
        <v>280.5</v>
      </c>
      <c r="AJ23" s="185">
        <v>2.2000000000000002</v>
      </c>
      <c r="AK23" s="184">
        <v>322.2</v>
      </c>
      <c r="AL23" s="185">
        <v>0.6</v>
      </c>
      <c r="AM23" s="187" t="s">
        <v>295</v>
      </c>
    </row>
    <row r="24" spans="1:39" x14ac:dyDescent="0.2">
      <c r="A24" s="181" t="s">
        <v>296</v>
      </c>
      <c r="B24" s="181">
        <v>2018</v>
      </c>
      <c r="C24" s="181" t="s">
        <v>152</v>
      </c>
      <c r="D24" s="188">
        <v>1.1000000000000001</v>
      </c>
      <c r="E24" s="189">
        <v>0</v>
      </c>
      <c r="F24" s="190">
        <v>0.4</v>
      </c>
      <c r="G24" s="189">
        <v>0</v>
      </c>
      <c r="H24" s="189">
        <v>0</v>
      </c>
      <c r="I24" s="190">
        <v>0.3</v>
      </c>
      <c r="J24" s="189">
        <v>0</v>
      </c>
      <c r="K24" s="189">
        <v>0</v>
      </c>
      <c r="L24" s="189">
        <v>0</v>
      </c>
      <c r="M24" s="189">
        <v>0</v>
      </c>
      <c r="N24" s="190">
        <v>0.1</v>
      </c>
      <c r="O24" s="189">
        <v>0</v>
      </c>
      <c r="P24" s="190">
        <v>0.5</v>
      </c>
      <c r="Q24" s="189">
        <v>0</v>
      </c>
      <c r="R24" s="190">
        <v>0.1</v>
      </c>
      <c r="S24" s="190">
        <v>0.2</v>
      </c>
      <c r="T24" s="191">
        <v>2.1</v>
      </c>
      <c r="U24" s="192">
        <v>0</v>
      </c>
      <c r="V24" s="193">
        <v>1.1000000000000001</v>
      </c>
      <c r="W24" s="193">
        <v>0.1</v>
      </c>
      <c r="X24" s="192">
        <v>0</v>
      </c>
      <c r="Y24" s="193">
        <v>0.2</v>
      </c>
      <c r="Z24" s="193">
        <v>0.1</v>
      </c>
      <c r="AA24" s="192">
        <v>0</v>
      </c>
      <c r="AB24" s="193">
        <v>0.1</v>
      </c>
      <c r="AC24" s="192">
        <v>0</v>
      </c>
      <c r="AD24" s="193">
        <v>0.4</v>
      </c>
      <c r="AE24" s="192">
        <v>0</v>
      </c>
      <c r="AF24" s="192">
        <v>0</v>
      </c>
      <c r="AG24" s="192">
        <v>0</v>
      </c>
      <c r="AH24" s="186">
        <v>0</v>
      </c>
      <c r="AI24" s="195">
        <v>3.2</v>
      </c>
      <c r="AJ24" s="196">
        <v>0.7</v>
      </c>
      <c r="AK24" s="195">
        <v>12.1</v>
      </c>
      <c r="AL24" s="196">
        <v>3.2</v>
      </c>
      <c r="AM24" s="187" t="s">
        <v>296</v>
      </c>
    </row>
    <row r="25" spans="1:39" x14ac:dyDescent="0.2">
      <c r="A25" s="181" t="s">
        <v>297</v>
      </c>
      <c r="B25" s="181">
        <v>2018</v>
      </c>
      <c r="C25" s="181" t="s">
        <v>152</v>
      </c>
      <c r="D25" s="184">
        <v>1.6</v>
      </c>
      <c r="E25" s="183">
        <v>0</v>
      </c>
      <c r="F25" s="185">
        <v>0.2</v>
      </c>
      <c r="G25" s="183">
        <v>0</v>
      </c>
      <c r="H25" s="183">
        <v>0</v>
      </c>
      <c r="I25" s="185">
        <v>0.2</v>
      </c>
      <c r="J25" s="183">
        <v>0</v>
      </c>
      <c r="K25" s="183">
        <v>0</v>
      </c>
      <c r="L25" s="183">
        <v>0</v>
      </c>
      <c r="M25" s="183">
        <v>0</v>
      </c>
      <c r="N25" s="183">
        <v>0</v>
      </c>
      <c r="O25" s="183">
        <v>0</v>
      </c>
      <c r="P25" s="185">
        <v>1.2</v>
      </c>
      <c r="Q25" s="183">
        <v>0</v>
      </c>
      <c r="R25" s="185">
        <v>0.1</v>
      </c>
      <c r="S25" s="183">
        <v>0</v>
      </c>
      <c r="T25" s="184">
        <v>0.4</v>
      </c>
      <c r="U25" s="183">
        <v>0</v>
      </c>
      <c r="V25" s="185">
        <v>0.3</v>
      </c>
      <c r="W25" s="185">
        <v>0.1</v>
      </c>
      <c r="X25" s="183">
        <v>0</v>
      </c>
      <c r="Y25" s="183">
        <v>0</v>
      </c>
      <c r="Z25" s="185">
        <v>0.1</v>
      </c>
      <c r="AA25" s="183">
        <v>0</v>
      </c>
      <c r="AB25" s="183">
        <v>0</v>
      </c>
      <c r="AC25" s="185">
        <v>0</v>
      </c>
      <c r="AD25" s="185">
        <v>0.1</v>
      </c>
      <c r="AE25" s="183">
        <v>0</v>
      </c>
      <c r="AF25" s="183">
        <v>0</v>
      </c>
      <c r="AG25" s="183">
        <v>0</v>
      </c>
      <c r="AH25" s="186">
        <v>0</v>
      </c>
      <c r="AI25" s="184">
        <v>2</v>
      </c>
      <c r="AJ25" s="185">
        <v>1.7</v>
      </c>
      <c r="AK25" s="184">
        <v>6.4</v>
      </c>
      <c r="AL25" s="183" t="s">
        <v>298</v>
      </c>
      <c r="AM25" s="187" t="s">
        <v>297</v>
      </c>
    </row>
    <row r="26" spans="1:39" x14ac:dyDescent="0.2">
      <c r="A26" s="181" t="s">
        <v>299</v>
      </c>
      <c r="B26" s="181">
        <v>2018</v>
      </c>
      <c r="C26" s="181" t="s">
        <v>152</v>
      </c>
      <c r="D26" s="188">
        <v>3.1</v>
      </c>
      <c r="E26" s="189">
        <v>0</v>
      </c>
      <c r="F26" s="190">
        <v>3.1</v>
      </c>
      <c r="G26" s="189">
        <v>0</v>
      </c>
      <c r="H26" s="189">
        <v>0</v>
      </c>
      <c r="I26" s="190">
        <v>2.6</v>
      </c>
      <c r="J26" s="189">
        <v>0</v>
      </c>
      <c r="K26" s="189">
        <v>0</v>
      </c>
      <c r="L26" s="189">
        <v>0</v>
      </c>
      <c r="M26" s="189">
        <v>0</v>
      </c>
      <c r="N26" s="190">
        <v>0.5</v>
      </c>
      <c r="O26" s="189">
        <v>0</v>
      </c>
      <c r="P26" s="189">
        <v>0</v>
      </c>
      <c r="Q26" s="189">
        <v>0</v>
      </c>
      <c r="R26" s="189">
        <v>0</v>
      </c>
      <c r="S26" s="189">
        <v>0</v>
      </c>
      <c r="T26" s="191">
        <v>3.4</v>
      </c>
      <c r="U26" s="192">
        <v>0</v>
      </c>
      <c r="V26" s="193">
        <v>0.1</v>
      </c>
      <c r="W26" s="192">
        <v>0</v>
      </c>
      <c r="X26" s="192">
        <v>0</v>
      </c>
      <c r="Y26" s="193">
        <v>0.5</v>
      </c>
      <c r="Z26" s="193">
        <v>0.4</v>
      </c>
      <c r="AA26" s="192">
        <v>0</v>
      </c>
      <c r="AB26" s="192">
        <v>0</v>
      </c>
      <c r="AC26" s="192">
        <v>0</v>
      </c>
      <c r="AD26" s="193">
        <v>2.4</v>
      </c>
      <c r="AE26" s="192">
        <v>0</v>
      </c>
      <c r="AF26" s="192">
        <v>0</v>
      </c>
      <c r="AG26" s="192">
        <v>0</v>
      </c>
      <c r="AH26" s="186">
        <v>0</v>
      </c>
      <c r="AI26" s="195">
        <v>6.5</v>
      </c>
      <c r="AJ26" s="197"/>
      <c r="AK26" s="195">
        <v>7.4</v>
      </c>
      <c r="AL26" s="196">
        <v>1.8</v>
      </c>
      <c r="AM26" s="187" t="s">
        <v>299</v>
      </c>
    </row>
    <row r="27" spans="1:39" x14ac:dyDescent="0.2">
      <c r="A27" s="181" t="s">
        <v>300</v>
      </c>
      <c r="B27" s="181">
        <v>2018</v>
      </c>
      <c r="C27" s="181" t="s">
        <v>152</v>
      </c>
      <c r="D27" s="184">
        <v>3.5</v>
      </c>
      <c r="E27" s="183">
        <v>0</v>
      </c>
      <c r="F27" s="185">
        <v>1.4</v>
      </c>
      <c r="G27" s="185">
        <v>1.4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0</v>
      </c>
      <c r="N27" s="183">
        <v>0</v>
      </c>
      <c r="O27" s="183">
        <v>0</v>
      </c>
      <c r="P27" s="183">
        <v>0</v>
      </c>
      <c r="Q27" s="185">
        <v>2</v>
      </c>
      <c r="R27" s="183">
        <v>0</v>
      </c>
      <c r="S27" s="183">
        <v>0</v>
      </c>
      <c r="T27" s="184">
        <v>0.2</v>
      </c>
      <c r="U27" s="183">
        <v>0</v>
      </c>
      <c r="V27" s="185">
        <v>0.2</v>
      </c>
      <c r="W27" s="183">
        <v>0</v>
      </c>
      <c r="X27" s="183">
        <v>0</v>
      </c>
      <c r="Y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83">
        <v>0</v>
      </c>
      <c r="AE27" s="183">
        <v>0</v>
      </c>
      <c r="AF27" s="183">
        <v>0</v>
      </c>
      <c r="AG27" s="183">
        <v>0</v>
      </c>
      <c r="AH27" s="186">
        <v>0</v>
      </c>
      <c r="AI27" s="184">
        <v>3.6</v>
      </c>
      <c r="AJ27" s="183"/>
      <c r="AK27" s="184">
        <v>3.4</v>
      </c>
      <c r="AL27" s="185">
        <v>1.3</v>
      </c>
      <c r="AM27" s="187" t="s">
        <v>300</v>
      </c>
    </row>
    <row r="28" spans="1:39" x14ac:dyDescent="0.2">
      <c r="A28" s="181" t="s">
        <v>301</v>
      </c>
      <c r="B28" s="181">
        <v>2018</v>
      </c>
      <c r="C28" s="181" t="s">
        <v>152</v>
      </c>
      <c r="D28" s="188">
        <v>3.4</v>
      </c>
      <c r="E28" s="189">
        <v>0</v>
      </c>
      <c r="F28" s="190">
        <v>3.4</v>
      </c>
      <c r="G28" s="190">
        <v>2.7</v>
      </c>
      <c r="H28" s="189">
        <v>0</v>
      </c>
      <c r="I28" s="190">
        <v>0.7</v>
      </c>
      <c r="J28" s="189">
        <v>0</v>
      </c>
      <c r="K28" s="189">
        <v>0</v>
      </c>
      <c r="L28" s="189">
        <v>0</v>
      </c>
      <c r="M28" s="189">
        <v>0</v>
      </c>
      <c r="N28" s="189">
        <v>0</v>
      </c>
      <c r="O28" s="189">
        <v>0</v>
      </c>
      <c r="P28" s="189">
        <v>0</v>
      </c>
      <c r="Q28" s="189">
        <v>0</v>
      </c>
      <c r="R28" s="189">
        <v>0</v>
      </c>
      <c r="S28" s="189">
        <v>0</v>
      </c>
      <c r="T28" s="191">
        <v>1.8</v>
      </c>
      <c r="U28" s="192">
        <v>0</v>
      </c>
      <c r="V28" s="193">
        <v>0.1</v>
      </c>
      <c r="W28" s="193">
        <v>0</v>
      </c>
      <c r="X28" s="192">
        <v>0</v>
      </c>
      <c r="Y28" s="192">
        <v>0</v>
      </c>
      <c r="Z28" s="193">
        <v>0.1</v>
      </c>
      <c r="AA28" s="192">
        <v>0</v>
      </c>
      <c r="AB28" s="192">
        <v>0</v>
      </c>
      <c r="AC28" s="193">
        <v>1.4</v>
      </c>
      <c r="AD28" s="193">
        <v>0.2</v>
      </c>
      <c r="AE28" s="192">
        <v>0</v>
      </c>
      <c r="AF28" s="192">
        <v>0</v>
      </c>
      <c r="AG28" s="192">
        <v>0</v>
      </c>
      <c r="AH28" s="186">
        <v>0</v>
      </c>
      <c r="AI28" s="195">
        <v>5.2</v>
      </c>
      <c r="AJ28" s="197"/>
      <c r="AK28" s="195">
        <v>7.1</v>
      </c>
      <c r="AL28" s="197" t="s">
        <v>302</v>
      </c>
      <c r="AM28" s="187" t="s">
        <v>301</v>
      </c>
    </row>
    <row r="29" spans="1:39" x14ac:dyDescent="0.2">
      <c r="A29" s="181" t="s">
        <v>303</v>
      </c>
      <c r="B29" s="181">
        <v>2018</v>
      </c>
      <c r="C29" s="181" t="s">
        <v>152</v>
      </c>
      <c r="D29" s="184">
        <v>90.9</v>
      </c>
      <c r="E29" s="185">
        <v>2.8</v>
      </c>
      <c r="F29" s="185">
        <v>88.1</v>
      </c>
      <c r="G29" s="183">
        <v>0</v>
      </c>
      <c r="H29" s="183">
        <v>0</v>
      </c>
      <c r="I29" s="185">
        <v>71.400000000000006</v>
      </c>
      <c r="J29" s="185">
        <v>16.7</v>
      </c>
      <c r="K29" s="183">
        <v>0</v>
      </c>
      <c r="L29" s="183">
        <v>0</v>
      </c>
      <c r="M29" s="183">
        <v>0</v>
      </c>
      <c r="N29" s="183">
        <v>0</v>
      </c>
      <c r="O29" s="183">
        <v>0</v>
      </c>
      <c r="P29" s="183">
        <v>0</v>
      </c>
      <c r="Q29" s="183">
        <v>0</v>
      </c>
      <c r="R29" s="183">
        <v>0</v>
      </c>
      <c r="S29" s="183">
        <v>0</v>
      </c>
      <c r="T29" s="184">
        <v>17.600000000000001</v>
      </c>
      <c r="U29" s="185">
        <v>3.5</v>
      </c>
      <c r="V29" s="185">
        <v>7.4</v>
      </c>
      <c r="W29" s="185">
        <v>3.1</v>
      </c>
      <c r="X29" s="183">
        <v>0</v>
      </c>
      <c r="Y29" s="185">
        <v>3.5</v>
      </c>
      <c r="Z29" s="183">
        <v>0</v>
      </c>
      <c r="AA29" s="183">
        <v>0</v>
      </c>
      <c r="AB29" s="183">
        <v>0</v>
      </c>
      <c r="AC29" s="183">
        <v>0</v>
      </c>
      <c r="AD29" s="185">
        <v>0.1</v>
      </c>
      <c r="AE29" s="183">
        <v>0</v>
      </c>
      <c r="AF29" s="183">
        <v>0</v>
      </c>
      <c r="AG29" s="183">
        <v>0</v>
      </c>
      <c r="AH29" s="186">
        <v>0</v>
      </c>
      <c r="AI29" s="184">
        <v>108.6</v>
      </c>
      <c r="AJ29" s="183"/>
      <c r="AK29" s="184">
        <v>116.5</v>
      </c>
      <c r="AL29" s="185">
        <v>1.3</v>
      </c>
      <c r="AM29" s="187" t="s">
        <v>303</v>
      </c>
    </row>
    <row r="30" spans="1:39" x14ac:dyDescent="0.2">
      <c r="A30" s="181" t="s">
        <v>304</v>
      </c>
      <c r="B30" s="181">
        <v>2018</v>
      </c>
      <c r="C30" s="181" t="s">
        <v>152</v>
      </c>
      <c r="D30" s="188">
        <v>3.2</v>
      </c>
      <c r="E30" s="189">
        <v>0</v>
      </c>
      <c r="F30" s="190">
        <v>3.2</v>
      </c>
      <c r="G30" s="189">
        <v>0</v>
      </c>
      <c r="H30" s="189">
        <v>0</v>
      </c>
      <c r="I30" s="190">
        <v>3.2</v>
      </c>
      <c r="J30" s="189">
        <v>0</v>
      </c>
      <c r="K30" s="189">
        <v>0</v>
      </c>
      <c r="L30" s="189">
        <v>0</v>
      </c>
      <c r="M30" s="189">
        <v>0</v>
      </c>
      <c r="N30" s="189">
        <v>0</v>
      </c>
      <c r="O30" s="189">
        <v>0</v>
      </c>
      <c r="P30" s="189">
        <v>0</v>
      </c>
      <c r="Q30" s="189">
        <v>0</v>
      </c>
      <c r="R30" s="189">
        <v>0</v>
      </c>
      <c r="S30" s="189">
        <v>0</v>
      </c>
      <c r="T30" s="191">
        <v>141.4</v>
      </c>
      <c r="U30" s="192">
        <v>0</v>
      </c>
      <c r="V30" s="193">
        <v>3.4</v>
      </c>
      <c r="W30" s="192">
        <v>0</v>
      </c>
      <c r="X30" s="192">
        <v>0</v>
      </c>
      <c r="Y30" s="192">
        <v>0</v>
      </c>
      <c r="Z30" s="192">
        <v>0</v>
      </c>
      <c r="AA30" s="192">
        <v>0</v>
      </c>
      <c r="AB30" s="192">
        <v>0</v>
      </c>
      <c r="AC30" s="193">
        <v>138</v>
      </c>
      <c r="AD30" s="192">
        <v>0</v>
      </c>
      <c r="AE30" s="192">
        <v>0</v>
      </c>
      <c r="AF30" s="192">
        <v>0</v>
      </c>
      <c r="AG30" s="192">
        <v>0</v>
      </c>
      <c r="AH30" s="194">
        <v>1.1000000000000001</v>
      </c>
      <c r="AI30" s="195">
        <v>145.69999999999999</v>
      </c>
      <c r="AJ30" s="197">
        <v>0</v>
      </c>
      <c r="AK30" s="195">
        <v>135.5</v>
      </c>
      <c r="AL30" s="196">
        <v>1.5</v>
      </c>
      <c r="AM30" s="187" t="s">
        <v>304</v>
      </c>
    </row>
    <row r="31" spans="1:39" x14ac:dyDescent="0.2">
      <c r="A31" s="181" t="s">
        <v>305</v>
      </c>
      <c r="B31" s="181">
        <v>2018</v>
      </c>
      <c r="C31" s="181" t="s">
        <v>152</v>
      </c>
      <c r="D31" s="184">
        <v>136.6</v>
      </c>
      <c r="E31" s="183">
        <v>0</v>
      </c>
      <c r="F31" s="185">
        <v>136</v>
      </c>
      <c r="G31" s="185">
        <v>44.8</v>
      </c>
      <c r="H31" s="185">
        <v>1.9</v>
      </c>
      <c r="I31" s="185">
        <v>12.4</v>
      </c>
      <c r="J31" s="185">
        <v>75.2</v>
      </c>
      <c r="K31" s="185">
        <v>1.6</v>
      </c>
      <c r="L31" s="183">
        <v>0</v>
      </c>
      <c r="M31" s="183">
        <v>0</v>
      </c>
      <c r="N31" s="183">
        <v>0</v>
      </c>
      <c r="O31" s="183">
        <v>0</v>
      </c>
      <c r="P31" s="185">
        <v>0.4</v>
      </c>
      <c r="Q31" s="185">
        <v>0</v>
      </c>
      <c r="R31" s="185">
        <v>0.3</v>
      </c>
      <c r="S31" s="183">
        <v>0</v>
      </c>
      <c r="T31" s="184">
        <v>20.399999999999999</v>
      </c>
      <c r="U31" s="183">
        <v>0</v>
      </c>
      <c r="V31" s="185">
        <v>12.5</v>
      </c>
      <c r="W31" s="185">
        <v>0.3</v>
      </c>
      <c r="X31" s="183">
        <v>0</v>
      </c>
      <c r="Y31" s="185">
        <v>4.9000000000000004</v>
      </c>
      <c r="Z31" s="185">
        <v>0.8</v>
      </c>
      <c r="AA31" s="183">
        <v>0</v>
      </c>
      <c r="AB31" s="183">
        <v>0</v>
      </c>
      <c r="AC31" s="185">
        <v>0.4</v>
      </c>
      <c r="AD31" s="185">
        <v>1.3</v>
      </c>
      <c r="AE31" s="185">
        <v>0.2</v>
      </c>
      <c r="AF31" s="183">
        <v>0</v>
      </c>
      <c r="AG31" s="183">
        <v>0</v>
      </c>
      <c r="AH31" s="186">
        <v>0</v>
      </c>
      <c r="AI31" s="184">
        <v>157.1</v>
      </c>
      <c r="AJ31" s="185">
        <v>0.6</v>
      </c>
      <c r="AK31" s="184">
        <v>162.19999999999999</v>
      </c>
      <c r="AL31" s="185">
        <v>1.8</v>
      </c>
      <c r="AM31" s="187" t="s">
        <v>305</v>
      </c>
    </row>
    <row r="32" spans="1:39" x14ac:dyDescent="0.2">
      <c r="A32" s="181" t="s">
        <v>306</v>
      </c>
      <c r="B32" s="181">
        <v>2018</v>
      </c>
      <c r="C32" s="181" t="s">
        <v>152</v>
      </c>
      <c r="D32" s="188">
        <v>27.1</v>
      </c>
      <c r="E32" s="189">
        <v>0</v>
      </c>
      <c r="F32" s="190">
        <v>25.6</v>
      </c>
      <c r="G32" s="189">
        <v>0</v>
      </c>
      <c r="H32" s="189">
        <v>0</v>
      </c>
      <c r="I32" s="190">
        <v>14.4</v>
      </c>
      <c r="J32" s="190">
        <v>11.1</v>
      </c>
      <c r="K32" s="190">
        <v>0.1</v>
      </c>
      <c r="L32" s="189">
        <v>0</v>
      </c>
      <c r="M32" s="189">
        <v>0</v>
      </c>
      <c r="N32" s="189">
        <v>0</v>
      </c>
      <c r="O32" s="189">
        <v>0</v>
      </c>
      <c r="P32" s="189">
        <v>0</v>
      </c>
      <c r="Q32" s="190">
        <v>1.3</v>
      </c>
      <c r="R32" s="189">
        <v>0</v>
      </c>
      <c r="S32" s="190">
        <v>0.2</v>
      </c>
      <c r="T32" s="191">
        <v>28</v>
      </c>
      <c r="U32" s="192">
        <v>0</v>
      </c>
      <c r="V32" s="193">
        <v>12.4</v>
      </c>
      <c r="W32" s="193">
        <v>0.8</v>
      </c>
      <c r="X32" s="192">
        <v>0</v>
      </c>
      <c r="Y32" s="193">
        <v>2.8</v>
      </c>
      <c r="Z32" s="192">
        <v>0</v>
      </c>
      <c r="AA32" s="192">
        <v>0</v>
      </c>
      <c r="AB32" s="192">
        <v>0</v>
      </c>
      <c r="AC32" s="192">
        <v>0</v>
      </c>
      <c r="AD32" s="193">
        <v>7.3</v>
      </c>
      <c r="AE32" s="193">
        <v>4.8</v>
      </c>
      <c r="AF32" s="192">
        <v>0</v>
      </c>
      <c r="AG32" s="192">
        <v>0</v>
      </c>
      <c r="AH32" s="186">
        <v>0</v>
      </c>
      <c r="AI32" s="195">
        <v>55.1</v>
      </c>
      <c r="AJ32" s="196">
        <v>1.6</v>
      </c>
      <c r="AK32" s="195">
        <v>50.9</v>
      </c>
      <c r="AL32" s="196">
        <v>2.5</v>
      </c>
      <c r="AM32" s="187" t="s">
        <v>306</v>
      </c>
    </row>
    <row r="33" spans="1:114" x14ac:dyDescent="0.2">
      <c r="A33" s="181" t="s">
        <v>307</v>
      </c>
      <c r="B33" s="181">
        <v>2018</v>
      </c>
      <c r="C33" s="181" t="s">
        <v>152</v>
      </c>
      <c r="D33" s="184">
        <v>34.700000000000003</v>
      </c>
      <c r="E33" s="185">
        <v>10.4</v>
      </c>
      <c r="F33" s="185">
        <v>24.3</v>
      </c>
      <c r="G33" s="185">
        <v>13</v>
      </c>
      <c r="H33" s="183">
        <v>0</v>
      </c>
      <c r="I33" s="185">
        <v>5</v>
      </c>
      <c r="J33" s="185">
        <v>1</v>
      </c>
      <c r="K33" s="183">
        <v>0</v>
      </c>
      <c r="L33" s="183">
        <v>0</v>
      </c>
      <c r="M33" s="183">
        <v>0</v>
      </c>
      <c r="N33" s="185">
        <v>5.2</v>
      </c>
      <c r="O33" s="183">
        <v>0</v>
      </c>
      <c r="P33" s="183">
        <v>0</v>
      </c>
      <c r="Q33" s="183">
        <v>0</v>
      </c>
      <c r="R33" s="183">
        <v>0</v>
      </c>
      <c r="S33" s="183">
        <v>0</v>
      </c>
      <c r="T33" s="184">
        <v>26</v>
      </c>
      <c r="U33" s="183">
        <v>0</v>
      </c>
      <c r="V33" s="185">
        <v>6.3</v>
      </c>
      <c r="W33" s="185">
        <v>1.8</v>
      </c>
      <c r="X33" s="183">
        <v>0</v>
      </c>
      <c r="Y33" s="185">
        <v>0.3</v>
      </c>
      <c r="Z33" s="183">
        <v>0</v>
      </c>
      <c r="AA33" s="183">
        <v>0</v>
      </c>
      <c r="AB33" s="183">
        <v>0</v>
      </c>
      <c r="AC33" s="185">
        <v>7.3</v>
      </c>
      <c r="AD33" s="185">
        <v>10.4</v>
      </c>
      <c r="AE33" s="183">
        <v>0</v>
      </c>
      <c r="AF33" s="183">
        <v>0</v>
      </c>
      <c r="AG33" s="183">
        <v>0</v>
      </c>
      <c r="AH33" s="186">
        <v>0</v>
      </c>
      <c r="AI33" s="184">
        <v>60.7</v>
      </c>
      <c r="AJ33" s="185">
        <v>0.2</v>
      </c>
      <c r="AK33" s="184">
        <v>57.9</v>
      </c>
      <c r="AL33" s="185">
        <v>2.1</v>
      </c>
      <c r="AM33" s="187" t="s">
        <v>307</v>
      </c>
    </row>
    <row r="34" spans="1:114" x14ac:dyDescent="0.2">
      <c r="A34" s="181" t="s">
        <v>308</v>
      </c>
      <c r="B34" s="181">
        <v>2018</v>
      </c>
      <c r="C34" s="181" t="s">
        <v>152</v>
      </c>
      <c r="D34" s="188">
        <v>29.1</v>
      </c>
      <c r="E34" s="189">
        <v>0</v>
      </c>
      <c r="F34" s="190">
        <v>28.3</v>
      </c>
      <c r="G34" s="190">
        <v>28.1</v>
      </c>
      <c r="H34" s="189">
        <v>0</v>
      </c>
      <c r="I34" s="190">
        <v>0.2</v>
      </c>
      <c r="J34" s="189">
        <v>0</v>
      </c>
      <c r="K34" s="189">
        <v>0</v>
      </c>
      <c r="L34" s="189">
        <v>0</v>
      </c>
      <c r="M34" s="189">
        <v>0</v>
      </c>
      <c r="N34" s="189">
        <v>0</v>
      </c>
      <c r="O34" s="189">
        <v>0</v>
      </c>
      <c r="P34" s="190">
        <v>0.8</v>
      </c>
      <c r="Q34" s="189">
        <v>0</v>
      </c>
      <c r="R34" s="189">
        <v>0</v>
      </c>
      <c r="S34" s="189">
        <v>0</v>
      </c>
      <c r="T34" s="191">
        <v>10.5</v>
      </c>
      <c r="U34" s="192">
        <v>0</v>
      </c>
      <c r="V34" s="193">
        <v>0.1</v>
      </c>
      <c r="W34" s="192">
        <v>0</v>
      </c>
      <c r="X34" s="192">
        <v>0</v>
      </c>
      <c r="Y34" s="192">
        <v>0</v>
      </c>
      <c r="Z34" s="192">
        <v>0</v>
      </c>
      <c r="AA34" s="192">
        <v>0</v>
      </c>
      <c r="AB34" s="192">
        <v>0</v>
      </c>
      <c r="AC34" s="193">
        <v>1.2</v>
      </c>
      <c r="AD34" s="193">
        <v>9.1999999999999993</v>
      </c>
      <c r="AE34" s="192">
        <v>0</v>
      </c>
      <c r="AF34" s="192">
        <v>0</v>
      </c>
      <c r="AG34" s="192">
        <v>0</v>
      </c>
      <c r="AH34" s="186">
        <v>0</v>
      </c>
      <c r="AI34" s="195">
        <v>39.6</v>
      </c>
      <c r="AJ34" s="196">
        <v>1.1000000000000001</v>
      </c>
      <c r="AK34" s="195">
        <v>39.1</v>
      </c>
      <c r="AL34" s="197" t="s">
        <v>309</v>
      </c>
      <c r="AM34" s="187" t="s">
        <v>308</v>
      </c>
    </row>
    <row r="35" spans="1:114" x14ac:dyDescent="0.2">
      <c r="A35" s="181" t="s">
        <v>310</v>
      </c>
      <c r="B35" s="181">
        <v>2018</v>
      </c>
      <c r="C35" s="181" t="s">
        <v>152</v>
      </c>
      <c r="D35" s="184">
        <v>69.5</v>
      </c>
      <c r="E35" s="185">
        <v>65.8</v>
      </c>
      <c r="F35" s="185">
        <v>2.8</v>
      </c>
      <c r="G35" s="183">
        <v>0</v>
      </c>
      <c r="H35" s="183">
        <v>0</v>
      </c>
      <c r="I35" s="185">
        <v>0.6</v>
      </c>
      <c r="J35" s="185">
        <v>0.5</v>
      </c>
      <c r="K35" s="185">
        <v>0.2</v>
      </c>
      <c r="L35" s="183">
        <v>0</v>
      </c>
      <c r="M35" s="183">
        <v>0</v>
      </c>
      <c r="N35" s="185">
        <v>1.5</v>
      </c>
      <c r="O35" s="183">
        <v>0</v>
      </c>
      <c r="P35" s="183">
        <v>0</v>
      </c>
      <c r="Q35" s="183">
        <v>0</v>
      </c>
      <c r="R35" s="185">
        <v>0.9</v>
      </c>
      <c r="S35" s="183">
        <v>0</v>
      </c>
      <c r="T35" s="184">
        <v>88.8</v>
      </c>
      <c r="U35" s="183">
        <v>0</v>
      </c>
      <c r="V35" s="185">
        <v>16.600000000000001</v>
      </c>
      <c r="W35" s="183">
        <v>0</v>
      </c>
      <c r="X35" s="183">
        <v>0</v>
      </c>
      <c r="Y35" s="185">
        <v>9.8000000000000007</v>
      </c>
      <c r="Z35" s="183">
        <v>0</v>
      </c>
      <c r="AA35" s="183">
        <v>0</v>
      </c>
      <c r="AB35" s="185">
        <v>1.3</v>
      </c>
      <c r="AC35" s="185">
        <v>61</v>
      </c>
      <c r="AD35" s="183">
        <v>0</v>
      </c>
      <c r="AE35" s="183">
        <v>0</v>
      </c>
      <c r="AF35" s="183">
        <v>0</v>
      </c>
      <c r="AG35" s="183">
        <v>0</v>
      </c>
      <c r="AH35" s="186">
        <v>0</v>
      </c>
      <c r="AI35" s="184">
        <v>158.30000000000001</v>
      </c>
      <c r="AJ35" s="183"/>
      <c r="AK35" s="184">
        <v>141.1</v>
      </c>
      <c r="AL35" s="185">
        <v>0.7</v>
      </c>
      <c r="AM35" s="187" t="s">
        <v>310</v>
      </c>
    </row>
    <row r="36" spans="1:114" x14ac:dyDescent="0.2">
      <c r="A36" s="181" t="s">
        <v>311</v>
      </c>
      <c r="B36" s="181">
        <v>2018</v>
      </c>
      <c r="C36" s="181" t="s">
        <v>152</v>
      </c>
      <c r="D36" s="188">
        <v>10</v>
      </c>
      <c r="E36" s="190">
        <v>5.5</v>
      </c>
      <c r="F36" s="190">
        <v>4.0999999999999996</v>
      </c>
      <c r="G36" s="190">
        <v>4</v>
      </c>
      <c r="H36" s="189">
        <v>0</v>
      </c>
      <c r="I36" s="190">
        <v>0</v>
      </c>
      <c r="J36" s="189">
        <v>0</v>
      </c>
      <c r="K36" s="189">
        <v>0</v>
      </c>
      <c r="L36" s="189">
        <v>0</v>
      </c>
      <c r="M36" s="189">
        <v>0</v>
      </c>
      <c r="N36" s="189">
        <v>0</v>
      </c>
      <c r="O36" s="189">
        <v>0</v>
      </c>
      <c r="P36" s="189">
        <v>0</v>
      </c>
      <c r="Q36" s="190">
        <v>0.2</v>
      </c>
      <c r="R36" s="190">
        <v>0</v>
      </c>
      <c r="S36" s="190">
        <v>0.3</v>
      </c>
      <c r="T36" s="191">
        <v>5</v>
      </c>
      <c r="U36" s="192">
        <v>0</v>
      </c>
      <c r="V36" s="193">
        <v>0</v>
      </c>
      <c r="W36" s="193">
        <v>0.2</v>
      </c>
      <c r="X36" s="192">
        <v>0</v>
      </c>
      <c r="Y36" s="193">
        <v>0.1</v>
      </c>
      <c r="Z36" s="193">
        <v>0.1</v>
      </c>
      <c r="AA36" s="192">
        <v>0</v>
      </c>
      <c r="AB36" s="192">
        <v>0</v>
      </c>
      <c r="AC36" s="192">
        <v>0</v>
      </c>
      <c r="AD36" s="193">
        <v>4.5999999999999996</v>
      </c>
      <c r="AE36" s="192">
        <v>0</v>
      </c>
      <c r="AF36" s="192">
        <v>0</v>
      </c>
      <c r="AG36" s="192">
        <v>0</v>
      </c>
      <c r="AH36" s="186">
        <v>0</v>
      </c>
      <c r="AI36" s="195">
        <v>15</v>
      </c>
      <c r="AJ36" s="196">
        <v>0.3</v>
      </c>
      <c r="AK36" s="195">
        <v>14.4</v>
      </c>
      <c r="AL36" s="196">
        <v>1.2</v>
      </c>
      <c r="AM36" s="187" t="s">
        <v>311</v>
      </c>
    </row>
    <row r="37" spans="1:114" x14ac:dyDescent="0.2">
      <c r="A37" s="181" t="s">
        <v>312</v>
      </c>
      <c r="B37" s="181">
        <v>2018</v>
      </c>
      <c r="C37" s="181" t="s">
        <v>152</v>
      </c>
      <c r="D37" s="184">
        <v>19.2</v>
      </c>
      <c r="E37" s="185">
        <v>13.8</v>
      </c>
      <c r="F37" s="185">
        <v>5.0999999999999996</v>
      </c>
      <c r="G37" s="185">
        <v>1.3</v>
      </c>
      <c r="H37" s="185">
        <v>0.5</v>
      </c>
      <c r="I37" s="185">
        <v>1.8</v>
      </c>
      <c r="J37" s="185">
        <v>1.2</v>
      </c>
      <c r="K37" s="185">
        <v>0.3</v>
      </c>
      <c r="L37" s="183">
        <v>0</v>
      </c>
      <c r="M37" s="183">
        <v>0</v>
      </c>
      <c r="N37" s="183">
        <v>0</v>
      </c>
      <c r="O37" s="185">
        <v>0</v>
      </c>
      <c r="P37" s="185">
        <v>0.3</v>
      </c>
      <c r="Q37" s="185">
        <v>0</v>
      </c>
      <c r="R37" s="185">
        <v>0.1</v>
      </c>
      <c r="S37" s="183">
        <v>0</v>
      </c>
      <c r="T37" s="184">
        <v>5.8</v>
      </c>
      <c r="U37" s="183">
        <v>0</v>
      </c>
      <c r="V37" s="185">
        <v>0</v>
      </c>
      <c r="W37" s="185">
        <v>0.6</v>
      </c>
      <c r="X37" s="183">
        <v>0</v>
      </c>
      <c r="Y37" s="185">
        <v>1.1000000000000001</v>
      </c>
      <c r="Z37" s="185">
        <v>0.5</v>
      </c>
      <c r="AA37" s="183">
        <v>0</v>
      </c>
      <c r="AB37" s="183">
        <v>0</v>
      </c>
      <c r="AC37" s="185">
        <v>0.5</v>
      </c>
      <c r="AD37" s="185">
        <v>2.9</v>
      </c>
      <c r="AE37" s="185">
        <v>0.1</v>
      </c>
      <c r="AF37" s="183">
        <v>0</v>
      </c>
      <c r="AG37" s="185">
        <v>0</v>
      </c>
      <c r="AH37" s="186">
        <v>0</v>
      </c>
      <c r="AI37" s="184">
        <v>25.1</v>
      </c>
      <c r="AJ37" s="185">
        <v>0.4</v>
      </c>
      <c r="AK37" s="184">
        <v>28.5</v>
      </c>
      <c r="AL37" s="183" t="s">
        <v>313</v>
      </c>
      <c r="AM37" s="187" t="s">
        <v>312</v>
      </c>
    </row>
    <row r="38" spans="1:114" ht="13.5" x14ac:dyDescent="0.2">
      <c r="A38" s="181" t="s">
        <v>315</v>
      </c>
      <c r="B38" s="181">
        <v>2018</v>
      </c>
      <c r="C38" s="181" t="s">
        <v>152</v>
      </c>
      <c r="D38" s="203">
        <v>2351.8000000000002</v>
      </c>
      <c r="E38" s="204">
        <v>808.8</v>
      </c>
      <c r="F38" s="203">
        <v>1488.8</v>
      </c>
      <c r="G38" s="204">
        <v>382</v>
      </c>
      <c r="H38" s="204">
        <v>8.3000000000000007</v>
      </c>
      <c r="I38" s="204">
        <v>710</v>
      </c>
      <c r="J38" s="204">
        <v>330.9</v>
      </c>
      <c r="K38" s="204">
        <v>30.7</v>
      </c>
      <c r="L38" s="204">
        <v>8.8000000000000007</v>
      </c>
      <c r="M38" s="204">
        <v>5.3</v>
      </c>
      <c r="N38" s="204">
        <v>9.9</v>
      </c>
      <c r="O38" s="204">
        <v>2.9</v>
      </c>
      <c r="P38" s="204">
        <v>14.8</v>
      </c>
      <c r="Q38" s="204">
        <v>14.4</v>
      </c>
      <c r="R38" s="204">
        <v>16</v>
      </c>
      <c r="S38" s="204">
        <v>9</v>
      </c>
      <c r="T38" s="205">
        <v>1300.4000000000001</v>
      </c>
      <c r="U38" s="206">
        <v>47.2</v>
      </c>
      <c r="V38" s="206">
        <v>332.3</v>
      </c>
      <c r="W38" s="206">
        <v>121.3</v>
      </c>
      <c r="X38" s="206">
        <v>4.4000000000000004</v>
      </c>
      <c r="Y38" s="206">
        <v>121.6</v>
      </c>
      <c r="Z38" s="206">
        <v>17.399999999999999</v>
      </c>
      <c r="AA38" s="206">
        <v>18.399999999999999</v>
      </c>
      <c r="AB38" s="206">
        <v>16.3</v>
      </c>
      <c r="AC38" s="206">
        <v>345.3</v>
      </c>
      <c r="AD38" s="206">
        <v>217.1</v>
      </c>
      <c r="AE38" s="206">
        <v>53.3</v>
      </c>
      <c r="AF38" s="207">
        <v>0</v>
      </c>
      <c r="AG38" s="208">
        <v>5.7</v>
      </c>
      <c r="AH38" s="209">
        <v>7</v>
      </c>
      <c r="AI38" s="210">
        <v>3659.1</v>
      </c>
      <c r="AJ38" s="211">
        <v>44.1</v>
      </c>
      <c r="AK38" s="210">
        <v>3628.4</v>
      </c>
      <c r="AL38" s="212" t="s">
        <v>316</v>
      </c>
      <c r="AM38" s="213" t="s">
        <v>317</v>
      </c>
    </row>
    <row r="39" spans="1:114" x14ac:dyDescent="0.2">
      <c r="A39" s="181" t="s">
        <v>318</v>
      </c>
      <c r="B39" s="181">
        <v>2018</v>
      </c>
      <c r="C39" s="181" t="s">
        <v>152</v>
      </c>
      <c r="D39" s="203">
        <v>2071.4</v>
      </c>
      <c r="E39" s="204">
        <v>784.4</v>
      </c>
      <c r="F39" s="203">
        <v>1237.0999999999999</v>
      </c>
      <c r="G39" s="204">
        <v>294</v>
      </c>
      <c r="H39" s="204">
        <v>8.3000000000000007</v>
      </c>
      <c r="I39" s="204">
        <v>615.5</v>
      </c>
      <c r="J39" s="204">
        <v>263.10000000000002</v>
      </c>
      <c r="K39" s="204">
        <v>29.3</v>
      </c>
      <c r="L39" s="204">
        <v>8.8000000000000007</v>
      </c>
      <c r="M39" s="204">
        <v>5.3</v>
      </c>
      <c r="N39" s="204">
        <v>9.9</v>
      </c>
      <c r="O39" s="204">
        <v>2.9</v>
      </c>
      <c r="P39" s="204">
        <v>14</v>
      </c>
      <c r="Q39" s="204">
        <v>12.3</v>
      </c>
      <c r="R39" s="204">
        <v>14.6</v>
      </c>
      <c r="S39" s="204">
        <v>9</v>
      </c>
      <c r="T39" s="206">
        <v>983.3</v>
      </c>
      <c r="U39" s="206">
        <v>47.2</v>
      </c>
      <c r="V39" s="206">
        <v>308.5</v>
      </c>
      <c r="W39" s="206">
        <v>112.9</v>
      </c>
      <c r="X39" s="206">
        <v>4.4000000000000004</v>
      </c>
      <c r="Y39" s="206">
        <v>118.1</v>
      </c>
      <c r="Z39" s="206">
        <v>17</v>
      </c>
      <c r="AA39" s="206">
        <v>5.9</v>
      </c>
      <c r="AB39" s="206">
        <v>15</v>
      </c>
      <c r="AC39" s="206">
        <v>124</v>
      </c>
      <c r="AD39" s="206">
        <v>171.7</v>
      </c>
      <c r="AE39" s="206">
        <v>52.9</v>
      </c>
      <c r="AF39" s="207">
        <v>0</v>
      </c>
      <c r="AG39" s="208">
        <v>5.7</v>
      </c>
      <c r="AH39" s="209">
        <v>5.7</v>
      </c>
      <c r="AI39" s="214">
        <v>3060.5</v>
      </c>
      <c r="AJ39" s="211">
        <v>39</v>
      </c>
      <c r="AK39" s="210">
        <v>3049.2</v>
      </c>
      <c r="AL39" s="212" t="s">
        <v>316</v>
      </c>
      <c r="AM39" s="187" t="s">
        <v>318</v>
      </c>
    </row>
    <row r="40" spans="1:114" x14ac:dyDescent="0.2">
      <c r="A40" s="181" t="s">
        <v>314</v>
      </c>
      <c r="B40" s="181">
        <v>2018</v>
      </c>
      <c r="C40" s="181" t="s">
        <v>152</v>
      </c>
      <c r="D40" s="188">
        <v>203.5</v>
      </c>
      <c r="E40" s="189">
        <v>0</v>
      </c>
      <c r="F40" s="190">
        <v>203.5</v>
      </c>
      <c r="G40" s="190">
        <v>44.8</v>
      </c>
      <c r="H40" s="189">
        <v>0</v>
      </c>
      <c r="I40" s="190">
        <v>89.4</v>
      </c>
      <c r="J40" s="190">
        <v>67.8</v>
      </c>
      <c r="K40" s="190">
        <v>1.4</v>
      </c>
      <c r="L40" s="189">
        <v>0</v>
      </c>
      <c r="M40" s="189">
        <v>0</v>
      </c>
      <c r="N40" s="189">
        <v>0</v>
      </c>
      <c r="O40" s="189">
        <v>0</v>
      </c>
      <c r="P40" s="189">
        <v>0</v>
      </c>
      <c r="Q40" s="189">
        <v>0</v>
      </c>
      <c r="R40" s="189">
        <v>0</v>
      </c>
      <c r="S40" s="189">
        <v>0</v>
      </c>
      <c r="T40" s="191">
        <v>96.9</v>
      </c>
      <c r="U40" s="192">
        <v>0</v>
      </c>
      <c r="V40" s="193">
        <v>19.899999999999999</v>
      </c>
      <c r="W40" s="193">
        <v>7.2</v>
      </c>
      <c r="X40" s="192">
        <v>0</v>
      </c>
      <c r="Y40" s="193">
        <v>3.2</v>
      </c>
      <c r="Z40" s="192">
        <v>0</v>
      </c>
      <c r="AA40" s="193">
        <v>6.9</v>
      </c>
      <c r="AB40" s="192">
        <v>0</v>
      </c>
      <c r="AC40" s="193">
        <v>40.9</v>
      </c>
      <c r="AD40" s="193">
        <v>18.899999999999999</v>
      </c>
      <c r="AE40" s="192">
        <v>0</v>
      </c>
      <c r="AF40" s="192">
        <v>0</v>
      </c>
      <c r="AG40" s="192">
        <v>0</v>
      </c>
      <c r="AH40" s="199">
        <v>0</v>
      </c>
      <c r="AI40" s="200">
        <v>300.39999999999998</v>
      </c>
      <c r="AJ40" s="201"/>
      <c r="AK40" s="200">
        <v>300</v>
      </c>
      <c r="AL40" s="202">
        <v>1.9</v>
      </c>
      <c r="AM40" s="187" t="s">
        <v>314</v>
      </c>
    </row>
    <row r="42" spans="1:114" x14ac:dyDescent="0.2">
      <c r="P42" s="540"/>
      <c r="Q42" s="540"/>
      <c r="AC42" s="540"/>
      <c r="AD42" s="540"/>
      <c r="AE42" s="540"/>
      <c r="AF42" s="540"/>
    </row>
    <row r="48" spans="1:114" ht="12.75" x14ac:dyDescent="0.2">
      <c r="A48" s="1" t="s">
        <v>197</v>
      </c>
      <c r="B48" s="1" t="s">
        <v>63</v>
      </c>
      <c r="C48" s="1" t="s">
        <v>393</v>
      </c>
      <c r="D48" s="144" t="s">
        <v>57</v>
      </c>
      <c r="E48" s="144" t="s">
        <v>348</v>
      </c>
      <c r="F48" s="144" t="s">
        <v>349</v>
      </c>
      <c r="G48" s="144" t="s">
        <v>595</v>
      </c>
      <c r="H48" s="144" t="s">
        <v>352</v>
      </c>
      <c r="I48" s="144" t="s">
        <v>43</v>
      </c>
      <c r="J48" s="144" t="s">
        <v>42</v>
      </c>
      <c r="K48" s="144" t="s">
        <v>44</v>
      </c>
      <c r="L48" s="144" t="s">
        <v>397</v>
      </c>
      <c r="M48" s="144" t="s">
        <v>394</v>
      </c>
      <c r="N48" s="144" t="s">
        <v>357</v>
      </c>
      <c r="O48" s="144" t="s">
        <v>647</v>
      </c>
      <c r="P48" s="144" t="s">
        <v>359</v>
      </c>
      <c r="Q48" s="144" t="s">
        <v>396</v>
      </c>
      <c r="R48" s="144" t="s">
        <v>395</v>
      </c>
      <c r="S48" s="144" t="s">
        <v>392</v>
      </c>
      <c r="T48" s="515" t="s">
        <v>151</v>
      </c>
      <c r="U48" s="565" t="s">
        <v>150</v>
      </c>
      <c r="W48" s="1" t="s">
        <v>197</v>
      </c>
      <c r="X48" s="1" t="s">
        <v>63</v>
      </c>
      <c r="Y48" s="1" t="s">
        <v>393</v>
      </c>
      <c r="Z48" s="144" t="s">
        <v>57</v>
      </c>
      <c r="AA48" s="144" t="s">
        <v>348</v>
      </c>
      <c r="AB48" s="144" t="s">
        <v>349</v>
      </c>
      <c r="AC48" s="144" t="s">
        <v>595</v>
      </c>
      <c r="AD48" s="144" t="s">
        <v>352</v>
      </c>
      <c r="AE48" s="144" t="s">
        <v>43</v>
      </c>
      <c r="AF48" s="144" t="s">
        <v>42</v>
      </c>
      <c r="AG48" s="144" t="s">
        <v>44</v>
      </c>
      <c r="AH48" s="144" t="s">
        <v>397</v>
      </c>
      <c r="AI48" s="144" t="s">
        <v>394</v>
      </c>
      <c r="AJ48" s="144" t="s">
        <v>133</v>
      </c>
      <c r="AK48" s="144" t="s">
        <v>647</v>
      </c>
      <c r="AL48" s="144" t="s">
        <v>359</v>
      </c>
      <c r="AM48" s="107"/>
      <c r="AN48" s="107"/>
      <c r="DH48" s="168"/>
      <c r="DI48" s="168"/>
      <c r="DJ48" s="168"/>
    </row>
    <row r="49" spans="1:114" x14ac:dyDescent="0.2">
      <c r="A49" s="425" t="str">
        <f t="shared" ref="A49:A86" si="1">$A3</f>
        <v>AL</v>
      </c>
      <c r="B49" s="366">
        <f t="shared" ref="B49:B86" si="2">$B3</f>
        <v>2018</v>
      </c>
      <c r="C49" s="366" t="str">
        <f>C3</f>
        <v>TWh</v>
      </c>
      <c r="D49" s="435">
        <f t="shared" ref="D49:D86" si="3">E3</f>
        <v>0</v>
      </c>
      <c r="E49" s="435">
        <f>G3</f>
        <v>0</v>
      </c>
      <c r="F49" s="435">
        <f>J3</f>
        <v>0</v>
      </c>
      <c r="G49" s="435">
        <f>H3+I3</f>
        <v>0</v>
      </c>
      <c r="H49" s="435">
        <f>M3+N3+O3+L3+K3</f>
        <v>0</v>
      </c>
      <c r="I49" s="435">
        <f t="shared" ref="I49:I86" si="4">V3</f>
        <v>0</v>
      </c>
      <c r="J49" s="435">
        <f t="shared" ref="J49:J86" si="5">U3</f>
        <v>0</v>
      </c>
      <c r="K49" s="435">
        <f>W3</f>
        <v>0</v>
      </c>
      <c r="L49" s="435">
        <f>Y3+Z3</f>
        <v>0</v>
      </c>
      <c r="M49" s="435">
        <f>X3+AA3+AB3+AG3+AH3</f>
        <v>0</v>
      </c>
      <c r="N49" s="435">
        <f>SUM(AC3,AD3,AE3,AF3)</f>
        <v>8.1000000000000014</v>
      </c>
      <c r="O49" s="435">
        <f>SUM(P3,Q3)</f>
        <v>0</v>
      </c>
      <c r="P49" s="435">
        <f>SUM(R3:S3)</f>
        <v>0</v>
      </c>
      <c r="Q49" s="435">
        <f t="shared" ref="Q49:Q85" si="6">SUM(D49:P49)</f>
        <v>8.1000000000000014</v>
      </c>
      <c r="R49" s="435">
        <f>AI3</f>
        <v>8.1</v>
      </c>
      <c r="S49" s="424">
        <f t="shared" ref="S49:S78" si="7">Q49/R49</f>
        <v>1.0000000000000002</v>
      </c>
      <c r="T49" s="514">
        <f>INDEX($A$3:$AM$40,MATCH(Generation_Entsoe_SFS_2018[[#This Row],[Country]],$A$3:$A$40,0),MATCH(Generation_Entsoe_SFS_2018[[#Headers],[Consumption]],$A$1:$AM$1,0))</f>
        <v>7.2</v>
      </c>
      <c r="U49" s="514">
        <f>INDEX($A$3:$AM$40,MATCH(Generation_Entsoe_SFS_2018[[#This Row],[Country]],$A$3:$A$40,0),MATCH(Generation_Entsoe_SFS_2018[[#Headers],[Pumping]],$A$1:$AM$1,0))</f>
        <v>0</v>
      </c>
      <c r="W49" s="425" t="str">
        <f t="shared" ref="W49:W86" si="8">$A3</f>
        <v>AL</v>
      </c>
      <c r="X49" s="366">
        <f t="shared" ref="X49:X86" si="9">$B3</f>
        <v>2018</v>
      </c>
      <c r="Y49" s="366" t="s">
        <v>648</v>
      </c>
      <c r="Z49" s="550">
        <f>IFERROR(Generation_Entsoe_SFS_2018[[#This Row],[Nuclear]]/'Capacity_Entsoe_SFS_2018'!D51*10^6,0)</f>
        <v>0</v>
      </c>
      <c r="AA49" s="550">
        <f>IFERROR(Generation_Entsoe_SFS_2018[[#This Row],[Lignite]]/'Capacity_Entsoe_SFS_2018'!E51*10^6,0)</f>
        <v>0</v>
      </c>
      <c r="AB49" s="550">
        <f>IFERROR(Generation_Entsoe_SFS_2018[[#This Row],[Hard coal]]/'Capacity_Entsoe_SFS_2018'!F51*10^6,0)</f>
        <v>0</v>
      </c>
      <c r="AC49" s="550">
        <f>IFERROR(Generation_Entsoe_SFS_2018[[#This Row],[Fossil gases]]/'Capacity_Entsoe_SFS_2018'!G51*10^6,0)</f>
        <v>0</v>
      </c>
      <c r="AD49" s="550">
        <f>IFERROR(Generation_Entsoe_SFS_2018[[#This Row],[Other fossil fuels]]/'Capacity_Entsoe_SFS_2018'!H51*10^6,0)</f>
        <v>0</v>
      </c>
      <c r="AE49" s="550">
        <f>IFERROR(Generation_Entsoe_SFS_2018[[#This Row],[Wind onshore]]/'Capacity_Entsoe_SFS_2018'!I51*10^6,0)</f>
        <v>0</v>
      </c>
      <c r="AF49" s="550">
        <f>IFERROR(Generation_Entsoe_SFS_2018[[#This Row],[Wind offshore]]/'Capacity_Entsoe_SFS_2018'!J51*10^6,0)</f>
        <v>0</v>
      </c>
      <c r="AG49" s="550">
        <f>IFERROR(Generation_Entsoe_SFS_2018[[#This Row],[Solar PV]]/'Capacity_Entsoe_SFS_2018'!K51*10^6,0)</f>
        <v>0</v>
      </c>
      <c r="AH49" s="550">
        <f>IFERROR(Generation_Entsoe_SFS_2018[[#This Row],[Bioenergy]]/'Capacity_Entsoe_SFS_2018'!L51*10^6,0)</f>
        <v>0</v>
      </c>
      <c r="AI49" s="550">
        <f>IFERROR(Generation_Entsoe_SFS_2018[[#This Row],[Other RES]]/'Capacity_Entsoe_SFS_2018'!M51*10^6,0)</f>
        <v>0</v>
      </c>
      <c r="AJ49" s="550">
        <f>IFERROR(Generation_Entsoe_SFS_2018[[#This Row],[Renewable Hydro]]/'Capacity_Entsoe_SFS_2018'!N51*10^6,0)</f>
        <v>4414.1689373297013</v>
      </c>
      <c r="AK49" s="550">
        <f>IFERROR(Generation_Entsoe_SFS_2018[[#This Row],[Pumped Hydro]]/'Capacity_Entsoe_SFS_2018'!O51*10^6,0)</f>
        <v>0</v>
      </c>
      <c r="AL49" s="550">
        <f>IFERROR(Generation_Entsoe_SFS_2018[[#This Row],[Other sources]]/'Capacity_Entsoe_SFS_2018'!P51*10^6,0)</f>
        <v>0</v>
      </c>
      <c r="AM49" s="107"/>
      <c r="AN49" s="107"/>
      <c r="DH49" s="168"/>
      <c r="DI49" s="168"/>
      <c r="DJ49" s="168"/>
    </row>
    <row r="50" spans="1:114" x14ac:dyDescent="0.2">
      <c r="A50" s="425" t="str">
        <f t="shared" si="1"/>
        <v>AT</v>
      </c>
      <c r="B50" s="366">
        <f t="shared" si="2"/>
        <v>2018</v>
      </c>
      <c r="C50" s="366" t="str">
        <f t="shared" ref="C50:C86" si="10">C4</f>
        <v>TWh</v>
      </c>
      <c r="D50" s="435">
        <f t="shared" si="3"/>
        <v>0</v>
      </c>
      <c r="E50" s="435">
        <f t="shared" ref="E50:E86" si="11">G4</f>
        <v>0</v>
      </c>
      <c r="F50" s="435">
        <f t="shared" ref="F50:F86" si="12">J4</f>
        <v>1.8</v>
      </c>
      <c r="G50" s="435">
        <f t="shared" ref="G50:G86" si="13">H4+I4</f>
        <v>9.8000000000000007</v>
      </c>
      <c r="H50" s="435">
        <f t="shared" ref="H50:H86" si="14">M4+N4+O4+L4+K4</f>
        <v>3.3000000000000003</v>
      </c>
      <c r="I50" s="435">
        <f t="shared" si="4"/>
        <v>5.9</v>
      </c>
      <c r="J50" s="435">
        <f t="shared" si="5"/>
        <v>0</v>
      </c>
      <c r="K50" s="435">
        <f t="shared" ref="K50:K86" si="15">W4</f>
        <v>0</v>
      </c>
      <c r="L50" s="435">
        <f t="shared" ref="L50:L86" si="16">Y4+Z4</f>
        <v>0</v>
      </c>
      <c r="M50" s="435">
        <f t="shared" ref="M50:M86" si="17">X4+AA4+AB4+AG4+AH4</f>
        <v>8.9</v>
      </c>
      <c r="N50" s="435">
        <f t="shared" ref="N50:N86" si="18">SUM(AC4,AD4,AE4,AF4)</f>
        <v>34.1</v>
      </c>
      <c r="O50" s="435">
        <f t="shared" ref="O50:O86" si="19">SUM(P4,Q4)</f>
        <v>3.6</v>
      </c>
      <c r="P50" s="435">
        <f t="shared" ref="P50:P86" si="20">SUM(R4:S4)</f>
        <v>0</v>
      </c>
      <c r="Q50" s="435">
        <f t="shared" si="6"/>
        <v>67.400000000000006</v>
      </c>
      <c r="R50" s="435">
        <f t="shared" ref="R50:R86" si="21">AI4</f>
        <v>67.5</v>
      </c>
      <c r="S50" s="424">
        <f t="shared" si="7"/>
        <v>0.99851851851851858</v>
      </c>
      <c r="T50" s="514">
        <f>INDEX($A$3:$AM$40,MATCH(Generation_Entsoe_SFS_2018[[#This Row],[Country]],$A$3:$A$40,0),MATCH(Generation_Entsoe_SFS_2018[[#Headers],[Consumption]],$A$1:$AM$1,0))</f>
        <v>71.400000000000006</v>
      </c>
      <c r="U50" s="514">
        <f>INDEX($A$3:$AM$40,MATCH(Generation_Entsoe_SFS_2018[[#This Row],[Country]],$A$3:$A$40,0),MATCH(Generation_Entsoe_SFS_2018[[#Headers],[Pumping]],$A$1:$AM$1,0))</f>
        <v>5.0999999999999996</v>
      </c>
      <c r="W50" s="425" t="str">
        <f t="shared" si="8"/>
        <v>AT</v>
      </c>
      <c r="X50" s="366">
        <f t="shared" si="9"/>
        <v>2018</v>
      </c>
      <c r="Y50" s="366" t="s">
        <v>648</v>
      </c>
      <c r="Z50" s="550">
        <f>IFERROR(Generation_Entsoe_SFS_2018[[#This Row],[Nuclear]]/'Capacity_Entsoe_SFS_2018'!D52*10^6,0)</f>
        <v>0</v>
      </c>
      <c r="AA50" s="550">
        <f>IFERROR(Generation_Entsoe_SFS_2018[[#This Row],[Lignite]]/'Capacity_Entsoe_SFS_2018'!E52*10^6,0)</f>
        <v>0</v>
      </c>
      <c r="AB50" s="550">
        <f>IFERROR(Generation_Entsoe_SFS_2018[[#This Row],[Hard coal]]/'Capacity_Entsoe_SFS_2018'!F52*10^6,0)</f>
        <v>3010.0334448160534</v>
      </c>
      <c r="AC50" s="550">
        <f>IFERROR(Generation_Entsoe_SFS_2018[[#This Row],[Fossil gases]]/'Capacity_Entsoe_SFS_2018'!G52*10^6,0)</f>
        <v>2019.3694621883371</v>
      </c>
      <c r="AD50" s="550">
        <f>IFERROR(Generation_Entsoe_SFS_2018[[#This Row],[Other fossil fuels]]/'Capacity_Entsoe_SFS_2018'!H52*10^6,0)</f>
        <v>3241.6502946954815</v>
      </c>
      <c r="AE50" s="550">
        <f>IFERROR(Generation_Entsoe_SFS_2018[[#This Row],[Wind onshore]]/'Capacity_Entsoe_SFS_2018'!I52*10^6,0)</f>
        <v>2043.6439210252859</v>
      </c>
      <c r="AF50" s="550">
        <f>IFERROR(Generation_Entsoe_SFS_2018[[#This Row],[Wind offshore]]/'Capacity_Entsoe_SFS_2018'!J52*10^6,0)</f>
        <v>0</v>
      </c>
      <c r="AG50" s="550">
        <f>IFERROR(Generation_Entsoe_SFS_2018[[#This Row],[Solar PV]]/'Capacity_Entsoe_SFS_2018'!K52*10^6,0)</f>
        <v>0</v>
      </c>
      <c r="AH50" s="550">
        <f>IFERROR(Generation_Entsoe_SFS_2018[[#This Row],[Bioenergy]]/'Capacity_Entsoe_SFS_2018'!L52*10^6,0)</f>
        <v>0</v>
      </c>
      <c r="AI50" s="553">
        <f>IFERROR(Generation_Entsoe_SFS_2018[[#This Row],[Other RES]]/'Capacity_Entsoe_SFS_2018'!M52*10^6,0)</f>
        <v>386956.52173913049</v>
      </c>
      <c r="AJ50" s="550">
        <f>IFERROR(Generation_Entsoe_SFS_2018[[#This Row],[Renewable Hydro]]/'Capacity_Entsoe_SFS_2018'!N52*10^6,0)</f>
        <v>2409.8939929328626</v>
      </c>
      <c r="AK50" s="550">
        <f>IFERROR(Generation_Entsoe_SFS_2018[[#This Row],[Pumped Hydro]]/'Capacity_Entsoe_SFS_2018'!O52*10^6,0)</f>
        <v>0</v>
      </c>
      <c r="AL50" s="550">
        <f>IFERROR(Generation_Entsoe_SFS_2018[[#This Row],[Other sources]]/'Capacity_Entsoe_SFS_2018'!P52*10^6,0)</f>
        <v>0</v>
      </c>
      <c r="AM50" s="107"/>
      <c r="AN50" s="107"/>
      <c r="DH50" s="168"/>
      <c r="DI50" s="168"/>
      <c r="DJ50" s="168"/>
    </row>
    <row r="51" spans="1:114" x14ac:dyDescent="0.2">
      <c r="A51" s="425" t="str">
        <f t="shared" si="1"/>
        <v>BA</v>
      </c>
      <c r="B51" s="366">
        <f t="shared" si="2"/>
        <v>2018</v>
      </c>
      <c r="C51" s="366" t="str">
        <f t="shared" si="10"/>
        <v>TWh</v>
      </c>
      <c r="D51" s="435">
        <f t="shared" si="3"/>
        <v>0</v>
      </c>
      <c r="E51" s="435">
        <f t="shared" si="11"/>
        <v>10.8</v>
      </c>
      <c r="F51" s="435">
        <f t="shared" si="12"/>
        <v>0</v>
      </c>
      <c r="G51" s="435">
        <f t="shared" si="13"/>
        <v>0</v>
      </c>
      <c r="H51" s="435">
        <f t="shared" si="14"/>
        <v>0</v>
      </c>
      <c r="I51" s="435">
        <f t="shared" si="4"/>
        <v>0.1</v>
      </c>
      <c r="J51" s="435">
        <f t="shared" si="5"/>
        <v>0</v>
      </c>
      <c r="K51" s="435">
        <f t="shared" si="15"/>
        <v>0</v>
      </c>
      <c r="L51" s="435">
        <f t="shared" si="16"/>
        <v>0</v>
      </c>
      <c r="M51" s="435">
        <f t="shared" si="17"/>
        <v>0.1</v>
      </c>
      <c r="N51" s="435">
        <f t="shared" si="18"/>
        <v>6.1</v>
      </c>
      <c r="O51" s="435">
        <f t="shared" si="19"/>
        <v>0.1</v>
      </c>
      <c r="P51" s="435">
        <f t="shared" si="20"/>
        <v>0</v>
      </c>
      <c r="Q51" s="435">
        <f t="shared" si="6"/>
        <v>17.200000000000003</v>
      </c>
      <c r="R51" s="435">
        <f t="shared" si="21"/>
        <v>17.3</v>
      </c>
      <c r="S51" s="424">
        <f t="shared" si="7"/>
        <v>0.99421965317919092</v>
      </c>
      <c r="T51" s="514">
        <f>INDEX($A$3:$AM$40,MATCH(Generation_Entsoe_SFS_2018[[#This Row],[Country]],$A$3:$A$40,0),MATCH(Generation_Entsoe_SFS_2018[[#Headers],[Consumption]],$A$1:$AM$1,0))</f>
        <v>12.6</v>
      </c>
      <c r="U51" s="514">
        <f>INDEX($A$3:$AM$40,MATCH(Generation_Entsoe_SFS_2018[[#This Row],[Country]],$A$3:$A$40,0),MATCH(Generation_Entsoe_SFS_2018[[#Headers],[Pumping]],$A$1:$AM$1,0))</f>
        <v>0.1</v>
      </c>
      <c r="W51" s="425" t="str">
        <f t="shared" si="8"/>
        <v>BA</v>
      </c>
      <c r="X51" s="366">
        <f t="shared" si="9"/>
        <v>2018</v>
      </c>
      <c r="Y51" s="366" t="s">
        <v>648</v>
      </c>
      <c r="Z51" s="550">
        <f>IFERROR(Generation_Entsoe_SFS_2018[[#This Row],[Nuclear]]/'Capacity_Entsoe_SFS_2018'!D53*10^6,0)</f>
        <v>0</v>
      </c>
      <c r="AA51" s="550">
        <f>IFERROR(Generation_Entsoe_SFS_2018[[#This Row],[Lignite]]/'Capacity_Entsoe_SFS_2018'!E53*10^6,0)</f>
        <v>5720.3389830508477</v>
      </c>
      <c r="AB51" s="550">
        <f>IFERROR(Generation_Entsoe_SFS_2018[[#This Row],[Hard coal]]/'Capacity_Entsoe_SFS_2018'!F53*10^6,0)</f>
        <v>0</v>
      </c>
      <c r="AC51" s="550">
        <f>IFERROR(Generation_Entsoe_SFS_2018[[#This Row],[Fossil gases]]/'Capacity_Entsoe_SFS_2018'!G53*10^6,0)</f>
        <v>0</v>
      </c>
      <c r="AD51" s="550">
        <f>IFERROR(Generation_Entsoe_SFS_2018[[#This Row],[Other fossil fuels]]/'Capacity_Entsoe_SFS_2018'!H53*10^6,0)</f>
        <v>0</v>
      </c>
      <c r="AE51" s="550">
        <f>IFERROR(Generation_Entsoe_SFS_2018[[#This Row],[Wind onshore]]/'Capacity_Entsoe_SFS_2018'!I53*10^6,0)</f>
        <v>1960.7843137254902</v>
      </c>
      <c r="AF51" s="550">
        <f>IFERROR(Generation_Entsoe_SFS_2018[[#This Row],[Wind offshore]]/'Capacity_Entsoe_SFS_2018'!J53*10^6,0)</f>
        <v>0</v>
      </c>
      <c r="AG51" s="550">
        <f>IFERROR(Generation_Entsoe_SFS_2018[[#This Row],[Solar PV]]/'Capacity_Entsoe_SFS_2018'!K53*10^6,0)</f>
        <v>0</v>
      </c>
      <c r="AH51" s="550">
        <f>IFERROR(Generation_Entsoe_SFS_2018[[#This Row],[Bioenergy]]/'Capacity_Entsoe_SFS_2018'!L53*10^6,0)</f>
        <v>0</v>
      </c>
      <c r="AI51" s="550">
        <f>IFERROR(Generation_Entsoe_SFS_2018[[#This Row],[Other RES]]/'Capacity_Entsoe_SFS_2018'!M53*10^6,0)</f>
        <v>0</v>
      </c>
      <c r="AJ51" s="550">
        <f>IFERROR(Generation_Entsoe_SFS_2018[[#This Row],[Renewable Hydro]]/'Capacity_Entsoe_SFS_2018'!N53*10^6,0)</f>
        <v>3049.9999999999995</v>
      </c>
      <c r="AK51" s="550">
        <f>IFERROR(Generation_Entsoe_SFS_2018[[#This Row],[Pumped Hydro]]/'Capacity_Entsoe_SFS_2018'!O53*10^6,0)</f>
        <v>952.38095238095241</v>
      </c>
      <c r="AL51" s="550">
        <f>IFERROR(Generation_Entsoe_SFS_2018[[#This Row],[Other sources]]/'Capacity_Entsoe_SFS_2018'!P53*10^6,0)</f>
        <v>0</v>
      </c>
      <c r="AM51" s="107"/>
      <c r="AN51" s="107"/>
      <c r="DH51" s="168"/>
      <c r="DI51" s="168"/>
      <c r="DJ51" s="168"/>
    </row>
    <row r="52" spans="1:114" x14ac:dyDescent="0.2">
      <c r="A52" s="425" t="str">
        <f t="shared" si="1"/>
        <v>BE</v>
      </c>
      <c r="B52" s="366">
        <f t="shared" si="2"/>
        <v>2018</v>
      </c>
      <c r="C52" s="366" t="str">
        <f t="shared" si="10"/>
        <v>TWh</v>
      </c>
      <c r="D52" s="435">
        <f t="shared" si="3"/>
        <v>27</v>
      </c>
      <c r="E52" s="435">
        <f t="shared" si="11"/>
        <v>0</v>
      </c>
      <c r="F52" s="435">
        <f t="shared" si="12"/>
        <v>0</v>
      </c>
      <c r="G52" s="435">
        <f t="shared" si="13"/>
        <v>24.200000000000003</v>
      </c>
      <c r="H52" s="435">
        <f t="shared" si="14"/>
        <v>0.1</v>
      </c>
      <c r="I52" s="435">
        <f t="shared" si="4"/>
        <v>3.7</v>
      </c>
      <c r="J52" s="435">
        <f t="shared" si="5"/>
        <v>3.4</v>
      </c>
      <c r="K52" s="435">
        <f t="shared" si="15"/>
        <v>3.5</v>
      </c>
      <c r="L52" s="435">
        <f t="shared" si="16"/>
        <v>3.5</v>
      </c>
      <c r="M52" s="435">
        <f t="shared" si="17"/>
        <v>1.3</v>
      </c>
      <c r="N52" s="435">
        <f t="shared" si="18"/>
        <v>0.3</v>
      </c>
      <c r="O52" s="435">
        <f t="shared" si="19"/>
        <v>1</v>
      </c>
      <c r="P52" s="435">
        <f t="shared" si="20"/>
        <v>1.2</v>
      </c>
      <c r="Q52" s="435">
        <f t="shared" si="6"/>
        <v>69.2</v>
      </c>
      <c r="R52" s="435">
        <f t="shared" si="21"/>
        <v>69.099999999999994</v>
      </c>
      <c r="S52" s="424">
        <f t="shared" si="7"/>
        <v>1.0014471780028944</v>
      </c>
      <c r="T52" s="514">
        <f>INDEX($A$3:$AM$40,MATCH(Generation_Entsoe_SFS_2018[[#This Row],[Country]],$A$3:$A$40,0),MATCH(Generation_Entsoe_SFS_2018[[#Headers],[Consumption]],$A$1:$AM$1,0))</f>
        <v>85.1</v>
      </c>
      <c r="U52" s="514">
        <f>INDEX($A$3:$AM$40,MATCH(Generation_Entsoe_SFS_2018[[#This Row],[Country]],$A$3:$A$40,0),MATCH(Generation_Entsoe_SFS_2018[[#Headers],[Pumping]],$A$1:$AM$1,0))</f>
        <v>1.3</v>
      </c>
      <c r="W52" s="425" t="str">
        <f t="shared" si="8"/>
        <v>BE</v>
      </c>
      <c r="X52" s="366">
        <f t="shared" si="9"/>
        <v>2018</v>
      </c>
      <c r="Y52" s="366" t="s">
        <v>648</v>
      </c>
      <c r="Z52" s="550">
        <f>IFERROR(Generation_Entsoe_SFS_2018[[#This Row],[Nuclear]]/'Capacity_Entsoe_SFS_2018'!D54*10^6,0)</f>
        <v>4561.5813482007097</v>
      </c>
      <c r="AA52" s="550">
        <f>IFERROR(Generation_Entsoe_SFS_2018[[#This Row],[Lignite]]/'Capacity_Entsoe_SFS_2018'!E54*10^6,0)</f>
        <v>0</v>
      </c>
      <c r="AB52" s="550">
        <f>IFERROR(Generation_Entsoe_SFS_2018[[#This Row],[Hard coal]]/'Capacity_Entsoe_SFS_2018'!F54*10^6,0)</f>
        <v>0</v>
      </c>
      <c r="AC52" s="550">
        <f>IFERROR(Generation_Entsoe_SFS_2018[[#This Row],[Fossil gases]]/'Capacity_Entsoe_SFS_2018'!G54*10^6,0)</f>
        <v>3470.0315457413253</v>
      </c>
      <c r="AD52" s="550">
        <f>IFERROR(Generation_Entsoe_SFS_2018[[#This Row],[Other fossil fuels]]/'Capacity_Entsoe_SFS_2018'!H54*10^6,0)</f>
        <v>247.52475247524754</v>
      </c>
      <c r="AE52" s="550">
        <f>IFERROR(Generation_Entsoe_SFS_2018[[#This Row],[Wind onshore]]/'Capacity_Entsoe_SFS_2018'!I54*10^6,0)</f>
        <v>1789.1682785299809</v>
      </c>
      <c r="AF52" s="550">
        <f>IFERROR(Generation_Entsoe_SFS_2018[[#This Row],[Wind offshore]]/'Capacity_Entsoe_SFS_2018'!J54*10^6,0)</f>
        <v>2883.7998303647155</v>
      </c>
      <c r="AG52" s="550">
        <f>IFERROR(Generation_Entsoe_SFS_2018[[#This Row],[Solar PV]]/'Capacity_Entsoe_SFS_2018'!K54*10^6,0)</f>
        <v>977.38061993856456</v>
      </c>
      <c r="AH52" s="550">
        <f>IFERROR(Generation_Entsoe_SFS_2018[[#This Row],[Bioenergy]]/'Capacity_Entsoe_SFS_2018'!L54*10^6,0)</f>
        <v>4315.6596794081379</v>
      </c>
      <c r="AI52" s="550">
        <f>IFERROR(Generation_Entsoe_SFS_2018[[#This Row],[Other RES]]/'Capacity_Entsoe_SFS_2018'!M54*10^6,0)</f>
        <v>0</v>
      </c>
      <c r="AJ52" s="550">
        <f>IFERROR(Generation_Entsoe_SFS_2018[[#This Row],[Renewable Hydro]]/'Capacity_Entsoe_SFS_2018'!N54*10^6,0)</f>
        <v>2400</v>
      </c>
      <c r="AK52" s="550">
        <f>IFERROR(Generation_Entsoe_SFS_2018[[#This Row],[Pumped Hydro]]/'Capacity_Entsoe_SFS_2018'!O54*10^6,0)</f>
        <v>764.52599388379201</v>
      </c>
      <c r="AL52" s="550">
        <f>IFERROR(Generation_Entsoe_SFS_2018[[#This Row],[Other sources]]/'Capacity_Entsoe_SFS_2018'!P54*10^6,0)</f>
        <v>3973.5099337748343</v>
      </c>
      <c r="AM52" s="107"/>
      <c r="AN52" s="107"/>
      <c r="DH52" s="168"/>
      <c r="DI52" s="168"/>
      <c r="DJ52" s="168"/>
    </row>
    <row r="53" spans="1:114" x14ac:dyDescent="0.2">
      <c r="A53" s="425" t="str">
        <f t="shared" si="1"/>
        <v>BG</v>
      </c>
      <c r="B53" s="366">
        <f t="shared" si="2"/>
        <v>2018</v>
      </c>
      <c r="C53" s="366" t="str">
        <f t="shared" si="10"/>
        <v>TWh</v>
      </c>
      <c r="D53" s="435">
        <f t="shared" si="3"/>
        <v>15.3</v>
      </c>
      <c r="E53" s="435">
        <f t="shared" si="11"/>
        <v>16.8</v>
      </c>
      <c r="F53" s="435">
        <f t="shared" si="12"/>
        <v>0.3</v>
      </c>
      <c r="G53" s="435">
        <f t="shared" si="13"/>
        <v>1.7</v>
      </c>
      <c r="H53" s="435">
        <f t="shared" si="14"/>
        <v>0</v>
      </c>
      <c r="I53" s="435">
        <f t="shared" si="4"/>
        <v>1.4</v>
      </c>
      <c r="J53" s="435">
        <f t="shared" si="5"/>
        <v>0</v>
      </c>
      <c r="K53" s="435">
        <f t="shared" si="15"/>
        <v>1.4</v>
      </c>
      <c r="L53" s="435">
        <f t="shared" si="16"/>
        <v>0.3</v>
      </c>
      <c r="M53" s="435">
        <f t="shared" si="17"/>
        <v>0</v>
      </c>
      <c r="N53" s="435">
        <f t="shared" si="18"/>
        <v>5.0000000000000009</v>
      </c>
      <c r="O53" s="435">
        <f t="shared" si="19"/>
        <v>0.3</v>
      </c>
      <c r="P53" s="435">
        <f t="shared" si="20"/>
        <v>0</v>
      </c>
      <c r="Q53" s="435">
        <f t="shared" si="6"/>
        <v>42.499999999999993</v>
      </c>
      <c r="R53" s="435">
        <f t="shared" si="21"/>
        <v>42.3</v>
      </c>
      <c r="S53" s="424">
        <f t="shared" si="7"/>
        <v>1.0047281323877069</v>
      </c>
      <c r="T53" s="514">
        <f>INDEX($A$3:$AM$40,MATCH(Generation_Entsoe_SFS_2018[[#This Row],[Country]],$A$3:$A$40,0),MATCH(Generation_Entsoe_SFS_2018[[#Headers],[Consumption]],$A$1:$AM$1,0))</f>
        <v>34.1</v>
      </c>
      <c r="U53" s="514">
        <f>INDEX($A$3:$AM$40,MATCH(Generation_Entsoe_SFS_2018[[#This Row],[Country]],$A$3:$A$40,0),MATCH(Generation_Entsoe_SFS_2018[[#Headers],[Pumping]],$A$1:$AM$1,0))</f>
        <v>0.4</v>
      </c>
      <c r="W53" s="425" t="str">
        <f t="shared" si="8"/>
        <v>BG</v>
      </c>
      <c r="X53" s="366">
        <f t="shared" si="9"/>
        <v>2018</v>
      </c>
      <c r="Y53" s="366" t="s">
        <v>648</v>
      </c>
      <c r="Z53" s="550">
        <f>IFERROR(Generation_Entsoe_SFS_2018[[#This Row],[Nuclear]]/'Capacity_Entsoe_SFS_2018'!D55*10^6,0)</f>
        <v>7846.1538461538466</v>
      </c>
      <c r="AA53" s="550">
        <f>IFERROR(Generation_Entsoe_SFS_2018[[#This Row],[Lignite]]/'Capacity_Entsoe_SFS_2018'!E55*10^6,0)</f>
        <v>4721.7537942664421</v>
      </c>
      <c r="AB53" s="550">
        <f>IFERROR(Generation_Entsoe_SFS_2018[[#This Row],[Hard coal]]/'Capacity_Entsoe_SFS_2018'!F55*10^6,0)</f>
        <v>1714.2857142857142</v>
      </c>
      <c r="AC53" s="550">
        <f>IFERROR(Generation_Entsoe_SFS_2018[[#This Row],[Fossil gases]]/'Capacity_Entsoe_SFS_2018'!G55*10^6,0)</f>
        <v>2251.655629139073</v>
      </c>
      <c r="AD53" s="550">
        <f>IFERROR(Generation_Entsoe_SFS_2018[[#This Row],[Other fossil fuels]]/'Capacity_Entsoe_SFS_2018'!H55*10^6,0)</f>
        <v>0</v>
      </c>
      <c r="AE53" s="550">
        <f>IFERROR(Generation_Entsoe_SFS_2018[[#This Row],[Wind onshore]]/'Capacity_Entsoe_SFS_2018'!I55*10^6,0)</f>
        <v>2000</v>
      </c>
      <c r="AF53" s="550">
        <f>IFERROR(Generation_Entsoe_SFS_2018[[#This Row],[Wind offshore]]/'Capacity_Entsoe_SFS_2018'!J55*10^6,0)</f>
        <v>0</v>
      </c>
      <c r="AG53" s="550">
        <f>IFERROR(Generation_Entsoe_SFS_2018[[#This Row],[Solar PV]]/'Capacity_Entsoe_SFS_2018'!K55*10^6,0)</f>
        <v>1330.7984790874525</v>
      </c>
      <c r="AH53" s="550">
        <f>IFERROR(Generation_Entsoe_SFS_2018[[#This Row],[Bioenergy]]/'Capacity_Entsoe_SFS_2018'!L55*10^6,0)</f>
        <v>3896.1038961038962</v>
      </c>
      <c r="AI53" s="550">
        <f>IFERROR(Generation_Entsoe_SFS_2018[[#This Row],[Other RES]]/'Capacity_Entsoe_SFS_2018'!M55*10^6,0)</f>
        <v>0</v>
      </c>
      <c r="AJ53" s="550">
        <f>IFERROR(Generation_Entsoe_SFS_2018[[#This Row],[Renewable Hydro]]/'Capacity_Entsoe_SFS_2018'!N55*10^6,0)</f>
        <v>2282.0629849383849</v>
      </c>
      <c r="AK53" s="550">
        <f>IFERROR(Generation_Entsoe_SFS_2018[[#This Row],[Pumped Hydro]]/'Capacity_Entsoe_SFS_2018'!O55*10^6,0)</f>
        <v>300.90270812437313</v>
      </c>
      <c r="AL53" s="550">
        <f>IFERROR(Generation_Entsoe_SFS_2018[[#This Row],[Other sources]]/'Capacity_Entsoe_SFS_2018'!P55*10^6,0)</f>
        <v>0</v>
      </c>
      <c r="AM53" s="107"/>
      <c r="AN53" s="107"/>
      <c r="DH53" s="168"/>
      <c r="DI53" s="168"/>
      <c r="DJ53" s="168"/>
    </row>
    <row r="54" spans="1:114" x14ac:dyDescent="0.2">
      <c r="A54" s="425" t="str">
        <f t="shared" si="1"/>
        <v>CH</v>
      </c>
      <c r="B54" s="366">
        <f t="shared" si="2"/>
        <v>2018</v>
      </c>
      <c r="C54" s="366" t="str">
        <f t="shared" si="10"/>
        <v>TWh</v>
      </c>
      <c r="D54" s="435">
        <f t="shared" si="3"/>
        <v>24.4</v>
      </c>
      <c r="E54" s="435">
        <f t="shared" si="11"/>
        <v>0</v>
      </c>
      <c r="F54" s="435">
        <f t="shared" si="12"/>
        <v>0</v>
      </c>
      <c r="G54" s="435">
        <f t="shared" si="13"/>
        <v>1</v>
      </c>
      <c r="H54" s="435">
        <f t="shared" si="14"/>
        <v>0</v>
      </c>
      <c r="I54" s="435">
        <f t="shared" si="4"/>
        <v>0.1</v>
      </c>
      <c r="J54" s="435">
        <f t="shared" si="5"/>
        <v>0</v>
      </c>
      <c r="K54" s="435">
        <f t="shared" si="15"/>
        <v>1.2</v>
      </c>
      <c r="L54" s="435">
        <f t="shared" si="16"/>
        <v>0.7</v>
      </c>
      <c r="M54" s="435">
        <f t="shared" si="17"/>
        <v>1.3</v>
      </c>
      <c r="N54" s="435">
        <f t="shared" si="18"/>
        <v>37.4</v>
      </c>
      <c r="O54" s="435">
        <f t="shared" si="19"/>
        <v>0</v>
      </c>
      <c r="P54" s="435">
        <f t="shared" si="20"/>
        <v>1.4</v>
      </c>
      <c r="Q54" s="435">
        <f t="shared" si="6"/>
        <v>67.5</v>
      </c>
      <c r="R54" s="435">
        <f t="shared" si="21"/>
        <v>67.599999999999994</v>
      </c>
      <c r="S54" s="424">
        <f t="shared" si="7"/>
        <v>0.99852071005917165</v>
      </c>
      <c r="T54" s="514">
        <f>INDEX($A$3:$AM$40,MATCH(Generation_Entsoe_SFS_2018[[#This Row],[Country]],$A$3:$A$40,0),MATCH(Generation_Entsoe_SFS_2018[[#Headers],[Consumption]],$A$1:$AM$1,0))</f>
        <v>62.3</v>
      </c>
      <c r="U54" s="514">
        <f>INDEX($A$3:$AM$40,MATCH(Generation_Entsoe_SFS_2018[[#This Row],[Country]],$A$3:$A$40,0),MATCH(Generation_Entsoe_SFS_2018[[#Headers],[Pumping]],$A$1:$AM$1,0))</f>
        <v>4</v>
      </c>
      <c r="W54" s="425" t="str">
        <f t="shared" si="8"/>
        <v>CH</v>
      </c>
      <c r="X54" s="366">
        <f t="shared" si="9"/>
        <v>2018</v>
      </c>
      <c r="Y54" s="366" t="s">
        <v>648</v>
      </c>
      <c r="Z54" s="550">
        <f>IFERROR(Generation_Entsoe_SFS_2018[[#This Row],[Nuclear]]/'Capacity_Entsoe_SFS_2018'!D56*10^6,0)</f>
        <v>7320.7320732073204</v>
      </c>
      <c r="AA54" s="550">
        <f>IFERROR(Generation_Entsoe_SFS_2018[[#This Row],[Lignite]]/'Capacity_Entsoe_SFS_2018'!E56*10^6,0)</f>
        <v>0</v>
      </c>
      <c r="AB54" s="550">
        <f>IFERROR(Generation_Entsoe_SFS_2018[[#This Row],[Hard coal]]/'Capacity_Entsoe_SFS_2018'!F56*10^6,0)</f>
        <v>0</v>
      </c>
      <c r="AC54" s="550">
        <f>IFERROR(Generation_Entsoe_SFS_2018[[#This Row],[Fossil gases]]/'Capacity_Entsoe_SFS_2018'!G56*10^6,0)</f>
        <v>0</v>
      </c>
      <c r="AD54" s="550">
        <f>IFERROR(Generation_Entsoe_SFS_2018[[#This Row],[Other fossil fuels]]/'Capacity_Entsoe_SFS_2018'!H56*10^6,0)</f>
        <v>0</v>
      </c>
      <c r="AE54" s="550">
        <f>IFERROR(Generation_Entsoe_SFS_2018[[#This Row],[Wind onshore]]/'Capacity_Entsoe_SFS_2018'!I56*10^6,0)</f>
        <v>1333.3333333333335</v>
      </c>
      <c r="AF54" s="550">
        <f>IFERROR(Generation_Entsoe_SFS_2018[[#This Row],[Wind offshore]]/'Capacity_Entsoe_SFS_2018'!J56*10^6,0)</f>
        <v>0</v>
      </c>
      <c r="AG54" s="550">
        <f>IFERROR(Generation_Entsoe_SFS_2018[[#This Row],[Solar PV]]/'Capacity_Entsoe_SFS_2018'!K56*10^6,0)</f>
        <v>721.15384615384608</v>
      </c>
      <c r="AH54" s="550">
        <f>IFERROR(Generation_Entsoe_SFS_2018[[#This Row],[Bioenergy]]/'Capacity_Entsoe_SFS_2018'!L56*10^6,0)</f>
        <v>3571.4285714285711</v>
      </c>
      <c r="AI54" s="550">
        <f>IFERROR(Generation_Entsoe_SFS_2018[[#This Row],[Other RES]]/'Capacity_Entsoe_SFS_2018'!M56*10^6,0)</f>
        <v>6161.1374407582944</v>
      </c>
      <c r="AJ54" s="550">
        <f>IFERROR(Generation_Entsoe_SFS_2018[[#This Row],[Renewable Hydro]]/'Capacity_Entsoe_SFS_2018'!N56*10^6,0)</f>
        <v>3064.3179024989759</v>
      </c>
      <c r="AK54" s="550">
        <f>IFERROR(Generation_Entsoe_SFS_2018[[#This Row],[Pumped Hydro]]/'Capacity_Entsoe_SFS_2018'!O56*10^6,0)</f>
        <v>0</v>
      </c>
      <c r="AL54" s="550">
        <f>IFERROR(Generation_Entsoe_SFS_2018[[#This Row],[Other sources]]/'Capacity_Entsoe_SFS_2018'!P56*10^6,0)</f>
        <v>6635.0710900473932</v>
      </c>
      <c r="AM54" s="107"/>
      <c r="AN54" s="107"/>
      <c r="DH54" s="168"/>
      <c r="DI54" s="168"/>
      <c r="DJ54" s="168"/>
    </row>
    <row r="55" spans="1:114" x14ac:dyDescent="0.2">
      <c r="A55" s="425" t="str">
        <f t="shared" si="1"/>
        <v>CY</v>
      </c>
      <c r="B55" s="366">
        <f t="shared" si="2"/>
        <v>2018</v>
      </c>
      <c r="C55" s="366" t="str">
        <f t="shared" si="10"/>
        <v>TWh</v>
      </c>
      <c r="D55" s="435">
        <f t="shared" si="3"/>
        <v>0</v>
      </c>
      <c r="E55" s="435">
        <f t="shared" si="11"/>
        <v>0</v>
      </c>
      <c r="F55" s="435">
        <f t="shared" si="12"/>
        <v>0</v>
      </c>
      <c r="G55" s="435">
        <f t="shared" si="13"/>
        <v>0</v>
      </c>
      <c r="H55" s="435">
        <f t="shared" si="14"/>
        <v>4.8</v>
      </c>
      <c r="I55" s="435">
        <f t="shared" si="4"/>
        <v>0.2</v>
      </c>
      <c r="J55" s="435">
        <f t="shared" si="5"/>
        <v>0</v>
      </c>
      <c r="K55" s="435">
        <f t="shared" si="15"/>
        <v>0</v>
      </c>
      <c r="L55" s="435">
        <f t="shared" si="16"/>
        <v>0</v>
      </c>
      <c r="M55" s="435">
        <f t="shared" si="17"/>
        <v>0</v>
      </c>
      <c r="N55" s="435">
        <f t="shared" si="18"/>
        <v>0</v>
      </c>
      <c r="O55" s="435">
        <f t="shared" si="19"/>
        <v>0</v>
      </c>
      <c r="P55" s="435">
        <f t="shared" si="20"/>
        <v>0</v>
      </c>
      <c r="Q55" s="435">
        <f t="shared" si="6"/>
        <v>5</v>
      </c>
      <c r="R55" s="435">
        <f t="shared" si="21"/>
        <v>5</v>
      </c>
      <c r="S55" s="424">
        <f t="shared" si="7"/>
        <v>1</v>
      </c>
      <c r="T55" s="514">
        <f>INDEX($A$3:$AM$40,MATCH(Generation_Entsoe_SFS_2018[[#This Row],[Country]],$A$3:$A$40,0),MATCH(Generation_Entsoe_SFS_2018[[#Headers],[Consumption]],$A$1:$AM$1,0))</f>
        <v>5</v>
      </c>
      <c r="U55" s="514">
        <f>INDEX($A$3:$AM$40,MATCH(Generation_Entsoe_SFS_2018[[#This Row],[Country]],$A$3:$A$40,0),MATCH(Generation_Entsoe_SFS_2018[[#Headers],[Pumping]],$A$1:$AM$1,0))</f>
        <v>0</v>
      </c>
      <c r="W55" s="425" t="str">
        <f t="shared" si="8"/>
        <v>CY</v>
      </c>
      <c r="X55" s="366">
        <f t="shared" si="9"/>
        <v>2018</v>
      </c>
      <c r="Y55" s="366" t="s">
        <v>648</v>
      </c>
      <c r="Z55" s="550">
        <f>IFERROR(Generation_Entsoe_SFS_2018[[#This Row],[Nuclear]]/'Capacity_Entsoe_SFS_2018'!D57*10^6,0)</f>
        <v>0</v>
      </c>
      <c r="AA55" s="550">
        <f>IFERROR(Generation_Entsoe_SFS_2018[[#This Row],[Lignite]]/'Capacity_Entsoe_SFS_2018'!E57*10^6,0)</f>
        <v>0</v>
      </c>
      <c r="AB55" s="550">
        <f>IFERROR(Generation_Entsoe_SFS_2018[[#This Row],[Hard coal]]/'Capacity_Entsoe_SFS_2018'!F57*10^6,0)</f>
        <v>0</v>
      </c>
      <c r="AC55" s="550">
        <f>IFERROR(Generation_Entsoe_SFS_2018[[#This Row],[Fossil gases]]/'Capacity_Entsoe_SFS_2018'!G57*10^6,0)</f>
        <v>0</v>
      </c>
      <c r="AD55" s="550">
        <f>IFERROR(Generation_Entsoe_SFS_2018[[#This Row],[Other fossil fuels]]/'Capacity_Entsoe_SFS_2018'!H57*10^6,0)</f>
        <v>3247.6319350473609</v>
      </c>
      <c r="AE55" s="550">
        <f>IFERROR(Generation_Entsoe_SFS_2018[[#This Row],[Wind onshore]]/'Capacity_Entsoe_SFS_2018'!I57*10^6,0)</f>
        <v>1290.3225806451612</v>
      </c>
      <c r="AF55" s="550">
        <f>IFERROR(Generation_Entsoe_SFS_2018[[#This Row],[Wind offshore]]/'Capacity_Entsoe_SFS_2018'!J57*10^6,0)</f>
        <v>0</v>
      </c>
      <c r="AG55" s="550">
        <f>IFERROR(Generation_Entsoe_SFS_2018[[#This Row],[Solar PV]]/'Capacity_Entsoe_SFS_2018'!K57*10^6,0)</f>
        <v>0</v>
      </c>
      <c r="AH55" s="550">
        <f>IFERROR(Generation_Entsoe_SFS_2018[[#This Row],[Bioenergy]]/'Capacity_Entsoe_SFS_2018'!L57*10^6,0)</f>
        <v>0</v>
      </c>
      <c r="AI55" s="550">
        <f>IFERROR(Generation_Entsoe_SFS_2018[[#This Row],[Other RES]]/'Capacity_Entsoe_SFS_2018'!M57*10^6,0)</f>
        <v>0</v>
      </c>
      <c r="AJ55" s="550">
        <f>IFERROR(Generation_Entsoe_SFS_2018[[#This Row],[Renewable Hydro]]/'Capacity_Entsoe_SFS_2018'!N57*10^6,0)</f>
        <v>0</v>
      </c>
      <c r="AK55" s="550">
        <f>IFERROR(Generation_Entsoe_SFS_2018[[#This Row],[Pumped Hydro]]/'Capacity_Entsoe_SFS_2018'!O57*10^6,0)</f>
        <v>0</v>
      </c>
      <c r="AL55" s="550">
        <f>IFERROR(Generation_Entsoe_SFS_2018[[#This Row],[Other sources]]/'Capacity_Entsoe_SFS_2018'!P57*10^6,0)</f>
        <v>0</v>
      </c>
      <c r="AM55" s="107"/>
      <c r="AN55" s="107"/>
      <c r="DH55" s="168"/>
      <c r="DI55" s="168"/>
      <c r="DJ55" s="168"/>
    </row>
    <row r="56" spans="1:114" x14ac:dyDescent="0.2">
      <c r="A56" s="425" t="str">
        <f t="shared" si="1"/>
        <v>CZ</v>
      </c>
      <c r="B56" s="366">
        <f t="shared" si="2"/>
        <v>2018</v>
      </c>
      <c r="C56" s="366" t="str">
        <f t="shared" si="10"/>
        <v>TWh</v>
      </c>
      <c r="D56" s="435">
        <f t="shared" si="3"/>
        <v>28.3</v>
      </c>
      <c r="E56" s="435">
        <f t="shared" si="11"/>
        <v>34.200000000000003</v>
      </c>
      <c r="F56" s="435">
        <f t="shared" si="12"/>
        <v>3.2</v>
      </c>
      <c r="G56" s="435">
        <f t="shared" si="13"/>
        <v>6</v>
      </c>
      <c r="H56" s="435">
        <f t="shared" si="14"/>
        <v>0.1</v>
      </c>
      <c r="I56" s="435">
        <f t="shared" si="4"/>
        <v>0.6</v>
      </c>
      <c r="J56" s="435">
        <f t="shared" si="5"/>
        <v>0</v>
      </c>
      <c r="K56" s="435">
        <f t="shared" si="15"/>
        <v>2.2999999999999998</v>
      </c>
      <c r="L56" s="435">
        <f t="shared" si="16"/>
        <v>4.4000000000000004</v>
      </c>
      <c r="M56" s="435">
        <f t="shared" si="17"/>
        <v>0</v>
      </c>
      <c r="N56" s="435">
        <f t="shared" si="18"/>
        <v>1.6</v>
      </c>
      <c r="O56" s="435">
        <f t="shared" si="19"/>
        <v>1.1000000000000001</v>
      </c>
      <c r="P56" s="435">
        <f t="shared" si="20"/>
        <v>0</v>
      </c>
      <c r="Q56" s="435">
        <f t="shared" si="6"/>
        <v>81.799999999999983</v>
      </c>
      <c r="R56" s="435">
        <f t="shared" si="21"/>
        <v>81.8</v>
      </c>
      <c r="S56" s="424">
        <f t="shared" si="7"/>
        <v>0.99999999999999978</v>
      </c>
      <c r="T56" s="514">
        <f>INDEX($A$3:$AM$40,MATCH(Generation_Entsoe_SFS_2018[[#This Row],[Country]],$A$3:$A$40,0),MATCH(Generation_Entsoe_SFS_2018[[#Headers],[Consumption]],$A$1:$AM$1,0))</f>
        <v>66.599999999999994</v>
      </c>
      <c r="U56" s="514">
        <f>INDEX($A$3:$AM$40,MATCH(Generation_Entsoe_SFS_2018[[#This Row],[Country]],$A$3:$A$40,0),MATCH(Generation_Entsoe_SFS_2018[[#Headers],[Pumping]],$A$1:$AM$1,0))</f>
        <v>1.4</v>
      </c>
      <c r="W56" s="425" t="str">
        <f t="shared" si="8"/>
        <v>CZ</v>
      </c>
      <c r="X56" s="366">
        <f t="shared" si="9"/>
        <v>2018</v>
      </c>
      <c r="Y56" s="366" t="s">
        <v>648</v>
      </c>
      <c r="Z56" s="550">
        <f>IFERROR(Generation_Entsoe_SFS_2018[[#This Row],[Nuclear]]/'Capacity_Entsoe_SFS_2018'!D58*10^6,0)</f>
        <v>7004.9504950495048</v>
      </c>
      <c r="AA56" s="550">
        <f>IFERROR(Generation_Entsoe_SFS_2018[[#This Row],[Lignite]]/'Capacity_Entsoe_SFS_2018'!E58*10^6,0)</f>
        <v>4047.3372781065091</v>
      </c>
      <c r="AB56" s="550">
        <f>IFERROR(Generation_Entsoe_SFS_2018[[#This Row],[Hard coal]]/'Capacity_Entsoe_SFS_2018'!F58*10^6,0)</f>
        <v>2666.666666666667</v>
      </c>
      <c r="AC56" s="550">
        <f>IFERROR(Generation_Entsoe_SFS_2018[[#This Row],[Fossil gases]]/'Capacity_Entsoe_SFS_2018'!G58*10^6,0)</f>
        <v>3735.9900373599007</v>
      </c>
      <c r="AD56" s="550">
        <f>IFERROR(Generation_Entsoe_SFS_2018[[#This Row],[Other fossil fuels]]/'Capacity_Entsoe_SFS_2018'!H58*10^6,0)</f>
        <v>0</v>
      </c>
      <c r="AE56" s="550">
        <f>IFERROR(Generation_Entsoe_SFS_2018[[#This Row],[Wind onshore]]/'Capacity_Entsoe_SFS_2018'!I58*10^6,0)</f>
        <v>1898.7341772151899</v>
      </c>
      <c r="AF56" s="550">
        <f>IFERROR(Generation_Entsoe_SFS_2018[[#This Row],[Wind offshore]]/'Capacity_Entsoe_SFS_2018'!J58*10^6,0)</f>
        <v>0</v>
      </c>
      <c r="AG56" s="550">
        <f>IFERROR(Generation_Entsoe_SFS_2018[[#This Row],[Solar PV]]/'Capacity_Entsoe_SFS_2018'!K58*10^6,0)</f>
        <v>1122.4987798926304</v>
      </c>
      <c r="AH56" s="550">
        <f>IFERROR(Generation_Entsoe_SFS_2018[[#This Row],[Bioenergy]]/'Capacity_Entsoe_SFS_2018'!L58*10^6,0)</f>
        <v>5500.0000000000009</v>
      </c>
      <c r="AI56" s="550">
        <f>IFERROR(Generation_Entsoe_SFS_2018[[#This Row],[Other RES]]/'Capacity_Entsoe_SFS_2018'!M58*10^6,0)</f>
        <v>0</v>
      </c>
      <c r="AJ56" s="550">
        <f>IFERROR(Generation_Entsoe_SFS_2018[[#This Row],[Renewable Hydro]]/'Capacity_Entsoe_SFS_2018'!N58*10^6,0)</f>
        <v>1471.941122355106</v>
      </c>
      <c r="AK56" s="550">
        <f>IFERROR(Generation_Entsoe_SFS_2018[[#This Row],[Pumped Hydro]]/'Capacity_Entsoe_SFS_2018'!O58*10^6,0)</f>
        <v>938.56655290102401</v>
      </c>
      <c r="AL56" s="550">
        <f>IFERROR(Generation_Entsoe_SFS_2018[[#This Row],[Other sources]]/'Capacity_Entsoe_SFS_2018'!P58*10^6,0)</f>
        <v>0</v>
      </c>
      <c r="AM56" s="107"/>
      <c r="AN56" s="107"/>
      <c r="DH56" s="168"/>
      <c r="DI56" s="168"/>
      <c r="DJ56" s="168"/>
    </row>
    <row r="57" spans="1:114" x14ac:dyDescent="0.2">
      <c r="A57" s="425" t="str">
        <f t="shared" si="1"/>
        <v>DE</v>
      </c>
      <c r="B57" s="366">
        <f t="shared" si="2"/>
        <v>2018</v>
      </c>
      <c r="C57" s="366" t="str">
        <f t="shared" si="10"/>
        <v>TWh</v>
      </c>
      <c r="D57" s="435">
        <f t="shared" si="3"/>
        <v>71.900000000000006</v>
      </c>
      <c r="E57" s="435">
        <f t="shared" si="11"/>
        <v>134.80000000000001</v>
      </c>
      <c r="F57" s="435">
        <f t="shared" si="12"/>
        <v>72.900000000000006</v>
      </c>
      <c r="G57" s="435">
        <f t="shared" si="13"/>
        <v>87.3</v>
      </c>
      <c r="H57" s="435">
        <f t="shared" si="14"/>
        <v>5.8000000000000007</v>
      </c>
      <c r="I57" s="435">
        <f t="shared" si="4"/>
        <v>88.2</v>
      </c>
      <c r="J57" s="435">
        <f t="shared" si="5"/>
        <v>19</v>
      </c>
      <c r="K57" s="435">
        <f t="shared" si="15"/>
        <v>41.2</v>
      </c>
      <c r="L57" s="435">
        <f t="shared" si="16"/>
        <v>40.1</v>
      </c>
      <c r="M57" s="435">
        <f t="shared" si="17"/>
        <v>6.1000000000000005</v>
      </c>
      <c r="N57" s="435">
        <f t="shared" si="18"/>
        <v>18.399999999999999</v>
      </c>
      <c r="O57" s="435">
        <f t="shared" si="19"/>
        <v>6.6999999999999993</v>
      </c>
      <c r="P57" s="435">
        <f>SUM(R11:S11)</f>
        <v>5.2</v>
      </c>
      <c r="Q57" s="435">
        <f t="shared" si="6"/>
        <v>597.60000000000014</v>
      </c>
      <c r="R57" s="435">
        <f t="shared" si="21"/>
        <v>597.6</v>
      </c>
      <c r="S57" s="424">
        <f t="shared" si="7"/>
        <v>1.0000000000000002</v>
      </c>
      <c r="T57" s="514">
        <f>INDEX($A$3:$AM$40,MATCH(Generation_Entsoe_SFS_2018[[#This Row],[Country]],$A$3:$A$40,0),MATCH(Generation_Entsoe_SFS_2018[[#Headers],[Consumption]],$A$1:$AM$1,0))</f>
        <v>538.1</v>
      </c>
      <c r="U57" s="514">
        <f>INDEX($A$3:$AM$40,MATCH(Generation_Entsoe_SFS_2018[[#This Row],[Country]],$A$3:$A$40,0),MATCH(Generation_Entsoe_SFS_2018[[#Headers],[Pumping]],$A$1:$AM$1,0))</f>
        <v>8.3000000000000007</v>
      </c>
      <c r="W57" s="425" t="str">
        <f t="shared" si="8"/>
        <v>DE</v>
      </c>
      <c r="X57" s="366">
        <f t="shared" si="9"/>
        <v>2018</v>
      </c>
      <c r="Y57" s="366" t="s">
        <v>648</v>
      </c>
      <c r="Z57" s="550">
        <f>IFERROR(Generation_Entsoe_SFS_2018[[#This Row],[Nuclear]]/'Capacity_Entsoe_SFS_2018'!D59*10^6,0)</f>
        <v>7555.6956704497698</v>
      </c>
      <c r="AA57" s="550">
        <f>IFERROR(Generation_Entsoe_SFS_2018[[#This Row],[Lignite]]/'Capacity_Entsoe_SFS_2018'!E59*10^6,0)</f>
        <v>6385.5992420653729</v>
      </c>
      <c r="AB57" s="550">
        <f>IFERROR(Generation_Entsoe_SFS_2018[[#This Row],[Hard coal]]/'Capacity_Entsoe_SFS_2018'!F59*10^6,0)</f>
        <v>2958.0036518563602</v>
      </c>
      <c r="AC57" s="550">
        <f>IFERROR(Generation_Entsoe_SFS_2018[[#This Row],[Fossil gases]]/'Capacity_Entsoe_SFS_2018'!G59*10^6,0)</f>
        <v>2761.4348073638262</v>
      </c>
      <c r="AD57" s="550">
        <f>IFERROR(Generation_Entsoe_SFS_2018[[#This Row],[Other fossil fuels]]/'Capacity_Entsoe_SFS_2018'!H59*10^6,0)</f>
        <v>999.82761592828842</v>
      </c>
      <c r="AE57" s="550">
        <f>IFERROR(Generation_Entsoe_SFS_2018[[#This Row],[Wind onshore]]/'Capacity_Entsoe_SFS_2018'!I59*10^6,0)</f>
        <v>1701.2576190108789</v>
      </c>
      <c r="AF57" s="550">
        <f>IFERROR(Generation_Entsoe_SFS_2018[[#This Row],[Wind offshore]]/'Capacity_Entsoe_SFS_2018'!J59*10^6,0)</f>
        <v>2975.7243539545811</v>
      </c>
      <c r="AG57" s="550">
        <f>IFERROR(Generation_Entsoe_SFS_2018[[#This Row],[Solar PV]]/'Capacity_Entsoe_SFS_2018'!K59*10^6,0)</f>
        <v>938.02650152543151</v>
      </c>
      <c r="AH57" s="550">
        <f>IFERROR(Generation_Entsoe_SFS_2018[[#This Row],[Bioenergy]]/'Capacity_Entsoe_SFS_2018'!L59*10^6,0)</f>
        <v>5297.2258916776755</v>
      </c>
      <c r="AI57" s="550">
        <f>IFERROR(Generation_Entsoe_SFS_2018[[#This Row],[Other RES]]/'Capacity_Entsoe_SFS_2018'!M59*10^6,0)</f>
        <v>4338.5490753911808</v>
      </c>
      <c r="AJ57" s="550">
        <f>IFERROR(Generation_Entsoe_SFS_2018[[#This Row],[Renewable Hydro]]/'Capacity_Entsoe_SFS_2018'!N59*10^6,0)</f>
        <v>4616.1565479177116</v>
      </c>
      <c r="AK57" s="550">
        <f>IFERROR(Generation_Entsoe_SFS_2018[[#This Row],[Pumped Hydro]]/'Capacity_Entsoe_SFS_2018'!O59*10^6,0)</f>
        <v>1054.1220893643801</v>
      </c>
      <c r="AL57" s="550">
        <f>IFERROR(Generation_Entsoe_SFS_2018[[#This Row],[Other sources]]/'Capacity_Entsoe_SFS_2018'!P59*10^6,0)</f>
        <v>5829.596412556054</v>
      </c>
      <c r="AM57" s="107"/>
      <c r="AN57" s="107"/>
      <c r="DH57" s="168"/>
      <c r="DI57" s="168"/>
      <c r="DJ57" s="168"/>
    </row>
    <row r="58" spans="1:114" x14ac:dyDescent="0.2">
      <c r="A58" s="425" t="str">
        <f t="shared" si="1"/>
        <v>DK</v>
      </c>
      <c r="B58" s="366">
        <f t="shared" si="2"/>
        <v>2018</v>
      </c>
      <c r="C58" s="366" t="str">
        <f t="shared" si="10"/>
        <v>TWh</v>
      </c>
      <c r="D58" s="435">
        <f t="shared" si="3"/>
        <v>0</v>
      </c>
      <c r="E58" s="435">
        <f t="shared" si="11"/>
        <v>0</v>
      </c>
      <c r="F58" s="435">
        <f t="shared" si="12"/>
        <v>6.9</v>
      </c>
      <c r="G58" s="435">
        <f t="shared" si="13"/>
        <v>2.2000000000000002</v>
      </c>
      <c r="H58" s="435">
        <f t="shared" si="14"/>
        <v>0.1</v>
      </c>
      <c r="I58" s="435">
        <f t="shared" si="4"/>
        <v>9.3000000000000007</v>
      </c>
      <c r="J58" s="435">
        <f t="shared" si="5"/>
        <v>4.5999999999999996</v>
      </c>
      <c r="K58" s="435">
        <f t="shared" si="15"/>
        <v>1</v>
      </c>
      <c r="L58" s="435">
        <f t="shared" si="16"/>
        <v>3.6</v>
      </c>
      <c r="M58" s="435">
        <f t="shared" si="17"/>
        <v>1.3</v>
      </c>
      <c r="N58" s="435">
        <f t="shared" si="18"/>
        <v>0</v>
      </c>
      <c r="O58" s="435">
        <f t="shared" si="19"/>
        <v>0</v>
      </c>
      <c r="P58" s="435">
        <f t="shared" si="20"/>
        <v>0</v>
      </c>
      <c r="Q58" s="435">
        <f t="shared" si="6"/>
        <v>29.000000000000004</v>
      </c>
      <c r="R58" s="435">
        <f t="shared" si="21"/>
        <v>28.9</v>
      </c>
      <c r="S58" s="424">
        <f t="shared" si="7"/>
        <v>1.003460207612457</v>
      </c>
      <c r="T58" s="514">
        <f>INDEX($A$3:$AM$40,MATCH(Generation_Entsoe_SFS_2018[[#This Row],[Country]],$A$3:$A$40,0),MATCH(Generation_Entsoe_SFS_2018[[#Headers],[Consumption]],$A$1:$AM$1,0))</f>
        <v>34.1</v>
      </c>
      <c r="U58" s="514">
        <f>INDEX($A$3:$AM$40,MATCH(Generation_Entsoe_SFS_2018[[#This Row],[Country]],$A$3:$A$40,0),MATCH(Generation_Entsoe_SFS_2018[[#Headers],[Pumping]],$A$1:$AM$1,0))</f>
        <v>0</v>
      </c>
      <c r="W58" s="425" t="str">
        <f t="shared" si="8"/>
        <v>DK</v>
      </c>
      <c r="X58" s="366">
        <f t="shared" si="9"/>
        <v>2018</v>
      </c>
      <c r="Y58" s="366" t="s">
        <v>648</v>
      </c>
      <c r="Z58" s="550">
        <f>IFERROR(Generation_Entsoe_SFS_2018[[#This Row],[Nuclear]]/'Capacity_Entsoe_SFS_2018'!D60*10^6,0)</f>
        <v>0</v>
      </c>
      <c r="AA58" s="550">
        <f>IFERROR(Generation_Entsoe_SFS_2018[[#This Row],[Lignite]]/'Capacity_Entsoe_SFS_2018'!E60*10^6,0)</f>
        <v>0</v>
      </c>
      <c r="AB58" s="550">
        <f>IFERROR(Generation_Entsoe_SFS_2018[[#This Row],[Hard coal]]/'Capacity_Entsoe_SFS_2018'!F60*10^6,0)</f>
        <v>1887.3085339168492</v>
      </c>
      <c r="AC58" s="550">
        <f>IFERROR(Generation_Entsoe_SFS_2018[[#This Row],[Fossil gases]]/'Capacity_Entsoe_SFS_2018'!G60*10^6,0)</f>
        <v>1202.8430836522691</v>
      </c>
      <c r="AD58" s="550">
        <f>IFERROR(Generation_Entsoe_SFS_2018[[#This Row],[Other fossil fuels]]/'Capacity_Entsoe_SFS_2018'!H60*10^6,0)</f>
        <v>95.147478591817318</v>
      </c>
      <c r="AE58" s="550">
        <f>IFERROR(Generation_Entsoe_SFS_2018[[#This Row],[Wind onshore]]/'Capacity_Entsoe_SFS_2018'!I60*10^6,0)</f>
        <v>2102.6452633958852</v>
      </c>
      <c r="AF58" s="550">
        <f>IFERROR(Generation_Entsoe_SFS_2018[[#This Row],[Wind offshore]]/'Capacity_Entsoe_SFS_2018'!J60*10^6,0)</f>
        <v>2704.2915931804819</v>
      </c>
      <c r="AG58" s="550">
        <f>IFERROR(Generation_Entsoe_SFS_2018[[#This Row],[Solar PV]]/'Capacity_Entsoe_SFS_2018'!K60*10^6,0)</f>
        <v>1000</v>
      </c>
      <c r="AH58" s="550">
        <f>IFERROR(Generation_Entsoe_SFS_2018[[#This Row],[Bioenergy]]/'Capacity_Entsoe_SFS_2018'!L60*10^6,0)</f>
        <v>1742.4975798644723</v>
      </c>
      <c r="AI58" s="550">
        <f>IFERROR(Generation_Entsoe_SFS_2018[[#This Row],[Other RES]]/'Capacity_Entsoe_SFS_2018'!M60*10^6,0)</f>
        <v>4024.7678018575848</v>
      </c>
      <c r="AJ58" s="550">
        <f>IFERROR(Generation_Entsoe_SFS_2018[[#This Row],[Renewable Hydro]]/'Capacity_Entsoe_SFS_2018'!N60*10^6,0)</f>
        <v>0</v>
      </c>
      <c r="AK58" s="550">
        <f>IFERROR(Generation_Entsoe_SFS_2018[[#This Row],[Pumped Hydro]]/'Capacity_Entsoe_SFS_2018'!O60*10^6,0)</f>
        <v>0</v>
      </c>
      <c r="AL58" s="550">
        <f>IFERROR(Generation_Entsoe_SFS_2018[[#This Row],[Other sources]]/'Capacity_Entsoe_SFS_2018'!P60*10^6,0)</f>
        <v>0</v>
      </c>
      <c r="AM58" s="107"/>
      <c r="AN58" s="107"/>
      <c r="DH58" s="168"/>
      <c r="DI58" s="168"/>
      <c r="DJ58" s="168"/>
    </row>
    <row r="59" spans="1:114" x14ac:dyDescent="0.2">
      <c r="A59" s="425" t="str">
        <f t="shared" si="1"/>
        <v>EE</v>
      </c>
      <c r="B59" s="366">
        <f t="shared" si="2"/>
        <v>2018</v>
      </c>
      <c r="C59" s="366" t="str">
        <f t="shared" si="10"/>
        <v>TWh</v>
      </c>
      <c r="D59" s="435">
        <f t="shared" si="3"/>
        <v>0</v>
      </c>
      <c r="E59" s="435">
        <f t="shared" si="11"/>
        <v>0</v>
      </c>
      <c r="F59" s="435">
        <f t="shared" si="12"/>
        <v>0</v>
      </c>
      <c r="G59" s="435">
        <f t="shared" si="13"/>
        <v>0</v>
      </c>
      <c r="H59" s="435">
        <f t="shared" si="14"/>
        <v>8.8000000000000007</v>
      </c>
      <c r="I59" s="435">
        <f t="shared" si="4"/>
        <v>0.6</v>
      </c>
      <c r="J59" s="435">
        <f t="shared" si="5"/>
        <v>0</v>
      </c>
      <c r="K59" s="435">
        <f t="shared" si="15"/>
        <v>0</v>
      </c>
      <c r="L59" s="435">
        <f t="shared" si="16"/>
        <v>0.7</v>
      </c>
      <c r="M59" s="435">
        <f t="shared" si="17"/>
        <v>0</v>
      </c>
      <c r="N59" s="435">
        <f t="shared" si="18"/>
        <v>0.1</v>
      </c>
      <c r="O59" s="435">
        <f t="shared" si="19"/>
        <v>0</v>
      </c>
      <c r="P59" s="435">
        <f t="shared" si="20"/>
        <v>0</v>
      </c>
      <c r="Q59" s="435">
        <f t="shared" si="6"/>
        <v>10.199999999999999</v>
      </c>
      <c r="R59" s="435">
        <f t="shared" si="21"/>
        <v>10.3</v>
      </c>
      <c r="S59" s="424">
        <f t="shared" si="7"/>
        <v>0.99029126213592222</v>
      </c>
      <c r="T59" s="514">
        <f>INDEX($A$3:$AM$40,MATCH(Generation_Entsoe_SFS_2018[[#This Row],[Country]],$A$3:$A$40,0),MATCH(Generation_Entsoe_SFS_2018[[#Headers],[Consumption]],$A$1:$AM$1,0))</f>
        <v>8.6999999999999993</v>
      </c>
      <c r="U59" s="514">
        <f>INDEX($A$3:$AM$40,MATCH(Generation_Entsoe_SFS_2018[[#This Row],[Country]],$A$3:$A$40,0),MATCH(Generation_Entsoe_SFS_2018[[#Headers],[Pumping]],$A$1:$AM$1,0))</f>
        <v>0</v>
      </c>
      <c r="W59" s="425" t="str">
        <f t="shared" si="8"/>
        <v>EE</v>
      </c>
      <c r="X59" s="366">
        <f t="shared" si="9"/>
        <v>2018</v>
      </c>
      <c r="Y59" s="366" t="s">
        <v>648</v>
      </c>
      <c r="Z59" s="550">
        <f>IFERROR(Generation_Entsoe_SFS_2018[[#This Row],[Nuclear]]/'Capacity_Entsoe_SFS_2018'!D61*10^6,0)</f>
        <v>0</v>
      </c>
      <c r="AA59" s="550">
        <f>IFERROR(Generation_Entsoe_SFS_2018[[#This Row],[Lignite]]/'Capacity_Entsoe_SFS_2018'!E61*10^6,0)</f>
        <v>0</v>
      </c>
      <c r="AB59" s="550">
        <f>IFERROR(Generation_Entsoe_SFS_2018[[#This Row],[Hard coal]]/'Capacity_Entsoe_SFS_2018'!F61*10^6,0)</f>
        <v>0</v>
      </c>
      <c r="AC59" s="550">
        <f>IFERROR(Generation_Entsoe_SFS_2018[[#This Row],[Fossil gases]]/'Capacity_Entsoe_SFS_2018'!G61*10^6,0)</f>
        <v>0</v>
      </c>
      <c r="AD59" s="550">
        <f>IFERROR(Generation_Entsoe_SFS_2018[[#This Row],[Other fossil fuels]]/'Capacity_Entsoe_SFS_2018'!H61*10^6,0)</f>
        <v>4089.2193308550186</v>
      </c>
      <c r="AE59" s="550">
        <f>IFERROR(Generation_Entsoe_SFS_2018[[#This Row],[Wind onshore]]/'Capacity_Entsoe_SFS_2018'!I61*10^6,0)</f>
        <v>1759.5307917888563</v>
      </c>
      <c r="AF59" s="550">
        <f>IFERROR(Generation_Entsoe_SFS_2018[[#This Row],[Wind offshore]]/'Capacity_Entsoe_SFS_2018'!J61*10^6,0)</f>
        <v>0</v>
      </c>
      <c r="AG59" s="550">
        <f>IFERROR(Generation_Entsoe_SFS_2018[[#This Row],[Solar PV]]/'Capacity_Entsoe_SFS_2018'!K61*10^6,0)</f>
        <v>0</v>
      </c>
      <c r="AH59" s="550">
        <f>IFERROR(Generation_Entsoe_SFS_2018[[#This Row],[Bioenergy]]/'Capacity_Entsoe_SFS_2018'!L61*10^6,0)</f>
        <v>7608.6956521739121</v>
      </c>
      <c r="AI59" s="550">
        <f>IFERROR(Generation_Entsoe_SFS_2018[[#This Row],[Other RES]]/'Capacity_Entsoe_SFS_2018'!M61*10^6,0)</f>
        <v>0</v>
      </c>
      <c r="AJ59" s="553">
        <f>IFERROR(Generation_Entsoe_SFS_2018[[#This Row],[Renewable Hydro]]/'Capacity_Entsoe_SFS_2018'!N61*10^6,0)</f>
        <v>11111.111111111111</v>
      </c>
      <c r="AK59" s="550">
        <f>IFERROR(Generation_Entsoe_SFS_2018[[#This Row],[Pumped Hydro]]/'Capacity_Entsoe_SFS_2018'!O61*10^6,0)</f>
        <v>0</v>
      </c>
      <c r="AL59" s="550">
        <f>IFERROR(Generation_Entsoe_SFS_2018[[#This Row],[Other sources]]/'Capacity_Entsoe_SFS_2018'!P61*10^6,0)</f>
        <v>0</v>
      </c>
      <c r="AM59" s="107"/>
      <c r="AN59" s="107"/>
      <c r="DH59" s="168"/>
      <c r="DI59" s="168"/>
      <c r="DJ59" s="168"/>
    </row>
    <row r="60" spans="1:114" x14ac:dyDescent="0.2">
      <c r="A60" s="425" t="str">
        <f t="shared" si="1"/>
        <v>ES</v>
      </c>
      <c r="B60" s="366">
        <f t="shared" si="2"/>
        <v>2018</v>
      </c>
      <c r="C60" s="366" t="str">
        <f t="shared" si="10"/>
        <v>TWh</v>
      </c>
      <c r="D60" s="435">
        <f t="shared" si="3"/>
        <v>53.2</v>
      </c>
      <c r="E60" s="435">
        <f t="shared" si="11"/>
        <v>25.6</v>
      </c>
      <c r="F60" s="435">
        <f t="shared" si="12"/>
        <v>11.7</v>
      </c>
      <c r="G60" s="435">
        <f t="shared" si="13"/>
        <v>53.7</v>
      </c>
      <c r="H60" s="435">
        <f t="shared" si="14"/>
        <v>12</v>
      </c>
      <c r="I60" s="435">
        <f t="shared" si="4"/>
        <v>49.6</v>
      </c>
      <c r="J60" s="435">
        <f t="shared" si="5"/>
        <v>0</v>
      </c>
      <c r="K60" s="435">
        <f t="shared" si="15"/>
        <v>7.8</v>
      </c>
      <c r="L60" s="435">
        <f t="shared" si="16"/>
        <v>3.5999999999999996</v>
      </c>
      <c r="M60" s="435">
        <f t="shared" si="17"/>
        <v>5.3000000000000007</v>
      </c>
      <c r="N60" s="435">
        <f t="shared" si="18"/>
        <v>34.1</v>
      </c>
      <c r="O60" s="435">
        <f t="shared" si="19"/>
        <v>2</v>
      </c>
      <c r="P60" s="435">
        <f t="shared" si="20"/>
        <v>2.4</v>
      </c>
      <c r="Q60" s="435">
        <f t="shared" si="6"/>
        <v>261</v>
      </c>
      <c r="R60" s="435">
        <f t="shared" si="21"/>
        <v>261</v>
      </c>
      <c r="S60" s="424">
        <f t="shared" si="7"/>
        <v>1</v>
      </c>
      <c r="T60" s="514">
        <f>INDEX($A$3:$AM$40,MATCH(Generation_Entsoe_SFS_2018[[#This Row],[Country]],$A$3:$A$40,0),MATCH(Generation_Entsoe_SFS_2018[[#Headers],[Consumption]],$A$1:$AM$1,0))</f>
        <v>268.89999999999998</v>
      </c>
      <c r="U60" s="514">
        <f>INDEX($A$3:$AM$40,MATCH(Generation_Entsoe_SFS_2018[[#This Row],[Country]],$A$3:$A$40,0),MATCH(Generation_Entsoe_SFS_2018[[#Headers],[Pumping]],$A$1:$AM$1,0))</f>
        <v>3.2</v>
      </c>
      <c r="W60" s="425" t="str">
        <f t="shared" si="8"/>
        <v>ES</v>
      </c>
      <c r="X60" s="366">
        <f t="shared" si="9"/>
        <v>2018</v>
      </c>
      <c r="Y60" s="366" t="s">
        <v>648</v>
      </c>
      <c r="Z60" s="550">
        <f>IFERROR(Generation_Entsoe_SFS_2018[[#This Row],[Nuclear]]/'Capacity_Entsoe_SFS_2018'!D62*10^6,0)</f>
        <v>7475.0597161725445</v>
      </c>
      <c r="AA60" s="553">
        <f>IFERROR(Generation_Entsoe_SFS_2018[[#This Row],[Lignite]]/'Capacity_Entsoe_SFS_2018'!E62*10^6,0)</f>
        <v>24242.424242424244</v>
      </c>
      <c r="AB60" s="550">
        <f>IFERROR(Generation_Entsoe_SFS_2018[[#This Row],[Hard coal]]/'Capacity_Entsoe_SFS_2018'!F62*10^6,0)</f>
        <v>1303.6211699164344</v>
      </c>
      <c r="AC60" s="550">
        <f>IFERROR(Generation_Entsoe_SFS_2018[[#This Row],[Fossil gases]]/'Capacity_Entsoe_SFS_2018'!G62*10^6,0)</f>
        <v>1722.0369420215497</v>
      </c>
      <c r="AD60" s="550">
        <f>IFERROR(Generation_Entsoe_SFS_2018[[#This Row],[Other fossil fuels]]/'Capacity_Entsoe_SFS_2018'!H62*10^6,0)</f>
        <v>3709.4281298299848</v>
      </c>
      <c r="AE60" s="550">
        <f>IFERROR(Generation_Entsoe_SFS_2018[[#This Row],[Wind onshore]]/'Capacity_Entsoe_SFS_2018'!I62*10^6,0)</f>
        <v>2110.0097843195645</v>
      </c>
      <c r="AF60" s="550">
        <f>IFERROR(Generation_Entsoe_SFS_2018[[#This Row],[Wind offshore]]/'Capacity_Entsoe_SFS_2018'!J62*10^6,0)</f>
        <v>0</v>
      </c>
      <c r="AG60" s="550">
        <f>IFERROR(Generation_Entsoe_SFS_2018[[#This Row],[Solar PV]]/'Capacity_Entsoe_SFS_2018'!K62*10^6,0)</f>
        <v>1654.6457361052185</v>
      </c>
      <c r="AH60" s="550">
        <f>IFERROR(Generation_Entsoe_SFS_2018[[#This Row],[Bioenergy]]/'Capacity_Entsoe_SFS_2018'!L62*10^6,0)</f>
        <v>4186.0465116279065</v>
      </c>
      <c r="AI60" s="550">
        <f>IFERROR(Generation_Entsoe_SFS_2018[[#This Row],[Other RES]]/'Capacity_Entsoe_SFS_2018'!M62*10^6,0)</f>
        <v>2135.3746978243353</v>
      </c>
      <c r="AJ60" s="550">
        <f>IFERROR(Generation_Entsoe_SFS_2018[[#This Row],[Renewable Hydro]]/'Capacity_Entsoe_SFS_2018'!N62*10^6,0)</f>
        <v>2000.1173089330753</v>
      </c>
      <c r="AK60" s="550">
        <f>IFERROR(Generation_Entsoe_SFS_2018[[#This Row],[Pumped Hydro]]/'Capacity_Entsoe_SFS_2018'!O62*10^6,0)</f>
        <v>600.78101531991592</v>
      </c>
      <c r="AL60" s="550">
        <f>IFERROR(Generation_Entsoe_SFS_2018[[#This Row],[Other sources]]/'Capacity_Entsoe_SFS_2018'!P62*10^6,0)</f>
        <v>4095.5631399317408</v>
      </c>
      <c r="AM60" s="107"/>
      <c r="AN60" s="107"/>
      <c r="DH60" s="168"/>
      <c r="DI60" s="168"/>
      <c r="DJ60" s="168"/>
    </row>
    <row r="61" spans="1:114" x14ac:dyDescent="0.2">
      <c r="A61" s="425" t="str">
        <f t="shared" si="1"/>
        <v>FI</v>
      </c>
      <c r="B61" s="366">
        <f t="shared" si="2"/>
        <v>2018</v>
      </c>
      <c r="C61" s="366" t="str">
        <f t="shared" si="10"/>
        <v>TWh</v>
      </c>
      <c r="D61" s="435">
        <f t="shared" si="3"/>
        <v>21.9</v>
      </c>
      <c r="E61" s="435">
        <f t="shared" si="11"/>
        <v>0</v>
      </c>
      <c r="F61" s="435">
        <f t="shared" si="12"/>
        <v>5.8</v>
      </c>
      <c r="G61" s="435">
        <f t="shared" si="13"/>
        <v>3.9</v>
      </c>
      <c r="H61" s="435">
        <f t="shared" si="14"/>
        <v>3.2</v>
      </c>
      <c r="I61" s="435">
        <f t="shared" si="4"/>
        <v>5.9</v>
      </c>
      <c r="J61" s="435">
        <f t="shared" si="5"/>
        <v>0</v>
      </c>
      <c r="K61" s="435">
        <f t="shared" si="15"/>
        <v>0.2</v>
      </c>
      <c r="L61" s="435">
        <f t="shared" si="16"/>
        <v>12.5</v>
      </c>
      <c r="M61" s="435">
        <f t="shared" si="17"/>
        <v>0</v>
      </c>
      <c r="N61" s="435">
        <f t="shared" si="18"/>
        <v>13.1</v>
      </c>
      <c r="O61" s="435">
        <f t="shared" si="19"/>
        <v>0</v>
      </c>
      <c r="P61" s="435">
        <f t="shared" si="20"/>
        <v>0.9</v>
      </c>
      <c r="Q61" s="435">
        <f t="shared" si="6"/>
        <v>67.400000000000006</v>
      </c>
      <c r="R61" s="435">
        <f t="shared" si="21"/>
        <v>67.5</v>
      </c>
      <c r="S61" s="424">
        <f t="shared" si="7"/>
        <v>0.99851851851851858</v>
      </c>
      <c r="T61" s="514">
        <f>INDEX($A$3:$AM$40,MATCH(Generation_Entsoe_SFS_2018[[#This Row],[Country]],$A$3:$A$40,0),MATCH(Generation_Entsoe_SFS_2018[[#Headers],[Consumption]],$A$1:$AM$1,0))</f>
        <v>87.4</v>
      </c>
      <c r="U61" s="514">
        <f>INDEX($A$3:$AM$40,MATCH(Generation_Entsoe_SFS_2018[[#This Row],[Country]],$A$3:$A$40,0),MATCH(Generation_Entsoe_SFS_2018[[#Headers],[Pumping]],$A$1:$AM$1,0))</f>
        <v>0</v>
      </c>
      <c r="W61" s="425" t="str">
        <f t="shared" si="8"/>
        <v>FI</v>
      </c>
      <c r="X61" s="366">
        <f t="shared" si="9"/>
        <v>2018</v>
      </c>
      <c r="Y61" s="366" t="s">
        <v>648</v>
      </c>
      <c r="Z61" s="550">
        <f>IFERROR(Generation_Entsoe_SFS_2018[[#This Row],[Nuclear]]/'Capacity_Entsoe_SFS_2018'!D63*10^6,0)</f>
        <v>7863.5547576301615</v>
      </c>
      <c r="AA61" s="550">
        <f>IFERROR(Generation_Entsoe_SFS_2018[[#This Row],[Lignite]]/'Capacity_Entsoe_SFS_2018'!E63*10^6,0)</f>
        <v>0</v>
      </c>
      <c r="AB61" s="550">
        <f>IFERROR(Generation_Entsoe_SFS_2018[[#This Row],[Hard coal]]/'Capacity_Entsoe_SFS_2018'!F63*10^6,0)</f>
        <v>2546.093064091308</v>
      </c>
      <c r="AC61" s="550">
        <f>IFERROR(Generation_Entsoe_SFS_2018[[#This Row],[Fossil gases]]/'Capacity_Entsoe_SFS_2018'!G63*10^6,0)</f>
        <v>2039.7489539748954</v>
      </c>
      <c r="AD61" s="550">
        <f>IFERROR(Generation_Entsoe_SFS_2018[[#This Row],[Other fossil fuels]]/'Capacity_Entsoe_SFS_2018'!H63*10^6,0)</f>
        <v>1245.6208641494748</v>
      </c>
      <c r="AE61" s="550">
        <f>IFERROR(Generation_Entsoe_SFS_2018[[#This Row],[Wind onshore]]/'Capacity_Entsoe_SFS_2018'!I63*10^6,0)</f>
        <v>2930.9488325881766</v>
      </c>
      <c r="AF61" s="550">
        <f>IFERROR(Generation_Entsoe_SFS_2018[[#This Row],[Wind offshore]]/'Capacity_Entsoe_SFS_2018'!J63*10^6,0)</f>
        <v>0</v>
      </c>
      <c r="AG61" s="550">
        <f>IFERROR(Generation_Entsoe_SFS_2018[[#This Row],[Solar PV]]/'Capacity_Entsoe_SFS_2018'!K63*10^6,0)</f>
        <v>1769.911504424779</v>
      </c>
      <c r="AH61" s="550">
        <f>IFERROR(Generation_Entsoe_SFS_2018[[#This Row],[Bioenergy]]/'Capacity_Entsoe_SFS_2018'!L63*10^6,0)</f>
        <v>6929.0465631929046</v>
      </c>
      <c r="AI61" s="550">
        <f>IFERROR(Generation_Entsoe_SFS_2018[[#This Row],[Other RES]]/'Capacity_Entsoe_SFS_2018'!M63*10^6,0)</f>
        <v>0</v>
      </c>
      <c r="AJ61" s="550">
        <f>IFERROR(Generation_Entsoe_SFS_2018[[#This Row],[Renewable Hydro]]/'Capacity_Entsoe_SFS_2018'!N63*10^6,0)</f>
        <v>4161.3722998729354</v>
      </c>
      <c r="AK61" s="550">
        <f>IFERROR(Generation_Entsoe_SFS_2018[[#This Row],[Pumped Hydro]]/'Capacity_Entsoe_SFS_2018'!O63*10^6,0)</f>
        <v>0</v>
      </c>
      <c r="AL61" s="550">
        <f>IFERROR(Generation_Entsoe_SFS_2018[[#This Row],[Other sources]]/'Capacity_Entsoe_SFS_2018'!P63*10^6,0)</f>
        <v>1829.268292682927</v>
      </c>
      <c r="AM61" s="107"/>
      <c r="AN61" s="107"/>
      <c r="DH61" s="168"/>
      <c r="DI61" s="168"/>
      <c r="DJ61" s="168"/>
    </row>
    <row r="62" spans="1:114" x14ac:dyDescent="0.2">
      <c r="A62" s="425" t="str">
        <f t="shared" si="1"/>
        <v>FR</v>
      </c>
      <c r="B62" s="366">
        <f t="shared" si="2"/>
        <v>2018</v>
      </c>
      <c r="C62" s="366" t="str">
        <f t="shared" si="10"/>
        <v>TWh</v>
      </c>
      <c r="D62" s="435">
        <f t="shared" si="3"/>
        <v>393.2</v>
      </c>
      <c r="E62" s="435">
        <f t="shared" si="11"/>
        <v>0</v>
      </c>
      <c r="F62" s="435">
        <f t="shared" si="12"/>
        <v>5.8</v>
      </c>
      <c r="G62" s="435">
        <f t="shared" si="13"/>
        <v>31.4</v>
      </c>
      <c r="H62" s="435">
        <f t="shared" si="14"/>
        <v>2.2000000000000002</v>
      </c>
      <c r="I62" s="435">
        <f t="shared" si="4"/>
        <v>27.8</v>
      </c>
      <c r="J62" s="435">
        <f t="shared" si="5"/>
        <v>0</v>
      </c>
      <c r="K62" s="435">
        <f t="shared" si="15"/>
        <v>10.199999999999999</v>
      </c>
      <c r="L62" s="435">
        <f t="shared" si="16"/>
        <v>5.1999999999999993</v>
      </c>
      <c r="M62" s="435">
        <f t="shared" si="17"/>
        <v>2.4</v>
      </c>
      <c r="N62" s="435">
        <f t="shared" si="18"/>
        <v>63.199999999999996</v>
      </c>
      <c r="O62" s="435">
        <f t="shared" si="19"/>
        <v>5.0999999999999996</v>
      </c>
      <c r="P62" s="435">
        <f t="shared" si="20"/>
        <v>2.1</v>
      </c>
      <c r="Q62" s="435">
        <f t="shared" si="6"/>
        <v>548.6</v>
      </c>
      <c r="R62" s="435">
        <f t="shared" si="21"/>
        <v>548.6</v>
      </c>
      <c r="S62" s="424">
        <f t="shared" si="7"/>
        <v>1</v>
      </c>
      <c r="T62" s="514">
        <f>INDEX($A$3:$AM$40,MATCH(Generation_Entsoe_SFS_2018[[#This Row],[Country]],$A$3:$A$40,0),MATCH(Generation_Entsoe_SFS_2018[[#Headers],[Consumption]],$A$1:$AM$1,0))</f>
        <v>478.3</v>
      </c>
      <c r="U62" s="514">
        <f>INDEX($A$3:$AM$40,MATCH(Generation_Entsoe_SFS_2018[[#This Row],[Country]],$A$3:$A$40,0),MATCH(Generation_Entsoe_SFS_2018[[#Headers],[Pumping]],$A$1:$AM$1,0))</f>
        <v>7.3</v>
      </c>
      <c r="W62" s="425" t="str">
        <f t="shared" si="8"/>
        <v>FR</v>
      </c>
      <c r="X62" s="366">
        <f t="shared" si="9"/>
        <v>2018</v>
      </c>
      <c r="Y62" s="366" t="s">
        <v>648</v>
      </c>
      <c r="Z62" s="550">
        <f>IFERROR(Generation_Entsoe_SFS_2018[[#This Row],[Nuclear]]/'Capacity_Entsoe_SFS_2018'!D64*10^6,0)</f>
        <v>6228.4175510850619</v>
      </c>
      <c r="AA62" s="550">
        <f>IFERROR(Generation_Entsoe_SFS_2018[[#This Row],[Lignite]]/'Capacity_Entsoe_SFS_2018'!E64*10^6,0)</f>
        <v>0</v>
      </c>
      <c r="AB62" s="550">
        <f>IFERROR(Generation_Entsoe_SFS_2018[[#This Row],[Hard coal]]/'Capacity_Entsoe_SFS_2018'!F64*10^6,0)</f>
        <v>1935.2686019352686</v>
      </c>
      <c r="AC62" s="550">
        <f>IFERROR(Generation_Entsoe_SFS_2018[[#This Row],[Fossil gases]]/'Capacity_Entsoe_SFS_2018'!G64*10^6,0)</f>
        <v>2584.1494527199407</v>
      </c>
      <c r="AD62" s="550">
        <f>IFERROR(Generation_Entsoe_SFS_2018[[#This Row],[Other fossil fuels]]/'Capacity_Entsoe_SFS_2018'!H64*10^6,0)</f>
        <v>639.34902644580075</v>
      </c>
      <c r="AE62" s="550">
        <f>IFERROR(Generation_Entsoe_SFS_2018[[#This Row],[Wind onshore]]/'Capacity_Entsoe_SFS_2018'!I64*10^6,0)</f>
        <v>1843.0124635375232</v>
      </c>
      <c r="AF62" s="550">
        <f>IFERROR(Generation_Entsoe_SFS_2018[[#This Row],[Wind offshore]]/'Capacity_Entsoe_SFS_2018'!J64*10^6,0)</f>
        <v>0</v>
      </c>
      <c r="AG62" s="550">
        <f>IFERROR(Generation_Entsoe_SFS_2018[[#This Row],[Solar PV]]/'Capacity_Entsoe_SFS_2018'!K64*10^6,0)</f>
        <v>1196.3406052076002</v>
      </c>
      <c r="AH62" s="550">
        <f>IFERROR(Generation_Entsoe_SFS_2018[[#This Row],[Bioenergy]]/'Capacity_Entsoe_SFS_2018'!L64*10^6,0)</f>
        <v>4549.4313210848641</v>
      </c>
      <c r="AI62" s="550">
        <f>IFERROR(Generation_Entsoe_SFS_2018[[#This Row],[Other RES]]/'Capacity_Entsoe_SFS_2018'!M64*10^6,0)</f>
        <v>919.18805055534267</v>
      </c>
      <c r="AJ62" s="550">
        <f>IFERROR(Generation_Entsoe_SFS_2018[[#This Row],[Renewable Hydro]]/'Capacity_Entsoe_SFS_2018'!N64*10^6,0)</f>
        <v>2656.9134401143478</v>
      </c>
      <c r="AK62" s="550">
        <f>IFERROR(Generation_Entsoe_SFS_2018[[#This Row],[Pumped Hydro]]/'Capacity_Entsoe_SFS_2018'!O64*10^6,0)</f>
        <v>0</v>
      </c>
      <c r="AL62" s="550">
        <f>IFERROR(Generation_Entsoe_SFS_2018[[#This Row],[Other sources]]/'Capacity_Entsoe_SFS_2018'!P64*10^6,0)</f>
        <v>0</v>
      </c>
      <c r="AM62" s="107"/>
      <c r="AN62" s="107"/>
      <c r="DH62" s="168"/>
      <c r="DI62" s="168"/>
      <c r="DJ62" s="168"/>
    </row>
    <row r="63" spans="1:114" x14ac:dyDescent="0.2">
      <c r="A63" s="425" t="str">
        <f t="shared" si="1"/>
        <v>GB</v>
      </c>
      <c r="B63" s="366">
        <f t="shared" si="2"/>
        <v>2018</v>
      </c>
      <c r="C63" s="366" t="str">
        <f t="shared" si="10"/>
        <v>TWh</v>
      </c>
      <c r="D63" s="435">
        <f t="shared" si="3"/>
        <v>60.7</v>
      </c>
      <c r="E63" s="435">
        <f t="shared" si="11"/>
        <v>0</v>
      </c>
      <c r="F63" s="435">
        <f t="shared" si="12"/>
        <v>16.8</v>
      </c>
      <c r="G63" s="435">
        <f t="shared" si="13"/>
        <v>129.9</v>
      </c>
      <c r="H63" s="435">
        <f t="shared" si="14"/>
        <v>0</v>
      </c>
      <c r="I63" s="435">
        <f t="shared" si="4"/>
        <v>25.6</v>
      </c>
      <c r="J63" s="435">
        <f t="shared" si="5"/>
        <v>16.7</v>
      </c>
      <c r="K63" s="435">
        <f t="shared" si="15"/>
        <v>11.8</v>
      </c>
      <c r="L63" s="435">
        <f t="shared" si="16"/>
        <v>17.900000000000002</v>
      </c>
      <c r="M63" s="435">
        <f t="shared" si="17"/>
        <v>0.4</v>
      </c>
      <c r="N63" s="435">
        <f t="shared" si="18"/>
        <v>5.9</v>
      </c>
      <c r="O63" s="435">
        <f t="shared" si="19"/>
        <v>0</v>
      </c>
      <c r="P63" s="435">
        <f t="shared" si="20"/>
        <v>0</v>
      </c>
      <c r="Q63" s="435">
        <f t="shared" si="6"/>
        <v>285.69999999999993</v>
      </c>
      <c r="R63" s="435">
        <f t="shared" si="21"/>
        <v>285.8</v>
      </c>
      <c r="S63" s="424">
        <f t="shared" si="7"/>
        <v>0.99965010496850915</v>
      </c>
      <c r="T63" s="514">
        <f>INDEX($A$3:$AM$40,MATCH(Generation_Entsoe_SFS_2018[[#This Row],[Country]],$A$3:$A$40,0),MATCH(Generation_Entsoe_SFS_2018[[#Headers],[Consumption]],$A$1:$AM$1,0))</f>
        <v>304</v>
      </c>
      <c r="U63" s="514">
        <f>INDEX($A$3:$AM$40,MATCH(Generation_Entsoe_SFS_2018[[#This Row],[Country]],$A$3:$A$40,0),MATCH(Generation_Entsoe_SFS_2018[[#Headers],[Pumping]],$A$1:$AM$1,0))</f>
        <v>3.4</v>
      </c>
      <c r="W63" s="425" t="str">
        <f t="shared" si="8"/>
        <v>GB</v>
      </c>
      <c r="X63" s="366">
        <f t="shared" si="9"/>
        <v>2018</v>
      </c>
      <c r="Y63" s="366" t="s">
        <v>648</v>
      </c>
      <c r="Z63" s="550">
        <f>IFERROR(Generation_Entsoe_SFS_2018[[#This Row],[Nuclear]]/'Capacity_Entsoe_SFS_2018'!D65*10^6,0)</f>
        <v>6626.6375545851533</v>
      </c>
      <c r="AA63" s="550">
        <f>IFERROR(Generation_Entsoe_SFS_2018[[#This Row],[Lignite]]/'Capacity_Entsoe_SFS_2018'!E65*10^6,0)</f>
        <v>0</v>
      </c>
      <c r="AB63" s="550">
        <f>IFERROR(Generation_Entsoe_SFS_2018[[#This Row],[Hard coal]]/'Capacity_Entsoe_SFS_2018'!F65*10^6,0)</f>
        <v>1546.9613259668508</v>
      </c>
      <c r="AC63" s="550">
        <f>IFERROR(Generation_Entsoe_SFS_2018[[#This Row],[Fossil gases]]/'Capacity_Entsoe_SFS_2018'!G65*10^6,0)</f>
        <v>4304.7454931071052</v>
      </c>
      <c r="AD63" s="550">
        <f>IFERROR(Generation_Entsoe_SFS_2018[[#This Row],[Other fossil fuels]]/'Capacity_Entsoe_SFS_2018'!H65*10^6,0)</f>
        <v>0</v>
      </c>
      <c r="AE63" s="550">
        <f>IFERROR(Generation_Entsoe_SFS_2018[[#This Row],[Wind onshore]]/'Capacity_Entsoe_SFS_2018'!I65*10^6,0)</f>
        <v>1881.7994707438988</v>
      </c>
      <c r="AF63" s="550">
        <f>IFERROR(Generation_Entsoe_SFS_2018[[#This Row],[Wind offshore]]/'Capacity_Entsoe_SFS_2018'!J65*10^6,0)</f>
        <v>2526.4750378214821</v>
      </c>
      <c r="AG63" s="550">
        <f>IFERROR(Generation_Entsoe_SFS_2018[[#This Row],[Solar PV]]/'Capacity_Entsoe_SFS_2018'!K65*10^6,0)</f>
        <v>900.76335877862596</v>
      </c>
      <c r="AH63" s="553">
        <f>IFERROR(Generation_Entsoe_SFS_2018[[#This Row],[Bioenergy]]/'Capacity_Entsoe_SFS_2018'!L65*10^6,0)</f>
        <v>8874.5661874070411</v>
      </c>
      <c r="AI63" s="553">
        <f>IFERROR(Generation_Entsoe_SFS_2018[[#This Row],[Other RES]]/'Capacity_Entsoe_SFS_2018'!M65*10^6,0)</f>
        <v>80000</v>
      </c>
      <c r="AJ63" s="550">
        <f>IFERROR(Generation_Entsoe_SFS_2018[[#This Row],[Renewable Hydro]]/'Capacity_Entsoe_SFS_2018'!N65*10^6,0)</f>
        <v>1555.4969680991301</v>
      </c>
      <c r="AK63" s="550">
        <f>IFERROR(Generation_Entsoe_SFS_2018[[#This Row],[Pumped Hydro]]/'Capacity_Entsoe_SFS_2018'!O65*10^6,0)</f>
        <v>0</v>
      </c>
      <c r="AL63" s="550">
        <f>IFERROR(Generation_Entsoe_SFS_2018[[#This Row],[Other sources]]/'Capacity_Entsoe_SFS_2018'!P65*10^6,0)</f>
        <v>0</v>
      </c>
      <c r="AM63" s="107"/>
      <c r="AN63" s="107"/>
      <c r="DH63" s="168"/>
      <c r="DI63" s="168"/>
      <c r="DJ63" s="168"/>
    </row>
    <row r="64" spans="1:114" x14ac:dyDescent="0.2">
      <c r="A64" s="425" t="str">
        <f t="shared" si="1"/>
        <v>GR</v>
      </c>
      <c r="B64" s="366">
        <f t="shared" si="2"/>
        <v>2018</v>
      </c>
      <c r="C64" s="366" t="str">
        <f t="shared" si="10"/>
        <v>TWh</v>
      </c>
      <c r="D64" s="435">
        <f t="shared" si="3"/>
        <v>0</v>
      </c>
      <c r="E64" s="435">
        <f t="shared" si="11"/>
        <v>14.9</v>
      </c>
      <c r="F64" s="435">
        <f t="shared" si="12"/>
        <v>0</v>
      </c>
      <c r="G64" s="435">
        <f t="shared" si="13"/>
        <v>14.1</v>
      </c>
      <c r="H64" s="435">
        <f t="shared" si="14"/>
        <v>0</v>
      </c>
      <c r="I64" s="435">
        <f t="shared" si="4"/>
        <v>5.6</v>
      </c>
      <c r="J64" s="435">
        <f t="shared" si="5"/>
        <v>0</v>
      </c>
      <c r="K64" s="435">
        <f t="shared" si="15"/>
        <v>3.5</v>
      </c>
      <c r="L64" s="435">
        <f t="shared" si="16"/>
        <v>0.3</v>
      </c>
      <c r="M64" s="435">
        <f t="shared" si="17"/>
        <v>1.1000000000000001</v>
      </c>
      <c r="N64" s="435">
        <f t="shared" si="18"/>
        <v>5.7</v>
      </c>
      <c r="O64" s="435">
        <f t="shared" si="19"/>
        <v>0</v>
      </c>
      <c r="P64" s="435">
        <f t="shared" si="20"/>
        <v>0</v>
      </c>
      <c r="Q64" s="435">
        <f t="shared" si="6"/>
        <v>45.2</v>
      </c>
      <c r="R64" s="435">
        <f t="shared" si="21"/>
        <v>45.3</v>
      </c>
      <c r="S64" s="424">
        <f t="shared" si="7"/>
        <v>0.9977924944812363</v>
      </c>
      <c r="T64" s="514">
        <f>INDEX($A$3:$AM$40,MATCH(Generation_Entsoe_SFS_2018[[#This Row],[Country]],$A$3:$A$40,0),MATCH(Generation_Entsoe_SFS_2018[[#Headers],[Consumption]],$A$1:$AM$1,0))</f>
        <v>51.6</v>
      </c>
      <c r="U64" s="514">
        <f>INDEX($A$3:$AM$40,MATCH(Generation_Entsoe_SFS_2018[[#This Row],[Country]],$A$3:$A$40,0),MATCH(Generation_Entsoe_SFS_2018[[#Headers],[Pumping]],$A$1:$AM$1,0))</f>
        <v>0</v>
      </c>
      <c r="W64" s="425" t="str">
        <f t="shared" si="8"/>
        <v>GR</v>
      </c>
      <c r="X64" s="366">
        <f t="shared" si="9"/>
        <v>2018</v>
      </c>
      <c r="Y64" s="366" t="s">
        <v>648</v>
      </c>
      <c r="Z64" s="550">
        <f>IFERROR(Generation_Entsoe_SFS_2018[[#This Row],[Nuclear]]/'Capacity_Entsoe_SFS_2018'!D66*10^6,0)</f>
        <v>0</v>
      </c>
      <c r="AA64" s="550">
        <f>IFERROR(Generation_Entsoe_SFS_2018[[#This Row],[Lignite]]/'Capacity_Entsoe_SFS_2018'!E66*10^6,0)</f>
        <v>3816.5983606557379</v>
      </c>
      <c r="AB64" s="550">
        <f>IFERROR(Generation_Entsoe_SFS_2018[[#This Row],[Hard coal]]/'Capacity_Entsoe_SFS_2018'!F66*10^6,0)</f>
        <v>0</v>
      </c>
      <c r="AC64" s="550">
        <f>IFERROR(Generation_Entsoe_SFS_2018[[#This Row],[Fossil gases]]/'Capacity_Entsoe_SFS_2018'!G66*10^6,0)</f>
        <v>3302.8812368236122</v>
      </c>
      <c r="AD64" s="550">
        <f>IFERROR(Generation_Entsoe_SFS_2018[[#This Row],[Other fossil fuels]]/'Capacity_Entsoe_SFS_2018'!H66*10^6,0)</f>
        <v>0</v>
      </c>
      <c r="AE64" s="550">
        <f>IFERROR(Generation_Entsoe_SFS_2018[[#This Row],[Wind onshore]]/'Capacity_Entsoe_SFS_2018'!I66*10^6,0)</f>
        <v>2689.721421709894</v>
      </c>
      <c r="AF64" s="550">
        <f>IFERROR(Generation_Entsoe_SFS_2018[[#This Row],[Wind offshore]]/'Capacity_Entsoe_SFS_2018'!J66*10^6,0)</f>
        <v>0</v>
      </c>
      <c r="AG64" s="550">
        <f>IFERROR(Generation_Entsoe_SFS_2018[[#This Row],[Solar PV]]/'Capacity_Entsoe_SFS_2018'!K66*10^6,0)</f>
        <v>1429.7385620915031</v>
      </c>
      <c r="AH64" s="550">
        <f>IFERROR(Generation_Entsoe_SFS_2018[[#This Row],[Bioenergy]]/'Capacity_Entsoe_SFS_2018'!L66*10^6,0)</f>
        <v>5000</v>
      </c>
      <c r="AI64" s="550">
        <f>IFERROR(Generation_Entsoe_SFS_2018[[#This Row],[Other RES]]/'Capacity_Entsoe_SFS_2018'!M66*10^6,0)</f>
        <v>4782.6086956521749</v>
      </c>
      <c r="AJ64" s="550">
        <f>IFERROR(Generation_Entsoe_SFS_2018[[#This Row],[Renewable Hydro]]/'Capacity_Entsoe_SFS_2018'!N66*10^6,0)</f>
        <v>1676.9638128861429</v>
      </c>
      <c r="AK64" s="550">
        <f>IFERROR(Generation_Entsoe_SFS_2018[[#This Row],[Pumped Hydro]]/'Capacity_Entsoe_SFS_2018'!O66*10^6,0)</f>
        <v>0</v>
      </c>
      <c r="AL64" s="550">
        <f>IFERROR(Generation_Entsoe_SFS_2018[[#This Row],[Other sources]]/'Capacity_Entsoe_SFS_2018'!P66*10^6,0)</f>
        <v>0</v>
      </c>
      <c r="AM64" s="107"/>
      <c r="AN64" s="107"/>
      <c r="DH64" s="168"/>
      <c r="DI64" s="168"/>
      <c r="DJ64" s="168"/>
    </row>
    <row r="65" spans="1:114" x14ac:dyDescent="0.2">
      <c r="A65" s="425" t="str">
        <f t="shared" si="1"/>
        <v>HR</v>
      </c>
      <c r="B65" s="366">
        <f t="shared" si="2"/>
        <v>2018</v>
      </c>
      <c r="C65" s="366" t="str">
        <f t="shared" si="10"/>
        <v>TWh</v>
      </c>
      <c r="D65" s="435">
        <f t="shared" si="3"/>
        <v>0</v>
      </c>
      <c r="E65" s="435">
        <f t="shared" si="11"/>
        <v>0</v>
      </c>
      <c r="F65" s="435">
        <f t="shared" si="12"/>
        <v>1.3</v>
      </c>
      <c r="G65" s="435">
        <f t="shared" si="13"/>
        <v>1.9</v>
      </c>
      <c r="H65" s="435">
        <f t="shared" si="14"/>
        <v>0</v>
      </c>
      <c r="I65" s="435">
        <f t="shared" si="4"/>
        <v>1.3</v>
      </c>
      <c r="J65" s="435">
        <f t="shared" si="5"/>
        <v>0</v>
      </c>
      <c r="K65" s="435">
        <f t="shared" si="15"/>
        <v>0.1</v>
      </c>
      <c r="L65" s="435">
        <f t="shared" si="16"/>
        <v>0.6</v>
      </c>
      <c r="M65" s="435">
        <f t="shared" si="17"/>
        <v>0</v>
      </c>
      <c r="N65" s="435">
        <f t="shared" si="18"/>
        <v>6.8999999999999995</v>
      </c>
      <c r="O65" s="435">
        <f t="shared" si="19"/>
        <v>0</v>
      </c>
      <c r="P65" s="435">
        <f t="shared" si="20"/>
        <v>0</v>
      </c>
      <c r="Q65" s="435">
        <f t="shared" si="6"/>
        <v>12.099999999999998</v>
      </c>
      <c r="R65" s="435">
        <f t="shared" si="21"/>
        <v>12.1</v>
      </c>
      <c r="S65" s="424">
        <f t="shared" si="7"/>
        <v>0.99999999999999989</v>
      </c>
      <c r="T65" s="514">
        <f>INDEX($A$3:$AM$40,MATCH(Generation_Entsoe_SFS_2018[[#This Row],[Country]],$A$3:$A$40,0),MATCH(Generation_Entsoe_SFS_2018[[#Headers],[Consumption]],$A$1:$AM$1,0))</f>
        <v>18.2</v>
      </c>
      <c r="U65" s="514">
        <f>INDEX($A$3:$AM$40,MATCH(Generation_Entsoe_SFS_2018[[#This Row],[Country]],$A$3:$A$40,0),MATCH(Generation_Entsoe_SFS_2018[[#Headers],[Pumping]],$A$1:$AM$1,0))</f>
        <v>0.1</v>
      </c>
      <c r="W65" s="425" t="str">
        <f t="shared" si="8"/>
        <v>HR</v>
      </c>
      <c r="X65" s="366">
        <f t="shared" si="9"/>
        <v>2018</v>
      </c>
      <c r="Y65" s="366" t="s">
        <v>648</v>
      </c>
      <c r="Z65" s="550">
        <f>IFERROR(Generation_Entsoe_SFS_2018[[#This Row],[Nuclear]]/'Capacity_Entsoe_SFS_2018'!D67*10^6,0)</f>
        <v>0</v>
      </c>
      <c r="AA65" s="550">
        <f>IFERROR(Generation_Entsoe_SFS_2018[[#This Row],[Lignite]]/'Capacity_Entsoe_SFS_2018'!E67*10^6,0)</f>
        <v>0</v>
      </c>
      <c r="AB65" s="550">
        <f>IFERROR(Generation_Entsoe_SFS_2018[[#This Row],[Hard coal]]/'Capacity_Entsoe_SFS_2018'!F67*10^6,0)</f>
        <v>4000</v>
      </c>
      <c r="AC65" s="550">
        <f>IFERROR(Generation_Entsoe_SFS_2018[[#This Row],[Fossil gases]]/'Capacity_Entsoe_SFS_2018'!G67*10^6,0)</f>
        <v>2557.2005383580076</v>
      </c>
      <c r="AD65" s="550">
        <f>IFERROR(Generation_Entsoe_SFS_2018[[#This Row],[Other fossil fuels]]/'Capacity_Entsoe_SFS_2018'!H67*10^6,0)</f>
        <v>0</v>
      </c>
      <c r="AE65" s="550">
        <f>IFERROR(Generation_Entsoe_SFS_2018[[#This Row],[Wind onshore]]/'Capacity_Entsoe_SFS_2018'!I67*10^6,0)</f>
        <v>2338.129496402878</v>
      </c>
      <c r="AF65" s="550">
        <f>IFERROR(Generation_Entsoe_SFS_2018[[#This Row],[Wind offshore]]/'Capacity_Entsoe_SFS_2018'!J67*10^6,0)</f>
        <v>0</v>
      </c>
      <c r="AG65" s="550">
        <f>IFERROR(Generation_Entsoe_SFS_2018[[#This Row],[Solar PV]]/'Capacity_Entsoe_SFS_2018'!K67*10^6,0)</f>
        <v>1923.0769230769231</v>
      </c>
      <c r="AH65" s="550">
        <f>IFERROR(Generation_Entsoe_SFS_2018[[#This Row],[Bioenergy]]/'Capacity_Entsoe_SFS_2018'!L67*10^6,0)</f>
        <v>6060.606060606061</v>
      </c>
      <c r="AI65" s="550">
        <f>IFERROR(Generation_Entsoe_SFS_2018[[#This Row],[Other RES]]/'Capacity_Entsoe_SFS_2018'!M67*10^6,0)</f>
        <v>0</v>
      </c>
      <c r="AJ65" s="550">
        <f>IFERROR(Generation_Entsoe_SFS_2018[[#This Row],[Renewable Hydro]]/'Capacity_Entsoe_SFS_2018'!N67*10^6,0)</f>
        <v>3293.556085918854</v>
      </c>
      <c r="AK65" s="550">
        <f>IFERROR(Generation_Entsoe_SFS_2018[[#This Row],[Pumped Hydro]]/'Capacity_Entsoe_SFS_2018'!O67*10^6,0)</f>
        <v>0</v>
      </c>
      <c r="AL65" s="550">
        <f>IFERROR(Generation_Entsoe_SFS_2018[[#This Row],[Other sources]]/'Capacity_Entsoe_SFS_2018'!P67*10^6,0)</f>
        <v>0</v>
      </c>
      <c r="AM65" s="107"/>
      <c r="AN65" s="107"/>
      <c r="DH65" s="168"/>
      <c r="DI65" s="168"/>
      <c r="DJ65" s="168"/>
    </row>
    <row r="66" spans="1:114" x14ac:dyDescent="0.2">
      <c r="A66" s="425" t="str">
        <f t="shared" si="1"/>
        <v>HU</v>
      </c>
      <c r="B66" s="366">
        <f t="shared" si="2"/>
        <v>2018</v>
      </c>
      <c r="C66" s="366" t="str">
        <f t="shared" si="10"/>
        <v>TWh</v>
      </c>
      <c r="D66" s="435">
        <f t="shared" si="3"/>
        <v>14.8</v>
      </c>
      <c r="E66" s="435">
        <f t="shared" si="11"/>
        <v>4.5</v>
      </c>
      <c r="F66" s="435">
        <f t="shared" si="12"/>
        <v>0</v>
      </c>
      <c r="G66" s="435">
        <f t="shared" si="13"/>
        <v>5.4</v>
      </c>
      <c r="H66" s="435">
        <f t="shared" si="14"/>
        <v>0.1</v>
      </c>
      <c r="I66" s="435">
        <f t="shared" si="4"/>
        <v>0.6</v>
      </c>
      <c r="J66" s="435">
        <f t="shared" si="5"/>
        <v>0</v>
      </c>
      <c r="K66" s="435">
        <f t="shared" si="15"/>
        <v>0.3</v>
      </c>
      <c r="L66" s="435">
        <f t="shared" si="16"/>
        <v>2</v>
      </c>
      <c r="M66" s="435">
        <f t="shared" si="17"/>
        <v>0.4</v>
      </c>
      <c r="N66" s="435">
        <f t="shared" si="18"/>
        <v>0.2</v>
      </c>
      <c r="O66" s="435">
        <f t="shared" si="19"/>
        <v>0</v>
      </c>
      <c r="P66" s="435">
        <f t="shared" si="20"/>
        <v>0</v>
      </c>
      <c r="Q66" s="435">
        <f t="shared" si="6"/>
        <v>28.300000000000004</v>
      </c>
      <c r="R66" s="435">
        <f t="shared" si="21"/>
        <v>28.2</v>
      </c>
      <c r="S66" s="424">
        <f t="shared" si="7"/>
        <v>1.0035460992907803</v>
      </c>
      <c r="T66" s="514">
        <f>INDEX($A$3:$AM$40,MATCH(Generation_Entsoe_SFS_2018[[#This Row],[Country]],$A$3:$A$40,0),MATCH(Generation_Entsoe_SFS_2018[[#Headers],[Consumption]],$A$1:$AM$1,0))</f>
        <v>42.5</v>
      </c>
      <c r="U66" s="514">
        <f>INDEX($A$3:$AM$40,MATCH(Generation_Entsoe_SFS_2018[[#This Row],[Country]],$A$3:$A$40,0),MATCH(Generation_Entsoe_SFS_2018[[#Headers],[Pumping]],$A$1:$AM$1,0))</f>
        <v>0</v>
      </c>
      <c r="W66" s="425" t="str">
        <f t="shared" si="8"/>
        <v>HU</v>
      </c>
      <c r="X66" s="366">
        <f t="shared" si="9"/>
        <v>2018</v>
      </c>
      <c r="Y66" s="366" t="s">
        <v>648</v>
      </c>
      <c r="Z66" s="550">
        <f>IFERROR(Generation_Entsoe_SFS_2018[[#This Row],[Nuclear]]/'Capacity_Entsoe_SFS_2018'!D68*10^6,0)</f>
        <v>7793.5755660874147</v>
      </c>
      <c r="AA66" s="550">
        <f>IFERROR(Generation_Entsoe_SFS_2018[[#This Row],[Lignite]]/'Capacity_Entsoe_SFS_2018'!E68*10^6,0)</f>
        <v>4289.7998093422311</v>
      </c>
      <c r="AB66" s="550">
        <f>IFERROR(Generation_Entsoe_SFS_2018[[#This Row],[Hard coal]]/'Capacity_Entsoe_SFS_2018'!F68*10^6,0)</f>
        <v>0</v>
      </c>
      <c r="AC66" s="550">
        <f>IFERROR(Generation_Entsoe_SFS_2018[[#This Row],[Fossil gases]]/'Capacity_Entsoe_SFS_2018'!G68*10^6,0)</f>
        <v>1335.9722909450768</v>
      </c>
      <c r="AD66" s="550">
        <f>IFERROR(Generation_Entsoe_SFS_2018[[#This Row],[Other fossil fuels]]/'Capacity_Entsoe_SFS_2018'!H68*10^6,0)</f>
        <v>242.71844660194176</v>
      </c>
      <c r="AE66" s="550">
        <f>IFERROR(Generation_Entsoe_SFS_2018[[#This Row],[Wind onshore]]/'Capacity_Entsoe_SFS_2018'!I68*10^6,0)</f>
        <v>1846.1538461538462</v>
      </c>
      <c r="AF66" s="550">
        <f>IFERROR(Generation_Entsoe_SFS_2018[[#This Row],[Wind offshore]]/'Capacity_Entsoe_SFS_2018'!J68*10^6,0)</f>
        <v>0</v>
      </c>
      <c r="AG66" s="550">
        <f>IFERROR(Generation_Entsoe_SFS_2018[[#This Row],[Solar PV]]/'Capacity_Entsoe_SFS_2018'!K68*10^6,0)</f>
        <v>892.85714285714278</v>
      </c>
      <c r="AH66" s="550">
        <f>IFERROR(Generation_Entsoe_SFS_2018[[#This Row],[Bioenergy]]/'Capacity_Entsoe_SFS_2018'!L68*10^6,0)</f>
        <v>6269.5924764890278</v>
      </c>
      <c r="AI66" s="553">
        <f>IFERROR(Generation_Entsoe_SFS_2018[[#This Row],[Other RES]]/'Capacity_Entsoe_SFS_2018'!M68*10^6,0)</f>
        <v>11111.111111111111</v>
      </c>
      <c r="AJ66" s="550">
        <f>IFERROR(Generation_Entsoe_SFS_2018[[#This Row],[Renewable Hydro]]/'Capacity_Entsoe_SFS_2018'!N68*10^6,0)</f>
        <v>3571.4285714285716</v>
      </c>
      <c r="AK66" s="550">
        <f>IFERROR(Generation_Entsoe_SFS_2018[[#This Row],[Pumped Hydro]]/'Capacity_Entsoe_SFS_2018'!O68*10^6,0)</f>
        <v>0</v>
      </c>
      <c r="AL66" s="550">
        <f>IFERROR(Generation_Entsoe_SFS_2018[[#This Row],[Other sources]]/'Capacity_Entsoe_SFS_2018'!P68*10^6,0)</f>
        <v>0</v>
      </c>
      <c r="AM66" s="107"/>
      <c r="AN66" s="107"/>
      <c r="DH66" s="168"/>
      <c r="DI66" s="168"/>
      <c r="DJ66" s="168"/>
    </row>
    <row r="67" spans="1:114" x14ac:dyDescent="0.2">
      <c r="A67" s="425" t="str">
        <f t="shared" si="1"/>
        <v>IE</v>
      </c>
      <c r="B67" s="366">
        <f t="shared" si="2"/>
        <v>2018</v>
      </c>
      <c r="C67" s="366" t="str">
        <f t="shared" si="10"/>
        <v>TWh</v>
      </c>
      <c r="D67" s="435">
        <f t="shared" si="3"/>
        <v>0</v>
      </c>
      <c r="E67" s="435">
        <f t="shared" si="11"/>
        <v>0</v>
      </c>
      <c r="F67" s="435">
        <f t="shared" si="12"/>
        <v>2.1</v>
      </c>
      <c r="G67" s="435">
        <f t="shared" si="13"/>
        <v>14.9</v>
      </c>
      <c r="H67" s="435">
        <f t="shared" si="14"/>
        <v>2.3000000000000003</v>
      </c>
      <c r="I67" s="435">
        <f t="shared" si="4"/>
        <v>8.4</v>
      </c>
      <c r="J67" s="435">
        <f t="shared" si="5"/>
        <v>0</v>
      </c>
      <c r="K67" s="435">
        <f t="shared" si="15"/>
        <v>0</v>
      </c>
      <c r="L67" s="435">
        <f t="shared" si="16"/>
        <v>0</v>
      </c>
      <c r="M67" s="435">
        <f t="shared" si="17"/>
        <v>0.5</v>
      </c>
      <c r="N67" s="435">
        <f t="shared" si="18"/>
        <v>0.7</v>
      </c>
      <c r="O67" s="435">
        <f t="shared" si="19"/>
        <v>0.2</v>
      </c>
      <c r="P67" s="435">
        <f t="shared" si="20"/>
        <v>0.3</v>
      </c>
      <c r="Q67" s="435">
        <f t="shared" si="6"/>
        <v>29.400000000000002</v>
      </c>
      <c r="R67" s="435">
        <f t="shared" si="21"/>
        <v>29.3</v>
      </c>
      <c r="S67" s="424">
        <f t="shared" si="7"/>
        <v>1.0034129692832765</v>
      </c>
      <c r="T67" s="514">
        <f>INDEX($A$3:$AM$40,MATCH(Generation_Entsoe_SFS_2018[[#This Row],[Country]],$A$3:$A$40,0),MATCH(Generation_Entsoe_SFS_2018[[#Headers],[Consumption]],$A$1:$AM$1,0))</f>
        <v>28.7</v>
      </c>
      <c r="U67" s="514">
        <f>INDEX($A$3:$AM$40,MATCH(Generation_Entsoe_SFS_2018[[#This Row],[Country]],$A$3:$A$40,0),MATCH(Generation_Entsoe_SFS_2018[[#Headers],[Pumping]],$A$1:$AM$1,0))</f>
        <v>0.5</v>
      </c>
      <c r="W67" s="425" t="str">
        <f t="shared" si="8"/>
        <v>IE</v>
      </c>
      <c r="X67" s="366">
        <f t="shared" si="9"/>
        <v>2018</v>
      </c>
      <c r="Y67" s="366" t="s">
        <v>648</v>
      </c>
      <c r="Z67" s="550">
        <f>IFERROR(Generation_Entsoe_SFS_2018[[#This Row],[Nuclear]]/'Capacity_Entsoe_SFS_2018'!D69*10^6,0)</f>
        <v>0</v>
      </c>
      <c r="AA67" s="550">
        <f>IFERROR(Generation_Entsoe_SFS_2018[[#This Row],[Lignite]]/'Capacity_Entsoe_SFS_2018'!E69*10^6,0)</f>
        <v>0</v>
      </c>
      <c r="AB67" s="550">
        <f>IFERROR(Generation_Entsoe_SFS_2018[[#This Row],[Hard coal]]/'Capacity_Entsoe_SFS_2018'!F69*10^6,0)</f>
        <v>2456.1403508771932</v>
      </c>
      <c r="AC67" s="550">
        <f>IFERROR(Generation_Entsoe_SFS_2018[[#This Row],[Fossil gases]]/'Capacity_Entsoe_SFS_2018'!G69*10^6,0)</f>
        <v>3534.9940688018983</v>
      </c>
      <c r="AD67" s="550">
        <f>IFERROR(Generation_Entsoe_SFS_2018[[#This Row],[Other fossil fuels]]/'Capacity_Entsoe_SFS_2018'!H69*10^6,0)</f>
        <v>2010.4895104895108</v>
      </c>
      <c r="AE67" s="550">
        <f>IFERROR(Generation_Entsoe_SFS_2018[[#This Row],[Wind onshore]]/'Capacity_Entsoe_SFS_2018'!I69*10^6,0)</f>
        <v>2727.2727272727275</v>
      </c>
      <c r="AF67" s="550">
        <f>IFERROR(Generation_Entsoe_SFS_2018[[#This Row],[Wind offshore]]/'Capacity_Entsoe_SFS_2018'!J69*10^6,0)</f>
        <v>0</v>
      </c>
      <c r="AG67" s="550">
        <f>IFERROR(Generation_Entsoe_SFS_2018[[#This Row],[Solar PV]]/'Capacity_Entsoe_SFS_2018'!K69*10^6,0)</f>
        <v>0</v>
      </c>
      <c r="AH67" s="550">
        <f>IFERROR(Generation_Entsoe_SFS_2018[[#This Row],[Bioenergy]]/'Capacity_Entsoe_SFS_2018'!L69*10^6,0)</f>
        <v>0</v>
      </c>
      <c r="AI67" s="550">
        <f>IFERROR(Generation_Entsoe_SFS_2018[[#This Row],[Other RES]]/'Capacity_Entsoe_SFS_2018'!M69*10^6,0)</f>
        <v>772.79752704791338</v>
      </c>
      <c r="AJ67" s="550">
        <f>IFERROR(Generation_Entsoe_SFS_2018[[#This Row],[Renewable Hydro]]/'Capacity_Entsoe_SFS_2018'!N69*10^6,0)</f>
        <v>2941.1764705882351</v>
      </c>
      <c r="AK67" s="550">
        <f>IFERROR(Generation_Entsoe_SFS_2018[[#This Row],[Pumped Hydro]]/'Capacity_Entsoe_SFS_2018'!O69*10^6,0)</f>
        <v>684.93150684931504</v>
      </c>
      <c r="AL67" s="550">
        <f>IFERROR(Generation_Entsoe_SFS_2018[[#This Row],[Other sources]]/'Capacity_Entsoe_SFS_2018'!P69*10^6,0)</f>
        <v>7500</v>
      </c>
      <c r="AM67" s="107"/>
      <c r="AN67" s="107"/>
      <c r="DH67" s="168"/>
      <c r="DI67" s="168"/>
      <c r="DJ67" s="168"/>
    </row>
    <row r="68" spans="1:114" x14ac:dyDescent="0.2">
      <c r="A68" s="425" t="str">
        <f t="shared" si="1"/>
        <v>IS</v>
      </c>
      <c r="B68" s="366">
        <f t="shared" si="2"/>
        <v>2018</v>
      </c>
      <c r="C68" s="366" t="str">
        <f t="shared" si="10"/>
        <v>TWh</v>
      </c>
      <c r="D68" s="435">
        <f t="shared" si="3"/>
        <v>0</v>
      </c>
      <c r="E68" s="435">
        <f t="shared" si="11"/>
        <v>0</v>
      </c>
      <c r="F68" s="435">
        <f t="shared" si="12"/>
        <v>0</v>
      </c>
      <c r="G68" s="435">
        <f t="shared" si="13"/>
        <v>0</v>
      </c>
      <c r="H68" s="435">
        <f t="shared" si="14"/>
        <v>0</v>
      </c>
      <c r="I68" s="435">
        <f t="shared" si="4"/>
        <v>0</v>
      </c>
      <c r="J68" s="435">
        <f t="shared" si="5"/>
        <v>0</v>
      </c>
      <c r="K68" s="435">
        <f t="shared" si="15"/>
        <v>0</v>
      </c>
      <c r="L68" s="435">
        <f t="shared" si="16"/>
        <v>0</v>
      </c>
      <c r="M68" s="435">
        <f t="shared" si="17"/>
        <v>5.6</v>
      </c>
      <c r="N68" s="435">
        <f t="shared" si="18"/>
        <v>13.7</v>
      </c>
      <c r="O68" s="435">
        <f t="shared" si="19"/>
        <v>0</v>
      </c>
      <c r="P68" s="435">
        <f t="shared" si="20"/>
        <v>0</v>
      </c>
      <c r="Q68" s="435">
        <f t="shared" si="6"/>
        <v>19.299999999999997</v>
      </c>
      <c r="R68" s="435">
        <f t="shared" si="21"/>
        <v>19.3</v>
      </c>
      <c r="S68" s="424">
        <f t="shared" si="7"/>
        <v>0.99999999999999978</v>
      </c>
      <c r="T68" s="514">
        <f>INDEX($A$3:$AM$40,MATCH(Generation_Entsoe_SFS_2018[[#This Row],[Country]],$A$3:$A$40,0),MATCH(Generation_Entsoe_SFS_2018[[#Headers],[Consumption]],$A$1:$AM$1,0))</f>
        <v>19.3</v>
      </c>
      <c r="U68" s="514">
        <f>INDEX($A$3:$AM$40,MATCH(Generation_Entsoe_SFS_2018[[#This Row],[Country]],$A$3:$A$40,0),MATCH(Generation_Entsoe_SFS_2018[[#Headers],[Pumping]],$A$1:$AM$1,0))</f>
        <v>0</v>
      </c>
      <c r="W68" s="425" t="str">
        <f t="shared" si="8"/>
        <v>IS</v>
      </c>
      <c r="X68" s="366">
        <f t="shared" si="9"/>
        <v>2018</v>
      </c>
      <c r="Y68" s="366" t="s">
        <v>648</v>
      </c>
      <c r="Z68" s="550">
        <f>IFERROR(Generation_Entsoe_SFS_2018[[#This Row],[Nuclear]]/'Capacity_Entsoe_SFS_2018'!D70*10^6,0)</f>
        <v>0</v>
      </c>
      <c r="AA68" s="550">
        <f>IFERROR(Generation_Entsoe_SFS_2018[[#This Row],[Lignite]]/'Capacity_Entsoe_SFS_2018'!E70*10^6,0)</f>
        <v>0</v>
      </c>
      <c r="AB68" s="550">
        <f>IFERROR(Generation_Entsoe_SFS_2018[[#This Row],[Hard coal]]/'Capacity_Entsoe_SFS_2018'!F70*10^6,0)</f>
        <v>0</v>
      </c>
      <c r="AC68" s="550">
        <f>IFERROR(Generation_Entsoe_SFS_2018[[#This Row],[Fossil gases]]/'Capacity_Entsoe_SFS_2018'!G70*10^6,0)</f>
        <v>0</v>
      </c>
      <c r="AD68" s="550">
        <f>IFERROR(Generation_Entsoe_SFS_2018[[#This Row],[Other fossil fuels]]/'Capacity_Entsoe_SFS_2018'!H70*10^6,0)</f>
        <v>0</v>
      </c>
      <c r="AE68" s="550">
        <f>IFERROR(Generation_Entsoe_SFS_2018[[#This Row],[Wind onshore]]/'Capacity_Entsoe_SFS_2018'!I70*10^6,0)</f>
        <v>0</v>
      </c>
      <c r="AF68" s="550">
        <f>IFERROR(Generation_Entsoe_SFS_2018[[#This Row],[Wind offshore]]/'Capacity_Entsoe_SFS_2018'!J70*10^6,0)</f>
        <v>0</v>
      </c>
      <c r="AG68" s="550">
        <f>IFERROR(Generation_Entsoe_SFS_2018[[#This Row],[Solar PV]]/'Capacity_Entsoe_SFS_2018'!K70*10^6,0)</f>
        <v>0</v>
      </c>
      <c r="AH68" s="550">
        <f>IFERROR(Generation_Entsoe_SFS_2018[[#This Row],[Bioenergy]]/'Capacity_Entsoe_SFS_2018'!L70*10^6,0)</f>
        <v>0</v>
      </c>
      <c r="AI68" s="550">
        <f>IFERROR(Generation_Entsoe_SFS_2018[[#This Row],[Other RES]]/'Capacity_Entsoe_SFS_2018'!M70*10^6,0)</f>
        <v>7486.6310160427802</v>
      </c>
      <c r="AJ68" s="550">
        <f>IFERROR(Generation_Entsoe_SFS_2018[[#This Row],[Renewable Hydro]]/'Capacity_Entsoe_SFS_2018'!N70*10^6,0)</f>
        <v>6943.7404967055245</v>
      </c>
      <c r="AK68" s="550">
        <f>IFERROR(Generation_Entsoe_SFS_2018[[#This Row],[Pumped Hydro]]/'Capacity_Entsoe_SFS_2018'!O70*10^6,0)</f>
        <v>0</v>
      </c>
      <c r="AL68" s="550">
        <f>IFERROR(Generation_Entsoe_SFS_2018[[#This Row],[Other sources]]/'Capacity_Entsoe_SFS_2018'!P70*10^6,0)</f>
        <v>0</v>
      </c>
      <c r="AM68" s="107"/>
      <c r="AN68" s="107"/>
      <c r="DH68" s="168"/>
      <c r="DI68" s="168"/>
      <c r="DJ68" s="168"/>
    </row>
    <row r="69" spans="1:114" x14ac:dyDescent="0.2">
      <c r="A69" s="425" t="str">
        <f t="shared" si="1"/>
        <v>IT</v>
      </c>
      <c r="B69" s="366">
        <f t="shared" si="2"/>
        <v>2018</v>
      </c>
      <c r="C69" s="366" t="str">
        <f t="shared" si="10"/>
        <v>TWh</v>
      </c>
      <c r="D69" s="435">
        <f t="shared" si="3"/>
        <v>0</v>
      </c>
      <c r="E69" s="435">
        <f t="shared" si="11"/>
        <v>0</v>
      </c>
      <c r="F69" s="435">
        <f t="shared" si="12"/>
        <v>28.8</v>
      </c>
      <c r="G69" s="435">
        <f t="shared" si="13"/>
        <v>126.2</v>
      </c>
      <c r="H69" s="435">
        <f t="shared" si="14"/>
        <v>3.6</v>
      </c>
      <c r="I69" s="435">
        <f t="shared" si="4"/>
        <v>17.3</v>
      </c>
      <c r="J69" s="435">
        <f t="shared" si="5"/>
        <v>0</v>
      </c>
      <c r="K69" s="435">
        <f t="shared" si="15"/>
        <v>22.9</v>
      </c>
      <c r="L69" s="435">
        <f t="shared" si="16"/>
        <v>14.899999999999999</v>
      </c>
      <c r="M69" s="435">
        <f t="shared" si="17"/>
        <v>7.8000000000000007</v>
      </c>
      <c r="N69" s="435">
        <f t="shared" si="18"/>
        <v>47.1</v>
      </c>
      <c r="O69" s="435">
        <f t="shared" si="19"/>
        <v>2.4</v>
      </c>
      <c r="P69" s="435">
        <f t="shared" si="20"/>
        <v>9.3000000000000007</v>
      </c>
      <c r="Q69" s="435">
        <f t="shared" si="6"/>
        <v>280.3</v>
      </c>
      <c r="R69" s="435">
        <f t="shared" si="21"/>
        <v>280.5</v>
      </c>
      <c r="S69" s="424">
        <f t="shared" si="7"/>
        <v>0.99928698752228173</v>
      </c>
      <c r="T69" s="514">
        <f>INDEX($A$3:$AM$40,MATCH(Generation_Entsoe_SFS_2018[[#This Row],[Country]],$A$3:$A$40,0),MATCH(Generation_Entsoe_SFS_2018[[#Headers],[Consumption]],$A$1:$AM$1,0))</f>
        <v>322.2</v>
      </c>
      <c r="U69" s="514">
        <f>INDEX($A$3:$AM$40,MATCH(Generation_Entsoe_SFS_2018[[#This Row],[Country]],$A$3:$A$40,0),MATCH(Generation_Entsoe_SFS_2018[[#Headers],[Pumping]],$A$1:$AM$1,0))</f>
        <v>2.2000000000000002</v>
      </c>
      <c r="W69" s="425" t="str">
        <f t="shared" si="8"/>
        <v>IT</v>
      </c>
      <c r="X69" s="366">
        <f t="shared" si="9"/>
        <v>2018</v>
      </c>
      <c r="Y69" s="366" t="s">
        <v>648</v>
      </c>
      <c r="Z69" s="550">
        <f>IFERROR(Generation_Entsoe_SFS_2018[[#This Row],[Nuclear]]/'Capacity_Entsoe_SFS_2018'!D71*10^6,0)</f>
        <v>0</v>
      </c>
      <c r="AA69" s="550">
        <f>IFERROR(Generation_Entsoe_SFS_2018[[#This Row],[Lignite]]/'Capacity_Entsoe_SFS_2018'!E71*10^6,0)</f>
        <v>0</v>
      </c>
      <c r="AB69" s="550">
        <f>IFERROR(Generation_Entsoe_SFS_2018[[#This Row],[Hard coal]]/'Capacity_Entsoe_SFS_2018'!F71*10^6,0)</f>
        <v>4469.2737430167599</v>
      </c>
      <c r="AC69" s="550">
        <f>IFERROR(Generation_Entsoe_SFS_2018[[#This Row],[Fossil gases]]/'Capacity_Entsoe_SFS_2018'!G71*10^6,0)</f>
        <v>2422.9159467035288</v>
      </c>
      <c r="AD69" s="550">
        <f>IFERROR(Generation_Entsoe_SFS_2018[[#This Row],[Other fossil fuels]]/'Capacity_Entsoe_SFS_2018'!H71*10^6,0)</f>
        <v>418.65333178276546</v>
      </c>
      <c r="AE69" s="550">
        <f>IFERROR(Generation_Entsoe_SFS_2018[[#This Row],[Wind onshore]]/'Capacity_Entsoe_SFS_2018'!I71*10^6,0)</f>
        <v>1677.9825412221146</v>
      </c>
      <c r="AF69" s="550">
        <f>IFERROR(Generation_Entsoe_SFS_2018[[#This Row],[Wind offshore]]/'Capacity_Entsoe_SFS_2018'!J71*10^6,0)</f>
        <v>0</v>
      </c>
      <c r="AG69" s="550">
        <f>IFERROR(Generation_Entsoe_SFS_2018[[#This Row],[Solar PV]]/'Capacity_Entsoe_SFS_2018'!K71*10^6,0)</f>
        <v>1138.1709741550694</v>
      </c>
      <c r="AH69" s="550">
        <f>IFERROR(Generation_Entsoe_SFS_2018[[#This Row],[Bioenergy]]/'Capacity_Entsoe_SFS_2018'!L71*10^6,0)</f>
        <v>5078.3912747102922</v>
      </c>
      <c r="AI69" s="550">
        <f>IFERROR(Generation_Entsoe_SFS_2018[[#This Row],[Other RES]]/'Capacity_Entsoe_SFS_2018'!M71*10^6,0)</f>
        <v>6351.7915309446262</v>
      </c>
      <c r="AJ69" s="550">
        <f>IFERROR(Generation_Entsoe_SFS_2018[[#This Row],[Renewable Hydro]]/'Capacity_Entsoe_SFS_2018'!N71*10^6,0)</f>
        <v>2146.274777853725</v>
      </c>
      <c r="AK69" s="550">
        <f>IFERROR(Generation_Entsoe_SFS_2018[[#This Row],[Pumped Hydro]]/'Capacity_Entsoe_SFS_2018'!O71*10^6,0)</f>
        <v>504.9442457395329</v>
      </c>
      <c r="AL69" s="550">
        <f>IFERROR(Generation_Entsoe_SFS_2018[[#This Row],[Other sources]]/'Capacity_Entsoe_SFS_2018'!P71*10^6,0)</f>
        <v>3694.8748510131109</v>
      </c>
      <c r="AM69" s="107"/>
      <c r="AN69" s="107"/>
      <c r="DH69" s="168"/>
      <c r="DI69" s="168"/>
      <c r="DJ69" s="168"/>
    </row>
    <row r="70" spans="1:114" x14ac:dyDescent="0.2">
      <c r="A70" s="425" t="str">
        <f t="shared" si="1"/>
        <v>LT</v>
      </c>
      <c r="B70" s="366">
        <f t="shared" si="2"/>
        <v>2018</v>
      </c>
      <c r="C70" s="366" t="str">
        <f t="shared" si="10"/>
        <v>TWh</v>
      </c>
      <c r="D70" s="435">
        <f t="shared" si="3"/>
        <v>0</v>
      </c>
      <c r="E70" s="435">
        <f t="shared" si="11"/>
        <v>0</v>
      </c>
      <c r="F70" s="435">
        <f t="shared" si="12"/>
        <v>0</v>
      </c>
      <c r="G70" s="435">
        <f t="shared" si="13"/>
        <v>0.3</v>
      </c>
      <c r="H70" s="435">
        <f t="shared" si="14"/>
        <v>0.1</v>
      </c>
      <c r="I70" s="435">
        <f t="shared" si="4"/>
        <v>1.1000000000000001</v>
      </c>
      <c r="J70" s="435">
        <f t="shared" si="5"/>
        <v>0</v>
      </c>
      <c r="K70" s="435">
        <f t="shared" si="15"/>
        <v>0.1</v>
      </c>
      <c r="L70" s="435">
        <f t="shared" si="16"/>
        <v>0.30000000000000004</v>
      </c>
      <c r="M70" s="435">
        <f t="shared" si="17"/>
        <v>0.1</v>
      </c>
      <c r="N70" s="435">
        <f t="shared" si="18"/>
        <v>0.4</v>
      </c>
      <c r="O70" s="435">
        <f t="shared" si="19"/>
        <v>0.5</v>
      </c>
      <c r="P70" s="435">
        <f t="shared" si="20"/>
        <v>0.30000000000000004</v>
      </c>
      <c r="Q70" s="435">
        <f t="shared" si="6"/>
        <v>3.2</v>
      </c>
      <c r="R70" s="435">
        <f t="shared" si="21"/>
        <v>3.2</v>
      </c>
      <c r="S70" s="424">
        <f t="shared" si="7"/>
        <v>1</v>
      </c>
      <c r="T70" s="514">
        <f>INDEX($A$3:$AM$40,MATCH(Generation_Entsoe_SFS_2018[[#This Row],[Country]],$A$3:$A$40,0),MATCH(Generation_Entsoe_SFS_2018[[#Headers],[Consumption]],$A$1:$AM$1,0))</f>
        <v>12.1</v>
      </c>
      <c r="U70" s="514">
        <f>INDEX($A$3:$AM$40,MATCH(Generation_Entsoe_SFS_2018[[#This Row],[Country]],$A$3:$A$40,0),MATCH(Generation_Entsoe_SFS_2018[[#Headers],[Pumping]],$A$1:$AM$1,0))</f>
        <v>0.7</v>
      </c>
      <c r="W70" s="425" t="str">
        <f t="shared" si="8"/>
        <v>LT</v>
      </c>
      <c r="X70" s="366">
        <f t="shared" si="9"/>
        <v>2018</v>
      </c>
      <c r="Y70" s="366" t="s">
        <v>648</v>
      </c>
      <c r="Z70" s="550">
        <f>IFERROR(Generation_Entsoe_SFS_2018[[#This Row],[Nuclear]]/'Capacity_Entsoe_SFS_2018'!D72*10^6,0)</f>
        <v>0</v>
      </c>
      <c r="AA70" s="550">
        <f>IFERROR(Generation_Entsoe_SFS_2018[[#This Row],[Lignite]]/'Capacity_Entsoe_SFS_2018'!E72*10^6,0)</f>
        <v>0</v>
      </c>
      <c r="AB70" s="550">
        <f>IFERROR(Generation_Entsoe_SFS_2018[[#This Row],[Hard coal]]/'Capacity_Entsoe_SFS_2018'!F72*10^6,0)</f>
        <v>0</v>
      </c>
      <c r="AC70" s="550">
        <f>IFERROR(Generation_Entsoe_SFS_2018[[#This Row],[Fossil gases]]/'Capacity_Entsoe_SFS_2018'!G72*10^6,0)</f>
        <v>528.16901408450701</v>
      </c>
      <c r="AD70" s="550">
        <f>IFERROR(Generation_Entsoe_SFS_2018[[#This Row],[Other fossil fuels]]/'Capacity_Entsoe_SFS_2018'!H72*10^6,0)</f>
        <v>83.892617449664442</v>
      </c>
      <c r="AE70" s="550">
        <f>IFERROR(Generation_Entsoe_SFS_2018[[#This Row],[Wind onshore]]/'Capacity_Entsoe_SFS_2018'!I72*10^6,0)</f>
        <v>2063.7898686679173</v>
      </c>
      <c r="AF70" s="550">
        <f>IFERROR(Generation_Entsoe_SFS_2018[[#This Row],[Wind offshore]]/'Capacity_Entsoe_SFS_2018'!J72*10^6,0)</f>
        <v>0</v>
      </c>
      <c r="AG70" s="550">
        <f>IFERROR(Generation_Entsoe_SFS_2018[[#This Row],[Solar PV]]/'Capacity_Entsoe_SFS_2018'!K72*10^6,0)</f>
        <v>1204.8192771084339</v>
      </c>
      <c r="AH70" s="550">
        <f>IFERROR(Generation_Entsoe_SFS_2018[[#This Row],[Bioenergy]]/'Capacity_Entsoe_SFS_2018'!L72*10^6,0)</f>
        <v>3225.8064516129039</v>
      </c>
      <c r="AI70" s="550">
        <f>IFERROR(Generation_Entsoe_SFS_2018[[#This Row],[Other RES]]/'Capacity_Entsoe_SFS_2018'!M72*10^6,0)</f>
        <v>0</v>
      </c>
      <c r="AJ70" s="550">
        <f>IFERROR(Generation_Entsoe_SFS_2018[[#This Row],[Renewable Hydro]]/'Capacity_Entsoe_SFS_2018'!N72*10^6,0)</f>
        <v>3149.606299212599</v>
      </c>
      <c r="AK70" s="550">
        <f>IFERROR(Generation_Entsoe_SFS_2018[[#This Row],[Pumped Hydro]]/'Capacity_Entsoe_SFS_2018'!O72*10^6,0)</f>
        <v>555.55555555555554</v>
      </c>
      <c r="AL70" s="550">
        <f>IFERROR(Generation_Entsoe_SFS_2018[[#This Row],[Other sources]]/'Capacity_Entsoe_SFS_2018'!P72*10^6,0)</f>
        <v>5263.1578947368425</v>
      </c>
      <c r="AM70" s="107"/>
      <c r="AN70" s="107"/>
      <c r="DH70" s="168"/>
      <c r="DI70" s="168"/>
      <c r="DJ70" s="168"/>
    </row>
    <row r="71" spans="1:114" x14ac:dyDescent="0.2">
      <c r="A71" s="425" t="str">
        <f t="shared" si="1"/>
        <v>LU</v>
      </c>
      <c r="B71" s="366">
        <f t="shared" si="2"/>
        <v>2018</v>
      </c>
      <c r="C71" s="366" t="str">
        <f t="shared" si="10"/>
        <v>TWh</v>
      </c>
      <c r="D71" s="435">
        <f t="shared" si="3"/>
        <v>0</v>
      </c>
      <c r="E71" s="435">
        <f t="shared" si="11"/>
        <v>0</v>
      </c>
      <c r="F71" s="435">
        <f t="shared" si="12"/>
        <v>0</v>
      </c>
      <c r="G71" s="435">
        <f t="shared" si="13"/>
        <v>0.2</v>
      </c>
      <c r="H71" s="435">
        <f t="shared" si="14"/>
        <v>0</v>
      </c>
      <c r="I71" s="435">
        <f t="shared" si="4"/>
        <v>0.3</v>
      </c>
      <c r="J71" s="435">
        <f t="shared" si="5"/>
        <v>0</v>
      </c>
      <c r="K71" s="435">
        <f t="shared" si="15"/>
        <v>0.1</v>
      </c>
      <c r="L71" s="435">
        <f t="shared" si="16"/>
        <v>0.1</v>
      </c>
      <c r="M71" s="435">
        <f t="shared" si="17"/>
        <v>0</v>
      </c>
      <c r="N71" s="435">
        <f t="shared" si="18"/>
        <v>0.1</v>
      </c>
      <c r="O71" s="435">
        <f t="shared" si="19"/>
        <v>1.2</v>
      </c>
      <c r="P71" s="435">
        <f t="shared" si="20"/>
        <v>0.1</v>
      </c>
      <c r="Q71" s="435">
        <f t="shared" si="6"/>
        <v>2.1</v>
      </c>
      <c r="R71" s="435">
        <f t="shared" si="21"/>
        <v>2</v>
      </c>
      <c r="S71" s="424">
        <f t="shared" si="7"/>
        <v>1.05</v>
      </c>
      <c r="T71" s="514">
        <f>INDEX($A$3:$AM$40,MATCH(Generation_Entsoe_SFS_2018[[#This Row],[Country]],$A$3:$A$40,0),MATCH(Generation_Entsoe_SFS_2018[[#Headers],[Consumption]],$A$1:$AM$1,0))</f>
        <v>6.4</v>
      </c>
      <c r="U71" s="514">
        <f>INDEX($A$3:$AM$40,MATCH(Generation_Entsoe_SFS_2018[[#This Row],[Country]],$A$3:$A$40,0),MATCH(Generation_Entsoe_SFS_2018[[#Headers],[Pumping]],$A$1:$AM$1,0))</f>
        <v>1.7</v>
      </c>
      <c r="W71" s="425" t="str">
        <f t="shared" si="8"/>
        <v>LU</v>
      </c>
      <c r="X71" s="366">
        <f t="shared" si="9"/>
        <v>2018</v>
      </c>
      <c r="Y71" s="366" t="s">
        <v>648</v>
      </c>
      <c r="Z71" s="550">
        <f>IFERROR(Generation_Entsoe_SFS_2018[[#This Row],[Nuclear]]/'Capacity_Entsoe_SFS_2018'!D73*10^6,0)</f>
        <v>0</v>
      </c>
      <c r="AA71" s="550">
        <f>IFERROR(Generation_Entsoe_SFS_2018[[#This Row],[Lignite]]/'Capacity_Entsoe_SFS_2018'!E73*10^6,0)</f>
        <v>0</v>
      </c>
      <c r="AB71" s="550">
        <f>IFERROR(Generation_Entsoe_SFS_2018[[#This Row],[Hard coal]]/'Capacity_Entsoe_SFS_2018'!F73*10^6,0)</f>
        <v>0</v>
      </c>
      <c r="AC71" s="550">
        <f>IFERROR(Generation_Entsoe_SFS_2018[[#This Row],[Fossil gases]]/'Capacity_Entsoe_SFS_2018'!G73*10^6,0)</f>
        <v>1470.5882352941176</v>
      </c>
      <c r="AD71" s="550">
        <f>IFERROR(Generation_Entsoe_SFS_2018[[#This Row],[Other fossil fuels]]/'Capacity_Entsoe_SFS_2018'!H73*10^6,0)</f>
        <v>0</v>
      </c>
      <c r="AE71" s="550">
        <f>IFERROR(Generation_Entsoe_SFS_2018[[#This Row],[Wind onshore]]/'Capacity_Entsoe_SFS_2018'!I73*10^6,0)</f>
        <v>2500</v>
      </c>
      <c r="AF71" s="550">
        <f>IFERROR(Generation_Entsoe_SFS_2018[[#This Row],[Wind offshore]]/'Capacity_Entsoe_SFS_2018'!J73*10^6,0)</f>
        <v>0</v>
      </c>
      <c r="AG71" s="550">
        <f>IFERROR(Generation_Entsoe_SFS_2018[[#This Row],[Solar PV]]/'Capacity_Entsoe_SFS_2018'!K73*10^6,0)</f>
        <v>781.25</v>
      </c>
      <c r="AH71" s="553">
        <f>IFERROR(Generation_Entsoe_SFS_2018[[#This Row],[Bioenergy]]/'Capacity_Entsoe_SFS_2018'!L73*10^6,0)</f>
        <v>9090.9090909090919</v>
      </c>
      <c r="AI71" s="550">
        <f>IFERROR(Generation_Entsoe_SFS_2018[[#This Row],[Other RES]]/'Capacity_Entsoe_SFS_2018'!M73*10^6,0)</f>
        <v>0</v>
      </c>
      <c r="AJ71" s="550">
        <f>IFERROR(Generation_Entsoe_SFS_2018[[#This Row],[Renewable Hydro]]/'Capacity_Entsoe_SFS_2018'!N73*10^6,0)</f>
        <v>3125</v>
      </c>
      <c r="AK71" s="550">
        <f>IFERROR(Generation_Entsoe_SFS_2018[[#This Row],[Pumped Hydro]]/'Capacity_Entsoe_SFS_2018'!O73*10^6,0)</f>
        <v>925.92592592592587</v>
      </c>
      <c r="AL71" s="550">
        <f>IFERROR(Generation_Entsoe_SFS_2018[[#This Row],[Other sources]]/'Capacity_Entsoe_SFS_2018'!P73*10^6,0)</f>
        <v>4761.9047619047624</v>
      </c>
      <c r="AM71" s="107"/>
      <c r="AN71" s="107"/>
      <c r="DH71" s="168"/>
      <c r="DI71" s="168"/>
      <c r="DJ71" s="168"/>
    </row>
    <row r="72" spans="1:114" x14ac:dyDescent="0.2">
      <c r="A72" s="425" t="str">
        <f t="shared" si="1"/>
        <v>LV</v>
      </c>
      <c r="B72" s="366">
        <f t="shared" si="2"/>
        <v>2018</v>
      </c>
      <c r="C72" s="366" t="str">
        <f t="shared" si="10"/>
        <v>TWh</v>
      </c>
      <c r="D72" s="435">
        <f t="shared" si="3"/>
        <v>0</v>
      </c>
      <c r="E72" s="435">
        <f t="shared" si="11"/>
        <v>0</v>
      </c>
      <c r="F72" s="435">
        <f t="shared" si="12"/>
        <v>0</v>
      </c>
      <c r="G72" s="435">
        <f t="shared" si="13"/>
        <v>2.6</v>
      </c>
      <c r="H72" s="435">
        <f t="shared" si="14"/>
        <v>0.5</v>
      </c>
      <c r="I72" s="435">
        <f t="shared" si="4"/>
        <v>0.1</v>
      </c>
      <c r="J72" s="435">
        <f t="shared" si="5"/>
        <v>0</v>
      </c>
      <c r="K72" s="435">
        <f t="shared" si="15"/>
        <v>0</v>
      </c>
      <c r="L72" s="435">
        <f t="shared" si="16"/>
        <v>0.9</v>
      </c>
      <c r="M72" s="435">
        <f t="shared" si="17"/>
        <v>0</v>
      </c>
      <c r="N72" s="435">
        <f t="shared" si="18"/>
        <v>2.4</v>
      </c>
      <c r="O72" s="435">
        <f t="shared" si="19"/>
        <v>0</v>
      </c>
      <c r="P72" s="435">
        <f t="shared" si="20"/>
        <v>0</v>
      </c>
      <c r="Q72" s="435">
        <f t="shared" si="6"/>
        <v>6.5</v>
      </c>
      <c r="R72" s="435">
        <f t="shared" si="21"/>
        <v>6.5</v>
      </c>
      <c r="S72" s="424">
        <f t="shared" si="7"/>
        <v>1</v>
      </c>
      <c r="T72" s="514">
        <f>INDEX($A$3:$AM$40,MATCH(Generation_Entsoe_SFS_2018[[#This Row],[Country]],$A$3:$A$40,0),MATCH(Generation_Entsoe_SFS_2018[[#Headers],[Consumption]],$A$1:$AM$1,0))</f>
        <v>7.4</v>
      </c>
      <c r="U72" s="514">
        <f>INDEX($A$3:$AM$40,MATCH(Generation_Entsoe_SFS_2018[[#This Row],[Country]],$A$3:$A$40,0),MATCH(Generation_Entsoe_SFS_2018[[#Headers],[Pumping]],$A$1:$AM$1,0))</f>
        <v>0</v>
      </c>
      <c r="W72" s="425" t="str">
        <f t="shared" si="8"/>
        <v>LV</v>
      </c>
      <c r="X72" s="366">
        <f t="shared" si="9"/>
        <v>2018</v>
      </c>
      <c r="Y72" s="366" t="s">
        <v>648</v>
      </c>
      <c r="Z72" s="550">
        <f>IFERROR(Generation_Entsoe_SFS_2018[[#This Row],[Nuclear]]/'Capacity_Entsoe_SFS_2018'!D74*10^6,0)</f>
        <v>0</v>
      </c>
      <c r="AA72" s="550">
        <f>IFERROR(Generation_Entsoe_SFS_2018[[#This Row],[Lignite]]/'Capacity_Entsoe_SFS_2018'!E74*10^6,0)</f>
        <v>0</v>
      </c>
      <c r="AB72" s="550">
        <f>IFERROR(Generation_Entsoe_SFS_2018[[#This Row],[Hard coal]]/'Capacity_Entsoe_SFS_2018'!F74*10^6,0)</f>
        <v>0</v>
      </c>
      <c r="AC72" s="550">
        <f>IFERROR(Generation_Entsoe_SFS_2018[[#This Row],[Fossil gases]]/'Capacity_Entsoe_SFS_2018'!G74*10^6,0)</f>
        <v>2521.8234723569353</v>
      </c>
      <c r="AD72" s="550">
        <f>IFERROR(Generation_Entsoe_SFS_2018[[#This Row],[Other fossil fuels]]/'Capacity_Entsoe_SFS_2018'!H74*10^6,0)</f>
        <v>5555.5555555555557</v>
      </c>
      <c r="AE72" s="550">
        <f>IFERROR(Generation_Entsoe_SFS_2018[[#This Row],[Wind onshore]]/'Capacity_Entsoe_SFS_2018'!I74*10^6,0)</f>
        <v>1298.7012987012988</v>
      </c>
      <c r="AF72" s="550">
        <f>IFERROR(Generation_Entsoe_SFS_2018[[#This Row],[Wind offshore]]/'Capacity_Entsoe_SFS_2018'!J74*10^6,0)</f>
        <v>0</v>
      </c>
      <c r="AG72" s="550">
        <f>IFERROR(Generation_Entsoe_SFS_2018[[#This Row],[Solar PV]]/'Capacity_Entsoe_SFS_2018'!K74*10^6,0)</f>
        <v>0</v>
      </c>
      <c r="AH72" s="553">
        <f>IFERROR(Generation_Entsoe_SFS_2018[[#This Row],[Bioenergy]]/'Capacity_Entsoe_SFS_2018'!L74*10^6,0)</f>
        <v>12162.162162162163</v>
      </c>
      <c r="AI72" s="550">
        <f>IFERROR(Generation_Entsoe_SFS_2018[[#This Row],[Other RES]]/'Capacity_Entsoe_SFS_2018'!M74*10^6,0)</f>
        <v>0</v>
      </c>
      <c r="AJ72" s="550">
        <f>IFERROR(Generation_Entsoe_SFS_2018[[#This Row],[Renewable Hydro]]/'Capacity_Entsoe_SFS_2018'!N74*10^6,0)</f>
        <v>1541.4258188824663</v>
      </c>
      <c r="AK72" s="550">
        <f>IFERROR(Generation_Entsoe_SFS_2018[[#This Row],[Pumped Hydro]]/'Capacity_Entsoe_SFS_2018'!O74*10^6,0)</f>
        <v>0</v>
      </c>
      <c r="AL72" s="550">
        <f>IFERROR(Generation_Entsoe_SFS_2018[[#This Row],[Other sources]]/'Capacity_Entsoe_SFS_2018'!P74*10^6,0)</f>
        <v>0</v>
      </c>
      <c r="AM72" s="107"/>
      <c r="AN72" s="107"/>
      <c r="DH72" s="168"/>
      <c r="DI72" s="168"/>
      <c r="DJ72" s="168"/>
    </row>
    <row r="73" spans="1:114" x14ac:dyDescent="0.2">
      <c r="A73" s="425" t="str">
        <f t="shared" si="1"/>
        <v>ME</v>
      </c>
      <c r="B73" s="366">
        <f t="shared" si="2"/>
        <v>2018</v>
      </c>
      <c r="C73" s="366" t="str">
        <f t="shared" si="10"/>
        <v>TWh</v>
      </c>
      <c r="D73" s="435">
        <f t="shared" si="3"/>
        <v>0</v>
      </c>
      <c r="E73" s="435">
        <f t="shared" si="11"/>
        <v>1.4</v>
      </c>
      <c r="F73" s="435">
        <f t="shared" si="12"/>
        <v>0</v>
      </c>
      <c r="G73" s="435">
        <f t="shared" si="13"/>
        <v>0</v>
      </c>
      <c r="H73" s="435">
        <f t="shared" si="14"/>
        <v>0</v>
      </c>
      <c r="I73" s="435">
        <f t="shared" si="4"/>
        <v>0.2</v>
      </c>
      <c r="J73" s="435">
        <f t="shared" si="5"/>
        <v>0</v>
      </c>
      <c r="K73" s="435">
        <f t="shared" si="15"/>
        <v>0</v>
      </c>
      <c r="L73" s="435">
        <f t="shared" si="16"/>
        <v>0</v>
      </c>
      <c r="M73" s="435">
        <f t="shared" si="17"/>
        <v>0</v>
      </c>
      <c r="N73" s="435">
        <f t="shared" si="18"/>
        <v>0</v>
      </c>
      <c r="O73" s="435">
        <f t="shared" si="19"/>
        <v>2</v>
      </c>
      <c r="P73" s="435">
        <f t="shared" si="20"/>
        <v>0</v>
      </c>
      <c r="Q73" s="435">
        <f t="shared" si="6"/>
        <v>3.5999999999999996</v>
      </c>
      <c r="R73" s="435">
        <f t="shared" si="21"/>
        <v>3.6</v>
      </c>
      <c r="S73" s="424">
        <f t="shared" si="7"/>
        <v>0.99999999999999989</v>
      </c>
      <c r="T73" s="514">
        <f>INDEX($A$3:$AM$40,MATCH(Generation_Entsoe_SFS_2018[[#This Row],[Country]],$A$3:$A$40,0),MATCH(Generation_Entsoe_SFS_2018[[#Headers],[Consumption]],$A$1:$AM$1,0))</f>
        <v>3.4</v>
      </c>
      <c r="U73" s="514">
        <f>INDEX($A$3:$AM$40,MATCH(Generation_Entsoe_SFS_2018[[#This Row],[Country]],$A$3:$A$40,0),MATCH(Generation_Entsoe_SFS_2018[[#Headers],[Pumping]],$A$1:$AM$1,0))</f>
        <v>0</v>
      </c>
      <c r="W73" s="425" t="str">
        <f t="shared" si="8"/>
        <v>ME</v>
      </c>
      <c r="X73" s="366">
        <f t="shared" si="9"/>
        <v>2018</v>
      </c>
      <c r="Y73" s="366" t="s">
        <v>648</v>
      </c>
      <c r="Z73" s="550">
        <f>IFERROR(Generation_Entsoe_SFS_2018[[#This Row],[Nuclear]]/'Capacity_Entsoe_SFS_2018'!D75*10^6,0)</f>
        <v>0</v>
      </c>
      <c r="AA73" s="550">
        <f>IFERROR(Generation_Entsoe_SFS_2018[[#This Row],[Lignite]]/'Capacity_Entsoe_SFS_2018'!E75*10^6,0)</f>
        <v>6363.6363636363631</v>
      </c>
      <c r="AB73" s="550">
        <f>IFERROR(Generation_Entsoe_SFS_2018[[#This Row],[Hard coal]]/'Capacity_Entsoe_SFS_2018'!F75*10^6,0)</f>
        <v>0</v>
      </c>
      <c r="AC73" s="550">
        <f>IFERROR(Generation_Entsoe_SFS_2018[[#This Row],[Fossil gases]]/'Capacity_Entsoe_SFS_2018'!G75*10^6,0)</f>
        <v>0</v>
      </c>
      <c r="AD73" s="550">
        <f>IFERROR(Generation_Entsoe_SFS_2018[[#This Row],[Other fossil fuels]]/'Capacity_Entsoe_SFS_2018'!H75*10^6,0)</f>
        <v>0</v>
      </c>
      <c r="AE73" s="550">
        <f>IFERROR(Generation_Entsoe_SFS_2018[[#This Row],[Wind onshore]]/'Capacity_Entsoe_SFS_2018'!I75*10^6,0)</f>
        <v>2777.7777777777778</v>
      </c>
      <c r="AF73" s="550">
        <f>IFERROR(Generation_Entsoe_SFS_2018[[#This Row],[Wind offshore]]/'Capacity_Entsoe_SFS_2018'!J75*10^6,0)</f>
        <v>0</v>
      </c>
      <c r="AG73" s="550">
        <f>IFERROR(Generation_Entsoe_SFS_2018[[#This Row],[Solar PV]]/'Capacity_Entsoe_SFS_2018'!K75*10^6,0)</f>
        <v>0</v>
      </c>
      <c r="AH73" s="550">
        <f>IFERROR(Generation_Entsoe_SFS_2018[[#This Row],[Bioenergy]]/'Capacity_Entsoe_SFS_2018'!L75*10^6,0)</f>
        <v>0</v>
      </c>
      <c r="AI73" s="550">
        <f>IFERROR(Generation_Entsoe_SFS_2018[[#This Row],[Other RES]]/'Capacity_Entsoe_SFS_2018'!M75*10^6,0)</f>
        <v>0</v>
      </c>
      <c r="AJ73" s="553">
        <f>IFERROR(Generation_Entsoe_SFS_2018[[#This Row],[Renewable Hydro]]/'Capacity_Entsoe_SFS_2018'!N75*10^6,0)</f>
        <v>0</v>
      </c>
      <c r="AK73" s="553">
        <f>IFERROR(Generation_Entsoe_SFS_2018[[#This Row],[Pumped Hydro]]/'Capacity_Entsoe_SFS_2018'!O75*10^6,0)</f>
        <v>3030.3030303030305</v>
      </c>
      <c r="AL73" s="550">
        <f>IFERROR(Generation_Entsoe_SFS_2018[[#This Row],[Other sources]]/'Capacity_Entsoe_SFS_2018'!P75*10^6,0)</f>
        <v>0</v>
      </c>
      <c r="AM73" s="107"/>
      <c r="AN73" s="107"/>
      <c r="DH73" s="168"/>
      <c r="DI73" s="168"/>
      <c r="DJ73" s="168"/>
    </row>
    <row r="74" spans="1:114" x14ac:dyDescent="0.2">
      <c r="A74" s="425" t="str">
        <f t="shared" si="1"/>
        <v>MK</v>
      </c>
      <c r="B74" s="366">
        <f t="shared" si="2"/>
        <v>2018</v>
      </c>
      <c r="C74" s="366" t="str">
        <f t="shared" si="10"/>
        <v>TWh</v>
      </c>
      <c r="D74" s="435">
        <f t="shared" si="3"/>
        <v>0</v>
      </c>
      <c r="E74" s="435">
        <f t="shared" si="11"/>
        <v>2.7</v>
      </c>
      <c r="F74" s="435">
        <f t="shared" si="12"/>
        <v>0</v>
      </c>
      <c r="G74" s="435">
        <f t="shared" si="13"/>
        <v>0.7</v>
      </c>
      <c r="H74" s="435">
        <f t="shared" si="14"/>
        <v>0</v>
      </c>
      <c r="I74" s="435">
        <f t="shared" si="4"/>
        <v>0.1</v>
      </c>
      <c r="J74" s="435">
        <f t="shared" si="5"/>
        <v>0</v>
      </c>
      <c r="K74" s="435">
        <f t="shared" si="15"/>
        <v>0</v>
      </c>
      <c r="L74" s="435">
        <f t="shared" si="16"/>
        <v>0.1</v>
      </c>
      <c r="M74" s="435">
        <f t="shared" si="17"/>
        <v>0</v>
      </c>
      <c r="N74" s="435">
        <f t="shared" si="18"/>
        <v>1.5999999999999999</v>
      </c>
      <c r="O74" s="435">
        <f t="shared" si="19"/>
        <v>0</v>
      </c>
      <c r="P74" s="435">
        <f t="shared" si="20"/>
        <v>0</v>
      </c>
      <c r="Q74" s="435">
        <f t="shared" si="6"/>
        <v>5.2</v>
      </c>
      <c r="R74" s="435">
        <f t="shared" si="21"/>
        <v>5.2</v>
      </c>
      <c r="S74" s="424">
        <f t="shared" si="7"/>
        <v>1</v>
      </c>
      <c r="T74" s="514">
        <f>INDEX($A$3:$AM$40,MATCH(Generation_Entsoe_SFS_2018[[#This Row],[Country]],$A$3:$A$40,0),MATCH(Generation_Entsoe_SFS_2018[[#Headers],[Consumption]],$A$1:$AM$1,0))</f>
        <v>7.1</v>
      </c>
      <c r="U74" s="514">
        <f>INDEX($A$3:$AM$40,MATCH(Generation_Entsoe_SFS_2018[[#This Row],[Country]],$A$3:$A$40,0),MATCH(Generation_Entsoe_SFS_2018[[#Headers],[Pumping]],$A$1:$AM$1,0))</f>
        <v>0</v>
      </c>
      <c r="W74" s="425" t="str">
        <f t="shared" si="8"/>
        <v>MK</v>
      </c>
      <c r="X74" s="366">
        <f t="shared" si="9"/>
        <v>2018</v>
      </c>
      <c r="Y74" s="366" t="s">
        <v>648</v>
      </c>
      <c r="Z74" s="550">
        <f>IFERROR(Generation_Entsoe_SFS_2018[[#This Row],[Nuclear]]/'Capacity_Entsoe_SFS_2018'!D76*10^6,0)</f>
        <v>0</v>
      </c>
      <c r="AA74" s="550">
        <f>IFERROR(Generation_Entsoe_SFS_2018[[#This Row],[Lignite]]/'Capacity_Entsoe_SFS_2018'!E76*10^6,0)</f>
        <v>3760.4456824512536</v>
      </c>
      <c r="AB74" s="550">
        <f>IFERROR(Generation_Entsoe_SFS_2018[[#This Row],[Hard coal]]/'Capacity_Entsoe_SFS_2018'!F76*10^6,0)</f>
        <v>0</v>
      </c>
      <c r="AC74" s="550">
        <f>IFERROR(Generation_Entsoe_SFS_2018[[#This Row],[Fossil gases]]/'Capacity_Entsoe_SFS_2018'!G76*10^6,0)</f>
        <v>2800</v>
      </c>
      <c r="AD74" s="550">
        <f>IFERROR(Generation_Entsoe_SFS_2018[[#This Row],[Other fossil fuels]]/'Capacity_Entsoe_SFS_2018'!H76*10^6,0)</f>
        <v>0</v>
      </c>
      <c r="AE74" s="550">
        <f>IFERROR(Generation_Entsoe_SFS_2018[[#This Row],[Wind onshore]]/'Capacity_Entsoe_SFS_2018'!I76*10^6,0)</f>
        <v>2702.7027027027029</v>
      </c>
      <c r="AF74" s="550">
        <f>IFERROR(Generation_Entsoe_SFS_2018[[#This Row],[Wind offshore]]/'Capacity_Entsoe_SFS_2018'!J76*10^6,0)</f>
        <v>0</v>
      </c>
      <c r="AG74" s="550">
        <f>IFERROR(Generation_Entsoe_SFS_2018[[#This Row],[Solar PV]]/'Capacity_Entsoe_SFS_2018'!K76*10^6,0)</f>
        <v>0</v>
      </c>
      <c r="AH74" s="553">
        <f>IFERROR(Generation_Entsoe_SFS_2018[[#This Row],[Bioenergy]]/'Capacity_Entsoe_SFS_2018'!L76*10^6,0)</f>
        <v>14285.714285714286</v>
      </c>
      <c r="AI74" s="550">
        <f>IFERROR(Generation_Entsoe_SFS_2018[[#This Row],[Other RES]]/'Capacity_Entsoe_SFS_2018'!M76*10^6,0)</f>
        <v>0</v>
      </c>
      <c r="AJ74" s="550">
        <f>IFERROR(Generation_Entsoe_SFS_2018[[#This Row],[Renewable Hydro]]/'Capacity_Entsoe_SFS_2018'!N76*10^6,0)</f>
        <v>2366.8639053254433</v>
      </c>
      <c r="AK74" s="550">
        <f>IFERROR(Generation_Entsoe_SFS_2018[[#This Row],[Pumped Hydro]]/'Capacity_Entsoe_SFS_2018'!O76*10^6,0)</f>
        <v>0</v>
      </c>
      <c r="AL74" s="550">
        <f>IFERROR(Generation_Entsoe_SFS_2018[[#This Row],[Other sources]]/'Capacity_Entsoe_SFS_2018'!P76*10^6,0)</f>
        <v>0</v>
      </c>
      <c r="AM74" s="107"/>
      <c r="AN74" s="107"/>
      <c r="DH74" s="168"/>
      <c r="DI74" s="168"/>
      <c r="DJ74" s="168"/>
    </row>
    <row r="75" spans="1:114" x14ac:dyDescent="0.2">
      <c r="A75" s="425" t="str">
        <f t="shared" si="1"/>
        <v>NL</v>
      </c>
      <c r="B75" s="366">
        <f t="shared" si="2"/>
        <v>2018</v>
      </c>
      <c r="C75" s="366" t="str">
        <f t="shared" si="10"/>
        <v>TWh</v>
      </c>
      <c r="D75" s="435">
        <f t="shared" si="3"/>
        <v>2.8</v>
      </c>
      <c r="E75" s="435">
        <f t="shared" si="11"/>
        <v>0</v>
      </c>
      <c r="F75" s="435">
        <f t="shared" si="12"/>
        <v>16.7</v>
      </c>
      <c r="G75" s="435">
        <f t="shared" si="13"/>
        <v>71.400000000000006</v>
      </c>
      <c r="H75" s="435">
        <f t="shared" si="14"/>
        <v>0</v>
      </c>
      <c r="I75" s="435">
        <f t="shared" si="4"/>
        <v>7.4</v>
      </c>
      <c r="J75" s="435">
        <f t="shared" si="5"/>
        <v>3.5</v>
      </c>
      <c r="K75" s="435">
        <f t="shared" si="15"/>
        <v>3.1</v>
      </c>
      <c r="L75" s="435">
        <f t="shared" si="16"/>
        <v>3.5</v>
      </c>
      <c r="M75" s="435">
        <f t="shared" si="17"/>
        <v>0</v>
      </c>
      <c r="N75" s="435">
        <f t="shared" si="18"/>
        <v>0.1</v>
      </c>
      <c r="O75" s="435">
        <f t="shared" si="19"/>
        <v>0</v>
      </c>
      <c r="P75" s="435">
        <f t="shared" si="20"/>
        <v>0</v>
      </c>
      <c r="Q75" s="435">
        <f t="shared" si="6"/>
        <v>108.5</v>
      </c>
      <c r="R75" s="435">
        <f t="shared" si="21"/>
        <v>108.6</v>
      </c>
      <c r="S75" s="424">
        <f t="shared" si="7"/>
        <v>0.99907918968692455</v>
      </c>
      <c r="T75" s="514">
        <f>INDEX($A$3:$AM$40,MATCH(Generation_Entsoe_SFS_2018[[#This Row],[Country]],$A$3:$A$40,0),MATCH(Generation_Entsoe_SFS_2018[[#Headers],[Consumption]],$A$1:$AM$1,0))</f>
        <v>116.5</v>
      </c>
      <c r="U75" s="514">
        <f>INDEX($A$3:$AM$40,MATCH(Generation_Entsoe_SFS_2018[[#This Row],[Country]],$A$3:$A$40,0),MATCH(Generation_Entsoe_SFS_2018[[#Headers],[Pumping]],$A$1:$AM$1,0))</f>
        <v>0</v>
      </c>
      <c r="W75" s="425" t="str">
        <f t="shared" si="8"/>
        <v>NL</v>
      </c>
      <c r="X75" s="366">
        <f t="shared" si="9"/>
        <v>2018</v>
      </c>
      <c r="Y75" s="366" t="s">
        <v>648</v>
      </c>
      <c r="Z75" s="550">
        <f>IFERROR(Generation_Entsoe_SFS_2018[[#This Row],[Nuclear]]/'Capacity_Entsoe_SFS_2018'!D77*10^6,0)</f>
        <v>5761.3168724279831</v>
      </c>
      <c r="AA75" s="550">
        <f>IFERROR(Generation_Entsoe_SFS_2018[[#This Row],[Lignite]]/'Capacity_Entsoe_SFS_2018'!E77*10^6,0)</f>
        <v>0</v>
      </c>
      <c r="AB75" s="550">
        <f>IFERROR(Generation_Entsoe_SFS_2018[[#This Row],[Hard coal]]/'Capacity_Entsoe_SFS_2018'!F77*10^6,0)</f>
        <v>3606.1325847549124</v>
      </c>
      <c r="AC75" s="550">
        <f>IFERROR(Generation_Entsoe_SFS_2018[[#This Row],[Fossil gases]]/'Capacity_Entsoe_SFS_2018'!G77*10^6,0)</f>
        <v>4585.7418111753377</v>
      </c>
      <c r="AD75" s="550">
        <f>IFERROR(Generation_Entsoe_SFS_2018[[#This Row],[Other fossil fuels]]/'Capacity_Entsoe_SFS_2018'!H77*10^6,0)</f>
        <v>0</v>
      </c>
      <c r="AE75" s="550">
        <f>IFERROR(Generation_Entsoe_SFS_2018[[#This Row],[Wind onshore]]/'Capacity_Entsoe_SFS_2018'!I77*10^6,0)</f>
        <v>2016.8983374216409</v>
      </c>
      <c r="AF75" s="550">
        <f>IFERROR(Generation_Entsoe_SFS_2018[[#This Row],[Wind offshore]]/'Capacity_Entsoe_SFS_2018'!J77*10^6,0)</f>
        <v>3657.2622779519334</v>
      </c>
      <c r="AG75" s="550">
        <f>IFERROR(Generation_Entsoe_SFS_2018[[#This Row],[Solar PV]]/'Capacity_Entsoe_SFS_2018'!K77*10^6,0)</f>
        <v>787.40157480314963</v>
      </c>
      <c r="AH75" s="550">
        <f>IFERROR(Generation_Entsoe_SFS_2018[[#This Row],[Bioenergy]]/'Capacity_Entsoe_SFS_2018'!L77*10^6,0)</f>
        <v>7216.4948453608249</v>
      </c>
      <c r="AI75" s="550">
        <f>IFERROR(Generation_Entsoe_SFS_2018[[#This Row],[Other RES]]/'Capacity_Entsoe_SFS_2018'!M77*10^6,0)</f>
        <v>0</v>
      </c>
      <c r="AJ75" s="550">
        <f>IFERROR(Generation_Entsoe_SFS_2018[[#This Row],[Renewable Hydro]]/'Capacity_Entsoe_SFS_2018'!N77*10^6,0)</f>
        <v>2631.5789473684208</v>
      </c>
      <c r="AK75" s="550">
        <f>IFERROR(Generation_Entsoe_SFS_2018[[#This Row],[Pumped Hydro]]/'Capacity_Entsoe_SFS_2018'!O77*10^6,0)</f>
        <v>0</v>
      </c>
      <c r="AL75" s="550">
        <f>IFERROR(Generation_Entsoe_SFS_2018[[#This Row],[Other sources]]/'Capacity_Entsoe_SFS_2018'!P77*10^6,0)</f>
        <v>0</v>
      </c>
      <c r="AM75" s="107"/>
      <c r="AN75" s="107"/>
      <c r="DH75" s="168"/>
      <c r="DI75" s="168"/>
      <c r="DJ75" s="168"/>
    </row>
    <row r="76" spans="1:114" x14ac:dyDescent="0.2">
      <c r="A76" s="425" t="str">
        <f t="shared" si="1"/>
        <v>NO</v>
      </c>
      <c r="B76" s="366">
        <f t="shared" si="2"/>
        <v>2018</v>
      </c>
      <c r="C76" s="366" t="str">
        <f t="shared" si="10"/>
        <v>TWh</v>
      </c>
      <c r="D76" s="435">
        <f t="shared" si="3"/>
        <v>0</v>
      </c>
      <c r="E76" s="435">
        <f t="shared" si="11"/>
        <v>0</v>
      </c>
      <c r="F76" s="435">
        <f t="shared" si="12"/>
        <v>0</v>
      </c>
      <c r="G76" s="435">
        <f t="shared" si="13"/>
        <v>3.2</v>
      </c>
      <c r="H76" s="435">
        <f t="shared" si="14"/>
        <v>0</v>
      </c>
      <c r="I76" s="435">
        <f t="shared" si="4"/>
        <v>3.4</v>
      </c>
      <c r="J76" s="435">
        <f t="shared" si="5"/>
        <v>0</v>
      </c>
      <c r="K76" s="435">
        <f t="shared" si="15"/>
        <v>0</v>
      </c>
      <c r="L76" s="435">
        <f t="shared" si="16"/>
        <v>0</v>
      </c>
      <c r="M76" s="435">
        <f t="shared" si="17"/>
        <v>1.1000000000000001</v>
      </c>
      <c r="N76" s="435">
        <f t="shared" si="18"/>
        <v>138</v>
      </c>
      <c r="O76" s="435">
        <f t="shared" si="19"/>
        <v>0</v>
      </c>
      <c r="P76" s="435">
        <f t="shared" si="20"/>
        <v>0</v>
      </c>
      <c r="Q76" s="435">
        <f t="shared" si="6"/>
        <v>145.69999999999999</v>
      </c>
      <c r="R76" s="435">
        <f t="shared" si="21"/>
        <v>145.69999999999999</v>
      </c>
      <c r="S76" s="424">
        <f t="shared" si="7"/>
        <v>1</v>
      </c>
      <c r="T76" s="514">
        <f>INDEX($A$3:$AM$40,MATCH(Generation_Entsoe_SFS_2018[[#This Row],[Country]],$A$3:$A$40,0),MATCH(Generation_Entsoe_SFS_2018[[#Headers],[Consumption]],$A$1:$AM$1,0))</f>
        <v>135.5</v>
      </c>
      <c r="U76" s="514">
        <f>INDEX($A$3:$AM$40,MATCH(Generation_Entsoe_SFS_2018[[#This Row],[Country]],$A$3:$A$40,0),MATCH(Generation_Entsoe_SFS_2018[[#Headers],[Pumping]],$A$1:$AM$1,0))</f>
        <v>0</v>
      </c>
      <c r="W76" s="425" t="str">
        <f t="shared" si="8"/>
        <v>NO</v>
      </c>
      <c r="X76" s="366">
        <f t="shared" si="9"/>
        <v>2018</v>
      </c>
      <c r="Y76" s="366" t="s">
        <v>648</v>
      </c>
      <c r="Z76" s="550">
        <f>IFERROR(Generation_Entsoe_SFS_2018[[#This Row],[Nuclear]]/'Capacity_Entsoe_SFS_2018'!D78*10^6,0)</f>
        <v>0</v>
      </c>
      <c r="AA76" s="550">
        <f>IFERROR(Generation_Entsoe_SFS_2018[[#This Row],[Lignite]]/'Capacity_Entsoe_SFS_2018'!E78*10^6,0)</f>
        <v>0</v>
      </c>
      <c r="AB76" s="550">
        <f>IFERROR(Generation_Entsoe_SFS_2018[[#This Row],[Hard coal]]/'Capacity_Entsoe_SFS_2018'!F78*10^6,0)</f>
        <v>0</v>
      </c>
      <c r="AC76" s="550">
        <f>IFERROR(Generation_Entsoe_SFS_2018[[#This Row],[Fossil gases]]/'Capacity_Entsoe_SFS_2018'!G78*10^6,0)</f>
        <v>5904.0590405904068</v>
      </c>
      <c r="AD76" s="550">
        <f>IFERROR(Generation_Entsoe_SFS_2018[[#This Row],[Other fossil fuels]]/'Capacity_Entsoe_SFS_2018'!H78*10^6,0)</f>
        <v>0</v>
      </c>
      <c r="AE76" s="550">
        <f>IFERROR(Generation_Entsoe_SFS_2018[[#This Row],[Wind onshore]]/'Capacity_Entsoe_SFS_2018'!I78*10^6,0)</f>
        <v>1943.9679817038307</v>
      </c>
      <c r="AF76" s="550">
        <f>IFERROR(Generation_Entsoe_SFS_2018[[#This Row],[Wind offshore]]/'Capacity_Entsoe_SFS_2018'!J78*10^6,0)</f>
        <v>0</v>
      </c>
      <c r="AG76" s="550">
        <f>IFERROR(Generation_Entsoe_SFS_2018[[#This Row],[Solar PV]]/'Capacity_Entsoe_SFS_2018'!K78*10^6,0)</f>
        <v>0</v>
      </c>
      <c r="AH76" s="550">
        <f>IFERROR(Generation_Entsoe_SFS_2018[[#This Row],[Bioenergy]]/'Capacity_Entsoe_SFS_2018'!L78*10^6,0)</f>
        <v>0</v>
      </c>
      <c r="AI76" s="553">
        <f>IFERROR(Generation_Entsoe_SFS_2018[[#This Row],[Other RES]]/'Capacity_Entsoe_SFS_2018'!M78*10^6,0)</f>
        <v>10576.923076923078</v>
      </c>
      <c r="AJ76" s="550">
        <f>IFERROR(Generation_Entsoe_SFS_2018[[#This Row],[Renewable Hydro]]/'Capacity_Entsoe_SFS_2018'!N78*10^6,0)</f>
        <v>4236.5076441333586</v>
      </c>
      <c r="AK76" s="550">
        <f>IFERROR(Generation_Entsoe_SFS_2018[[#This Row],[Pumped Hydro]]/'Capacity_Entsoe_SFS_2018'!O78*10^6,0)</f>
        <v>0</v>
      </c>
      <c r="AL76" s="550">
        <f>IFERROR(Generation_Entsoe_SFS_2018[[#This Row],[Other sources]]/'Capacity_Entsoe_SFS_2018'!P78*10^6,0)</f>
        <v>0</v>
      </c>
      <c r="AM76" s="107"/>
      <c r="AN76" s="107"/>
      <c r="DH76" s="168"/>
      <c r="DI76" s="168"/>
      <c r="DJ76" s="168"/>
    </row>
    <row r="77" spans="1:114" x14ac:dyDescent="0.2">
      <c r="A77" s="425" t="str">
        <f t="shared" si="1"/>
        <v>PL</v>
      </c>
      <c r="B77" s="366">
        <f t="shared" si="2"/>
        <v>2018</v>
      </c>
      <c r="C77" s="366" t="str">
        <f t="shared" si="10"/>
        <v>TWh</v>
      </c>
      <c r="D77" s="435">
        <f t="shared" si="3"/>
        <v>0</v>
      </c>
      <c r="E77" s="435">
        <f t="shared" si="11"/>
        <v>44.8</v>
      </c>
      <c r="F77" s="435">
        <f t="shared" si="12"/>
        <v>75.2</v>
      </c>
      <c r="G77" s="435">
        <f t="shared" si="13"/>
        <v>14.3</v>
      </c>
      <c r="H77" s="435">
        <f t="shared" si="14"/>
        <v>1.6</v>
      </c>
      <c r="I77" s="435">
        <f t="shared" si="4"/>
        <v>12.5</v>
      </c>
      <c r="J77" s="435">
        <f t="shared" si="5"/>
        <v>0</v>
      </c>
      <c r="K77" s="435">
        <f t="shared" si="15"/>
        <v>0.3</v>
      </c>
      <c r="L77" s="435">
        <f t="shared" si="16"/>
        <v>5.7</v>
      </c>
      <c r="M77" s="435">
        <f t="shared" si="17"/>
        <v>0</v>
      </c>
      <c r="N77" s="435">
        <f t="shared" si="18"/>
        <v>1.9000000000000001</v>
      </c>
      <c r="O77" s="435">
        <f t="shared" si="19"/>
        <v>0.4</v>
      </c>
      <c r="P77" s="435">
        <f t="shared" si="20"/>
        <v>0.3</v>
      </c>
      <c r="Q77" s="435">
        <f t="shared" si="6"/>
        <v>157.00000000000003</v>
      </c>
      <c r="R77" s="435">
        <f t="shared" si="21"/>
        <v>157.1</v>
      </c>
      <c r="S77" s="424">
        <f t="shared" si="7"/>
        <v>0.99936346276257182</v>
      </c>
      <c r="T77" s="514">
        <f>INDEX($A$3:$AM$40,MATCH(Generation_Entsoe_SFS_2018[[#This Row],[Country]],$A$3:$A$40,0),MATCH(Generation_Entsoe_SFS_2018[[#Headers],[Consumption]],$A$1:$AM$1,0))</f>
        <v>162.19999999999999</v>
      </c>
      <c r="U77" s="514">
        <f>INDEX($A$3:$AM$40,MATCH(Generation_Entsoe_SFS_2018[[#This Row],[Country]],$A$3:$A$40,0),MATCH(Generation_Entsoe_SFS_2018[[#Headers],[Pumping]],$A$1:$AM$1,0))</f>
        <v>0.6</v>
      </c>
      <c r="W77" s="425" t="str">
        <f t="shared" si="8"/>
        <v>PL</v>
      </c>
      <c r="X77" s="366">
        <f t="shared" si="9"/>
        <v>2018</v>
      </c>
      <c r="Y77" s="366" t="s">
        <v>648</v>
      </c>
      <c r="Z77" s="550">
        <f>IFERROR(Generation_Entsoe_SFS_2018[[#This Row],[Nuclear]]/'Capacity_Entsoe_SFS_2018'!D79*10^6,0)</f>
        <v>0</v>
      </c>
      <c r="AA77" s="550">
        <f>IFERROR(Generation_Entsoe_SFS_2018[[#This Row],[Lignite]]/'Capacity_Entsoe_SFS_2018'!E79*10^6,0)</f>
        <v>5565.9088085476451</v>
      </c>
      <c r="AB77" s="550">
        <f>IFERROR(Generation_Entsoe_SFS_2018[[#This Row],[Hard coal]]/'Capacity_Entsoe_SFS_2018'!F79*10^6,0)</f>
        <v>3917.6868976295914</v>
      </c>
      <c r="AC77" s="550">
        <f>IFERROR(Generation_Entsoe_SFS_2018[[#This Row],[Fossil gases]]/'Capacity_Entsoe_SFS_2018'!G79*10^6,0)</f>
        <v>4811.5746971736207</v>
      </c>
      <c r="AD77" s="550">
        <f>IFERROR(Generation_Entsoe_SFS_2018[[#This Row],[Other fossil fuels]]/'Capacity_Entsoe_SFS_2018'!H79*10^6,0)</f>
        <v>4221.6358839050126</v>
      </c>
      <c r="AE77" s="550">
        <f>IFERROR(Generation_Entsoe_SFS_2018[[#This Row],[Wind onshore]]/'Capacity_Entsoe_SFS_2018'!I79*10^6,0)</f>
        <v>2228.9586305278176</v>
      </c>
      <c r="AF77" s="550">
        <f>IFERROR(Generation_Entsoe_SFS_2018[[#This Row],[Wind offshore]]/'Capacity_Entsoe_SFS_2018'!J79*10^6,0)</f>
        <v>0</v>
      </c>
      <c r="AG77" s="550">
        <f>IFERROR(Generation_Entsoe_SFS_2018[[#This Row],[Solar PV]]/'Capacity_Entsoe_SFS_2018'!K79*10^6,0)</f>
        <v>751.87969924812023</v>
      </c>
      <c r="AH77" s="550">
        <f>IFERROR(Generation_Entsoe_SFS_2018[[#This Row],[Bioenergy]]/'Capacity_Entsoe_SFS_2018'!L79*10^6,0)</f>
        <v>6597.2222222222226</v>
      </c>
      <c r="AI77" s="550">
        <f>IFERROR(Generation_Entsoe_SFS_2018[[#This Row],[Other RES]]/'Capacity_Entsoe_SFS_2018'!M79*10^6,0)</f>
        <v>0</v>
      </c>
      <c r="AJ77" s="550">
        <f>IFERROR(Generation_Entsoe_SFS_2018[[#This Row],[Renewable Hydro]]/'Capacity_Entsoe_SFS_2018'!N79*10^6,0)</f>
        <v>1985.3709508881925</v>
      </c>
      <c r="AK77" s="550">
        <f>IFERROR(Generation_Entsoe_SFS_2018[[#This Row],[Pumped Hydro]]/'Capacity_Entsoe_SFS_2018'!O79*10^6,0)</f>
        <v>286.12303290414883</v>
      </c>
      <c r="AL77" s="550">
        <f>IFERROR(Generation_Entsoe_SFS_2018[[#This Row],[Other sources]]/'Capacity_Entsoe_SFS_2018'!P79*10^6,0)</f>
        <v>5263.1578947368416</v>
      </c>
      <c r="AM77" s="107"/>
      <c r="AN77" s="107"/>
      <c r="DH77" s="168"/>
      <c r="DI77" s="168"/>
      <c r="DJ77" s="168"/>
    </row>
    <row r="78" spans="1:114" x14ac:dyDescent="0.2">
      <c r="A78" s="425" t="str">
        <f t="shared" si="1"/>
        <v>PT</v>
      </c>
      <c r="B78" s="366">
        <f t="shared" si="2"/>
        <v>2018</v>
      </c>
      <c r="C78" s="366" t="str">
        <f t="shared" si="10"/>
        <v>TWh</v>
      </c>
      <c r="D78" s="435">
        <f t="shared" si="3"/>
        <v>0</v>
      </c>
      <c r="E78" s="435">
        <f t="shared" si="11"/>
        <v>0</v>
      </c>
      <c r="F78" s="435">
        <f t="shared" si="12"/>
        <v>11.1</v>
      </c>
      <c r="G78" s="435">
        <f t="shared" si="13"/>
        <v>14.4</v>
      </c>
      <c r="H78" s="435">
        <f t="shared" si="14"/>
        <v>0.1</v>
      </c>
      <c r="I78" s="435">
        <f t="shared" si="4"/>
        <v>12.4</v>
      </c>
      <c r="J78" s="435">
        <f t="shared" si="5"/>
        <v>0</v>
      </c>
      <c r="K78" s="435">
        <f t="shared" si="15"/>
        <v>0.8</v>
      </c>
      <c r="L78" s="435">
        <f t="shared" si="16"/>
        <v>2.8</v>
      </c>
      <c r="M78" s="435">
        <f t="shared" si="17"/>
        <v>0</v>
      </c>
      <c r="N78" s="435">
        <f t="shared" si="18"/>
        <v>12.1</v>
      </c>
      <c r="O78" s="435">
        <f t="shared" si="19"/>
        <v>1.3</v>
      </c>
      <c r="P78" s="435">
        <f t="shared" si="20"/>
        <v>0.2</v>
      </c>
      <c r="Q78" s="435">
        <f t="shared" si="6"/>
        <v>55.199999999999996</v>
      </c>
      <c r="R78" s="435">
        <f t="shared" si="21"/>
        <v>55.1</v>
      </c>
      <c r="S78" s="424">
        <f t="shared" si="7"/>
        <v>1.0018148820326678</v>
      </c>
      <c r="T78" s="514">
        <f>INDEX($A$3:$AM$40,MATCH(Generation_Entsoe_SFS_2018[[#This Row],[Country]],$A$3:$A$40,0),MATCH(Generation_Entsoe_SFS_2018[[#Headers],[Consumption]],$A$1:$AM$1,0))</f>
        <v>50.9</v>
      </c>
      <c r="U78" s="514">
        <f>INDEX($A$3:$AM$40,MATCH(Generation_Entsoe_SFS_2018[[#This Row],[Country]],$A$3:$A$40,0),MATCH(Generation_Entsoe_SFS_2018[[#Headers],[Pumping]],$A$1:$AM$1,0))</f>
        <v>1.6</v>
      </c>
      <c r="W78" s="425" t="str">
        <f t="shared" si="8"/>
        <v>PT</v>
      </c>
      <c r="X78" s="366">
        <f t="shared" si="9"/>
        <v>2018</v>
      </c>
      <c r="Y78" s="366" t="s">
        <v>648</v>
      </c>
      <c r="Z78" s="550">
        <f>IFERROR(Generation_Entsoe_SFS_2018[[#This Row],[Nuclear]]/'Capacity_Entsoe_SFS_2018'!D80*10^6,0)</f>
        <v>0</v>
      </c>
      <c r="AA78" s="550">
        <f>IFERROR(Generation_Entsoe_SFS_2018[[#This Row],[Lignite]]/'Capacity_Entsoe_SFS_2018'!E80*10^6,0)</f>
        <v>0</v>
      </c>
      <c r="AB78" s="550">
        <f>IFERROR(Generation_Entsoe_SFS_2018[[#This Row],[Hard coal]]/'Capacity_Entsoe_SFS_2018'!F80*10^6,0)</f>
        <v>6321.1845102505686</v>
      </c>
      <c r="AC78" s="550">
        <f>IFERROR(Generation_Entsoe_SFS_2018[[#This Row],[Fossil gases]]/'Capacity_Entsoe_SFS_2018'!G80*10^6,0)</f>
        <v>3124.3219787372532</v>
      </c>
      <c r="AD78" s="550">
        <f>IFERROR(Generation_Entsoe_SFS_2018[[#This Row],[Other fossil fuels]]/'Capacity_Entsoe_SFS_2018'!H80*10^6,0)</f>
        <v>7142.8571428571431</v>
      </c>
      <c r="AE78" s="550">
        <f>IFERROR(Generation_Entsoe_SFS_2018[[#This Row],[Wind onshore]]/'Capacity_Entsoe_SFS_2018'!I80*10^6,0)</f>
        <v>2407.7669902912621</v>
      </c>
      <c r="AF78" s="550">
        <f>IFERROR(Generation_Entsoe_SFS_2018[[#This Row],[Wind offshore]]/'Capacity_Entsoe_SFS_2018'!J80*10^6,0)</f>
        <v>0</v>
      </c>
      <c r="AG78" s="550">
        <f>IFERROR(Generation_Entsoe_SFS_2018[[#This Row],[Solar PV]]/'Capacity_Entsoe_SFS_2018'!K80*10^6,0)</f>
        <v>1433.6917562724013</v>
      </c>
      <c r="AH78" s="550">
        <f>IFERROR(Generation_Entsoe_SFS_2018[[#This Row],[Bioenergy]]/'Capacity_Entsoe_SFS_2018'!L80*10^6,0)</f>
        <v>4255.3191489361707</v>
      </c>
      <c r="AI78" s="550">
        <f>IFERROR(Generation_Entsoe_SFS_2018[[#This Row],[Other RES]]/'Capacity_Entsoe_SFS_2018'!M80*10^6,0)</f>
        <v>0</v>
      </c>
      <c r="AJ78" s="550">
        <f>IFERROR(Generation_Entsoe_SFS_2018[[#This Row],[Renewable Hydro]]/'Capacity_Entsoe_SFS_2018'!N80*10^6,0)</f>
        <v>1677.0616770616771</v>
      </c>
      <c r="AK78" s="550">
        <f>IFERROR(Generation_Entsoe_SFS_2018[[#This Row],[Pumped Hydro]]/'Capacity_Entsoe_SFS_2018'!O80*10^6,0)</f>
        <v>0</v>
      </c>
      <c r="AL78" s="553">
        <f>IFERROR(Generation_Entsoe_SFS_2018[[#This Row],[Other sources]]/'Capacity_Entsoe_SFS_2018'!P80*10^6,0)</f>
        <v>11111.111111111111</v>
      </c>
      <c r="AM78" s="107"/>
      <c r="AN78" s="107"/>
      <c r="DH78" s="168"/>
      <c r="DI78" s="168"/>
      <c r="DJ78" s="168"/>
    </row>
    <row r="79" spans="1:114" x14ac:dyDescent="0.2">
      <c r="A79" s="425" t="str">
        <f t="shared" si="1"/>
        <v>RO</v>
      </c>
      <c r="B79" s="366">
        <f t="shared" si="2"/>
        <v>2018</v>
      </c>
      <c r="C79" s="366" t="str">
        <f t="shared" si="10"/>
        <v>TWh</v>
      </c>
      <c r="D79" s="435">
        <f t="shared" si="3"/>
        <v>10.4</v>
      </c>
      <c r="E79" s="435">
        <f t="shared" si="11"/>
        <v>13</v>
      </c>
      <c r="F79" s="435">
        <f t="shared" si="12"/>
        <v>1</v>
      </c>
      <c r="G79" s="435">
        <f t="shared" si="13"/>
        <v>5</v>
      </c>
      <c r="H79" s="435">
        <f t="shared" si="14"/>
        <v>5.2</v>
      </c>
      <c r="I79" s="435">
        <f t="shared" si="4"/>
        <v>6.3</v>
      </c>
      <c r="J79" s="435">
        <f t="shared" si="5"/>
        <v>0</v>
      </c>
      <c r="K79" s="435">
        <f t="shared" si="15"/>
        <v>1.8</v>
      </c>
      <c r="L79" s="435">
        <f t="shared" si="16"/>
        <v>0.3</v>
      </c>
      <c r="M79" s="435">
        <f t="shared" si="17"/>
        <v>0</v>
      </c>
      <c r="N79" s="435">
        <f t="shared" si="18"/>
        <v>17.7</v>
      </c>
      <c r="O79" s="435">
        <f t="shared" si="19"/>
        <v>0</v>
      </c>
      <c r="P79" s="435">
        <f t="shared" si="20"/>
        <v>0</v>
      </c>
      <c r="Q79" s="435">
        <f t="shared" si="6"/>
        <v>60.699999999999989</v>
      </c>
      <c r="R79" s="435">
        <f t="shared" si="21"/>
        <v>60.7</v>
      </c>
      <c r="S79" s="424">
        <f t="shared" ref="S79:S85" si="22">Q79/R79</f>
        <v>0.99999999999999978</v>
      </c>
      <c r="T79" s="514">
        <f>INDEX($A$3:$AM$40,MATCH(Generation_Entsoe_SFS_2018[[#This Row],[Country]],$A$3:$A$40,0),MATCH(Generation_Entsoe_SFS_2018[[#Headers],[Consumption]],$A$1:$AM$1,0))</f>
        <v>57.9</v>
      </c>
      <c r="U79" s="514">
        <f>INDEX($A$3:$AM$40,MATCH(Generation_Entsoe_SFS_2018[[#This Row],[Country]],$A$3:$A$40,0),MATCH(Generation_Entsoe_SFS_2018[[#Headers],[Pumping]],$A$1:$AM$1,0))</f>
        <v>0.2</v>
      </c>
      <c r="W79" s="425" t="str">
        <f t="shared" si="8"/>
        <v>RO</v>
      </c>
      <c r="X79" s="366">
        <f t="shared" si="9"/>
        <v>2018</v>
      </c>
      <c r="Y79" s="366" t="s">
        <v>648</v>
      </c>
      <c r="Z79" s="550">
        <f>IFERROR(Generation_Entsoe_SFS_2018[[#This Row],[Nuclear]]/'Capacity_Entsoe_SFS_2018'!D81*10^6,0)</f>
        <v>8000</v>
      </c>
      <c r="AA79" s="550">
        <f>IFERROR(Generation_Entsoe_SFS_2018[[#This Row],[Lignite]]/'Capacity_Entsoe_SFS_2018'!E81*10^6,0)</f>
        <v>3891.0505836575876</v>
      </c>
      <c r="AB79" s="550">
        <f>IFERROR(Generation_Entsoe_SFS_2018[[#This Row],[Hard coal]]/'Capacity_Entsoe_SFS_2018'!F81*10^6,0)</f>
        <v>968.99224806201551</v>
      </c>
      <c r="AC79" s="550">
        <f>IFERROR(Generation_Entsoe_SFS_2018[[#This Row],[Fossil gases]]/'Capacity_Entsoe_SFS_2018'!G81*10^6,0)</f>
        <v>2738.2256297918948</v>
      </c>
      <c r="AD79" s="550">
        <f>IFERROR(Generation_Entsoe_SFS_2018[[#This Row],[Other fossil fuels]]/'Capacity_Entsoe_SFS_2018'!H81*10^6,0)</f>
        <v>3295.3105196451206</v>
      </c>
      <c r="AE79" s="550">
        <f>IFERROR(Generation_Entsoe_SFS_2018[[#This Row],[Wind onshore]]/'Capacity_Entsoe_SFS_2018'!I81*10^6,0)</f>
        <v>2116.224386966745</v>
      </c>
      <c r="AF79" s="550">
        <f>IFERROR(Generation_Entsoe_SFS_2018[[#This Row],[Wind offshore]]/'Capacity_Entsoe_SFS_2018'!J81*10^6,0)</f>
        <v>0</v>
      </c>
      <c r="AG79" s="550">
        <f>IFERROR(Generation_Entsoe_SFS_2018[[#This Row],[Solar PV]]/'Capacity_Entsoe_SFS_2018'!K81*10^6,0)</f>
        <v>1426.3074484944534</v>
      </c>
      <c r="AH79" s="550">
        <f>IFERROR(Generation_Entsoe_SFS_2018[[#This Row],[Bioenergy]]/'Capacity_Entsoe_SFS_2018'!L81*10^6,0)</f>
        <v>2479.3388429752063</v>
      </c>
      <c r="AI79" s="550">
        <f>IFERROR(Generation_Entsoe_SFS_2018[[#This Row],[Other RES]]/'Capacity_Entsoe_SFS_2018'!M81*10^6,0)</f>
        <v>0</v>
      </c>
      <c r="AJ79" s="550">
        <f>IFERROR(Generation_Entsoe_SFS_2018[[#This Row],[Renewable Hydro]]/'Capacity_Entsoe_SFS_2018'!N81*10^6,0)</f>
        <v>2796.6503397061147</v>
      </c>
      <c r="AK79" s="550">
        <f>IFERROR(Generation_Entsoe_SFS_2018[[#This Row],[Pumped Hydro]]/'Capacity_Entsoe_SFS_2018'!O81*10^6,0)</f>
        <v>0</v>
      </c>
      <c r="AL79" s="550">
        <f>IFERROR(Generation_Entsoe_SFS_2018[[#This Row],[Other sources]]/'Capacity_Entsoe_SFS_2018'!P81*10^6,0)</f>
        <v>0</v>
      </c>
      <c r="AM79" s="107"/>
      <c r="AN79" s="107"/>
      <c r="DH79" s="168"/>
      <c r="DI79" s="168"/>
      <c r="DJ79" s="168"/>
    </row>
    <row r="80" spans="1:114" x14ac:dyDescent="0.2">
      <c r="A80" s="425" t="str">
        <f t="shared" si="1"/>
        <v>RS</v>
      </c>
      <c r="B80" s="366">
        <f t="shared" si="2"/>
        <v>2018</v>
      </c>
      <c r="C80" s="366" t="str">
        <f t="shared" si="10"/>
        <v>TWh</v>
      </c>
      <c r="D80" s="435">
        <f t="shared" si="3"/>
        <v>0</v>
      </c>
      <c r="E80" s="435">
        <f t="shared" si="11"/>
        <v>28.1</v>
      </c>
      <c r="F80" s="435">
        <f t="shared" si="12"/>
        <v>0</v>
      </c>
      <c r="G80" s="435">
        <f t="shared" si="13"/>
        <v>0.2</v>
      </c>
      <c r="H80" s="435">
        <f t="shared" si="14"/>
        <v>0</v>
      </c>
      <c r="I80" s="435">
        <f t="shared" si="4"/>
        <v>0.1</v>
      </c>
      <c r="J80" s="435">
        <f t="shared" si="5"/>
        <v>0</v>
      </c>
      <c r="K80" s="435">
        <f t="shared" si="15"/>
        <v>0</v>
      </c>
      <c r="L80" s="435">
        <f t="shared" si="16"/>
        <v>0</v>
      </c>
      <c r="M80" s="435">
        <f t="shared" si="17"/>
        <v>0</v>
      </c>
      <c r="N80" s="435">
        <f t="shared" si="18"/>
        <v>10.399999999999999</v>
      </c>
      <c r="O80" s="435">
        <f t="shared" si="19"/>
        <v>0.8</v>
      </c>
      <c r="P80" s="435">
        <f t="shared" si="20"/>
        <v>0</v>
      </c>
      <c r="Q80" s="435">
        <f t="shared" si="6"/>
        <v>39.599999999999994</v>
      </c>
      <c r="R80" s="435">
        <f t="shared" si="21"/>
        <v>39.6</v>
      </c>
      <c r="S80" s="424">
        <f t="shared" si="22"/>
        <v>0.99999999999999978</v>
      </c>
      <c r="T80" s="514">
        <f>INDEX($A$3:$AM$40,MATCH(Generation_Entsoe_SFS_2018[[#This Row],[Country]],$A$3:$A$40,0),MATCH(Generation_Entsoe_SFS_2018[[#Headers],[Consumption]],$A$1:$AM$1,0))</f>
        <v>39.1</v>
      </c>
      <c r="U80" s="514">
        <f>INDEX($A$3:$AM$40,MATCH(Generation_Entsoe_SFS_2018[[#This Row],[Country]],$A$3:$A$40,0),MATCH(Generation_Entsoe_SFS_2018[[#Headers],[Pumping]],$A$1:$AM$1,0))</f>
        <v>1.1000000000000001</v>
      </c>
      <c r="W80" s="425" t="str">
        <f t="shared" si="8"/>
        <v>RS</v>
      </c>
      <c r="X80" s="366">
        <f t="shared" si="9"/>
        <v>2018</v>
      </c>
      <c r="Y80" s="366" t="s">
        <v>648</v>
      </c>
      <c r="Z80" s="550">
        <f>IFERROR(Generation_Entsoe_SFS_2018[[#This Row],[Nuclear]]/'Capacity_Entsoe_SFS_2018'!D82*10^6,0)</f>
        <v>0</v>
      </c>
      <c r="AA80" s="550">
        <f>IFERROR(Generation_Entsoe_SFS_2018[[#This Row],[Lignite]]/'Capacity_Entsoe_SFS_2018'!E82*10^6,0)</f>
        <v>5287.9187053067371</v>
      </c>
      <c r="AB80" s="550">
        <f>IFERROR(Generation_Entsoe_SFS_2018[[#This Row],[Hard coal]]/'Capacity_Entsoe_SFS_2018'!F82*10^6,0)</f>
        <v>0</v>
      </c>
      <c r="AC80" s="550">
        <f>IFERROR(Generation_Entsoe_SFS_2018[[#This Row],[Fossil gases]]/'Capacity_Entsoe_SFS_2018'!G82*10^6,0)</f>
        <v>961.53846153846155</v>
      </c>
      <c r="AD80" s="550">
        <f>IFERROR(Generation_Entsoe_SFS_2018[[#This Row],[Other fossil fuels]]/'Capacity_Entsoe_SFS_2018'!H82*10^6,0)</f>
        <v>0</v>
      </c>
      <c r="AE80" s="550">
        <f>IFERROR(Generation_Entsoe_SFS_2018[[#This Row],[Wind onshore]]/'Capacity_Entsoe_SFS_2018'!I82*10^6,0)</f>
        <v>418.41004184100422</v>
      </c>
      <c r="AF80" s="550">
        <f>IFERROR(Generation_Entsoe_SFS_2018[[#This Row],[Wind offshore]]/'Capacity_Entsoe_SFS_2018'!J82*10^6,0)</f>
        <v>0</v>
      </c>
      <c r="AG80" s="550">
        <f>IFERROR(Generation_Entsoe_SFS_2018[[#This Row],[Solar PV]]/'Capacity_Entsoe_SFS_2018'!K82*10^6,0)</f>
        <v>0</v>
      </c>
      <c r="AH80" s="550">
        <f>IFERROR(Generation_Entsoe_SFS_2018[[#This Row],[Bioenergy]]/'Capacity_Entsoe_SFS_2018'!L82*10^6,0)</f>
        <v>0</v>
      </c>
      <c r="AI80" s="550">
        <f>IFERROR(Generation_Entsoe_SFS_2018[[#This Row],[Other RES]]/'Capacity_Entsoe_SFS_2018'!M82*10^6,0)</f>
        <v>0</v>
      </c>
      <c r="AJ80" s="550">
        <f>IFERROR(Generation_Entsoe_SFS_2018[[#This Row],[Renewable Hydro]]/'Capacity_Entsoe_SFS_2018'!N82*10^6,0)</f>
        <v>4349.6445002091168</v>
      </c>
      <c r="AK80" s="550">
        <f>IFERROR(Generation_Entsoe_SFS_2018[[#This Row],[Pumped Hydro]]/'Capacity_Entsoe_SFS_2018'!O82*10^6,0)</f>
        <v>1302.9315960912052</v>
      </c>
      <c r="AL80" s="550">
        <f>IFERROR(Generation_Entsoe_SFS_2018[[#This Row],[Other sources]]/'Capacity_Entsoe_SFS_2018'!P82*10^6,0)</f>
        <v>0</v>
      </c>
      <c r="AM80" s="107"/>
      <c r="AN80" s="107"/>
      <c r="DH80" s="168"/>
      <c r="DI80" s="168"/>
      <c r="DJ80" s="168"/>
    </row>
    <row r="81" spans="1:115" x14ac:dyDescent="0.2">
      <c r="A81" s="425" t="str">
        <f t="shared" si="1"/>
        <v>SE</v>
      </c>
      <c r="B81" s="366">
        <f t="shared" si="2"/>
        <v>2018</v>
      </c>
      <c r="C81" s="366" t="str">
        <f t="shared" si="10"/>
        <v>TWh</v>
      </c>
      <c r="D81" s="435">
        <f t="shared" si="3"/>
        <v>65.8</v>
      </c>
      <c r="E81" s="435">
        <f t="shared" si="11"/>
        <v>0</v>
      </c>
      <c r="F81" s="435">
        <f t="shared" si="12"/>
        <v>0.5</v>
      </c>
      <c r="G81" s="435">
        <f t="shared" si="13"/>
        <v>0.6</v>
      </c>
      <c r="H81" s="435">
        <f t="shared" si="14"/>
        <v>1.7</v>
      </c>
      <c r="I81" s="435">
        <f t="shared" si="4"/>
        <v>16.600000000000001</v>
      </c>
      <c r="J81" s="435">
        <f t="shared" si="5"/>
        <v>0</v>
      </c>
      <c r="K81" s="435">
        <f t="shared" si="15"/>
        <v>0</v>
      </c>
      <c r="L81" s="435">
        <f t="shared" si="16"/>
        <v>9.8000000000000007</v>
      </c>
      <c r="M81" s="435">
        <f t="shared" si="17"/>
        <v>1.3</v>
      </c>
      <c r="N81" s="435">
        <f t="shared" si="18"/>
        <v>61</v>
      </c>
      <c r="O81" s="435">
        <f t="shared" si="19"/>
        <v>0</v>
      </c>
      <c r="P81" s="435">
        <f t="shared" si="20"/>
        <v>0.9</v>
      </c>
      <c r="Q81" s="435">
        <f t="shared" si="6"/>
        <v>158.19999999999999</v>
      </c>
      <c r="R81" s="435">
        <f t="shared" si="21"/>
        <v>158.30000000000001</v>
      </c>
      <c r="S81" s="424">
        <f t="shared" si="22"/>
        <v>0.99936828806064415</v>
      </c>
      <c r="T81" s="514">
        <f>INDEX($A$3:$AM$40,MATCH(Generation_Entsoe_SFS_2018[[#This Row],[Country]],$A$3:$A$40,0),MATCH(Generation_Entsoe_SFS_2018[[#Headers],[Consumption]],$A$1:$AM$1,0))</f>
        <v>141.1</v>
      </c>
      <c r="U81" s="514">
        <f>INDEX($A$3:$AM$40,MATCH(Generation_Entsoe_SFS_2018[[#This Row],[Country]],$A$3:$A$40,0),MATCH(Generation_Entsoe_SFS_2018[[#Headers],[Pumping]],$A$1:$AM$1,0))</f>
        <v>0</v>
      </c>
      <c r="W81" s="425" t="str">
        <f t="shared" si="8"/>
        <v>SE</v>
      </c>
      <c r="X81" s="366">
        <f t="shared" si="9"/>
        <v>2018</v>
      </c>
      <c r="Y81" s="366" t="s">
        <v>648</v>
      </c>
      <c r="Z81" s="550">
        <f>IFERROR(Generation_Entsoe_SFS_2018[[#This Row],[Nuclear]]/'Capacity_Entsoe_SFS_2018'!D83*10^6,0)</f>
        <v>7638.7276526584628</v>
      </c>
      <c r="AA81" s="550">
        <f>IFERROR(Generation_Entsoe_SFS_2018[[#This Row],[Lignite]]/'Capacity_Entsoe_SFS_2018'!E83*10^6,0)</f>
        <v>0</v>
      </c>
      <c r="AB81" s="550">
        <f>IFERROR(Generation_Entsoe_SFS_2018[[#This Row],[Hard coal]]/'Capacity_Entsoe_SFS_2018'!F83*10^6,0)</f>
        <v>2439.0243902439024</v>
      </c>
      <c r="AC81" s="550">
        <f>IFERROR(Generation_Entsoe_SFS_2018[[#This Row],[Fossil gases]]/'Capacity_Entsoe_SFS_2018'!G83*10^6,0)</f>
        <v>706.71378091872793</v>
      </c>
      <c r="AD81" s="550">
        <f>IFERROR(Generation_Entsoe_SFS_2018[[#This Row],[Other fossil fuels]]/'Capacity_Entsoe_SFS_2018'!H83*10^6,0)</f>
        <v>603.90763765541737</v>
      </c>
      <c r="AE81" s="550">
        <f>IFERROR(Generation_Entsoe_SFS_2018[[#This Row],[Wind onshore]]/'Capacity_Entsoe_SFS_2018'!I83*10^6,0)</f>
        <v>2303.9555863983346</v>
      </c>
      <c r="AF81" s="550">
        <f>IFERROR(Generation_Entsoe_SFS_2018[[#This Row],[Wind offshore]]/'Capacity_Entsoe_SFS_2018'!J83*10^6,0)</f>
        <v>0</v>
      </c>
      <c r="AG81" s="550">
        <f>IFERROR(Generation_Entsoe_SFS_2018[[#This Row],[Solar PV]]/'Capacity_Entsoe_SFS_2018'!K83*10^6,0)</f>
        <v>0</v>
      </c>
      <c r="AH81" s="550">
        <f>IFERROR(Generation_Entsoe_SFS_2018[[#This Row],[Bioenergy]]/'Capacity_Entsoe_SFS_2018'!L83*10^6,0)</f>
        <v>3116.0572337042927</v>
      </c>
      <c r="AI81" s="550">
        <f>IFERROR(Generation_Entsoe_SFS_2018[[#This Row],[Other RES]]/'Capacity_Entsoe_SFS_2018'!M83*10^6,0)</f>
        <v>0</v>
      </c>
      <c r="AJ81" s="550">
        <f>IFERROR(Generation_Entsoe_SFS_2018[[#This Row],[Renewable Hydro]]/'Capacity_Entsoe_SFS_2018'!N83*10^6,0)</f>
        <v>3668.0697534576066</v>
      </c>
      <c r="AK81" s="550">
        <f>IFERROR(Generation_Entsoe_SFS_2018[[#This Row],[Pumped Hydro]]/'Capacity_Entsoe_SFS_2018'!O83*10^6,0)</f>
        <v>0</v>
      </c>
      <c r="AL81" s="550">
        <f>IFERROR(Generation_Entsoe_SFS_2018[[#This Row],[Other sources]]/'Capacity_Entsoe_SFS_2018'!P83*10^6,0)</f>
        <v>2022.4719101123596</v>
      </c>
      <c r="AM81" s="107"/>
      <c r="AN81" s="107"/>
      <c r="DH81" s="168"/>
      <c r="DI81" s="168"/>
      <c r="DJ81" s="168"/>
    </row>
    <row r="82" spans="1:115" x14ac:dyDescent="0.2">
      <c r="A82" s="425" t="str">
        <f t="shared" si="1"/>
        <v>SI</v>
      </c>
      <c r="B82" s="366">
        <f t="shared" si="2"/>
        <v>2018</v>
      </c>
      <c r="C82" s="366" t="str">
        <f t="shared" si="10"/>
        <v>TWh</v>
      </c>
      <c r="D82" s="435">
        <f t="shared" si="3"/>
        <v>5.5</v>
      </c>
      <c r="E82" s="435">
        <f t="shared" si="11"/>
        <v>4</v>
      </c>
      <c r="F82" s="435">
        <f t="shared" si="12"/>
        <v>0</v>
      </c>
      <c r="G82" s="435">
        <f t="shared" si="13"/>
        <v>0</v>
      </c>
      <c r="H82" s="435">
        <f t="shared" si="14"/>
        <v>0</v>
      </c>
      <c r="I82" s="435">
        <f t="shared" si="4"/>
        <v>0</v>
      </c>
      <c r="J82" s="435">
        <f t="shared" si="5"/>
        <v>0</v>
      </c>
      <c r="K82" s="435">
        <f t="shared" si="15"/>
        <v>0.2</v>
      </c>
      <c r="L82" s="435">
        <f t="shared" si="16"/>
        <v>0.2</v>
      </c>
      <c r="M82" s="435">
        <f t="shared" si="17"/>
        <v>0</v>
      </c>
      <c r="N82" s="435">
        <f t="shared" si="18"/>
        <v>4.5999999999999996</v>
      </c>
      <c r="O82" s="435">
        <f t="shared" si="19"/>
        <v>0.2</v>
      </c>
      <c r="P82" s="435">
        <f t="shared" si="20"/>
        <v>0.3</v>
      </c>
      <c r="Q82" s="435">
        <f t="shared" si="6"/>
        <v>14.999999999999998</v>
      </c>
      <c r="R82" s="435">
        <f t="shared" si="21"/>
        <v>15</v>
      </c>
      <c r="S82" s="424">
        <f t="shared" si="22"/>
        <v>0.99999999999999989</v>
      </c>
      <c r="T82" s="514">
        <f>INDEX($A$3:$AM$40,MATCH(Generation_Entsoe_SFS_2018[[#This Row],[Country]],$A$3:$A$40,0),MATCH(Generation_Entsoe_SFS_2018[[#Headers],[Consumption]],$A$1:$AM$1,0))</f>
        <v>14.4</v>
      </c>
      <c r="U82" s="514">
        <f>INDEX($A$3:$AM$40,MATCH(Generation_Entsoe_SFS_2018[[#This Row],[Country]],$A$3:$A$40,0),MATCH(Generation_Entsoe_SFS_2018[[#Headers],[Pumping]],$A$1:$AM$1,0))</f>
        <v>0.3</v>
      </c>
      <c r="W82" s="425" t="str">
        <f t="shared" si="8"/>
        <v>SI</v>
      </c>
      <c r="X82" s="366">
        <f t="shared" si="9"/>
        <v>2018</v>
      </c>
      <c r="Y82" s="366" t="s">
        <v>648</v>
      </c>
      <c r="Z82" s="550">
        <f>IFERROR(Generation_Entsoe_SFS_2018[[#This Row],[Nuclear]]/'Capacity_Entsoe_SFS_2018'!D84*10^6,0)</f>
        <v>7902.2988505747135</v>
      </c>
      <c r="AA82" s="550">
        <f>IFERROR(Generation_Entsoe_SFS_2018[[#This Row],[Lignite]]/'Capacity_Entsoe_SFS_2018'!E84*10^6,0)</f>
        <v>4077.4719673802247</v>
      </c>
      <c r="AB82" s="550">
        <f>IFERROR(Generation_Entsoe_SFS_2018[[#This Row],[Hard coal]]/'Capacity_Entsoe_SFS_2018'!F84*10^6,0)</f>
        <v>0</v>
      </c>
      <c r="AC82" s="550">
        <f>IFERROR(Generation_Entsoe_SFS_2018[[#This Row],[Fossil gases]]/'Capacity_Entsoe_SFS_2018'!G84*10^6,0)</f>
        <v>0</v>
      </c>
      <c r="AD82" s="550">
        <f>IFERROR(Generation_Entsoe_SFS_2018[[#This Row],[Other fossil fuels]]/'Capacity_Entsoe_SFS_2018'!H84*10^6,0)</f>
        <v>0</v>
      </c>
      <c r="AE82" s="550">
        <f>IFERROR(Generation_Entsoe_SFS_2018[[#This Row],[Wind onshore]]/'Capacity_Entsoe_SFS_2018'!I84*10^6,0)</f>
        <v>0</v>
      </c>
      <c r="AF82" s="550">
        <f>IFERROR(Generation_Entsoe_SFS_2018[[#This Row],[Wind offshore]]/'Capacity_Entsoe_SFS_2018'!J84*10^6,0)</f>
        <v>0</v>
      </c>
      <c r="AG82" s="550">
        <f>IFERROR(Generation_Entsoe_SFS_2018[[#This Row],[Solar PV]]/'Capacity_Entsoe_SFS_2018'!K84*10^6,0)</f>
        <v>689.65517241379314</v>
      </c>
      <c r="AH82" s="550">
        <f>IFERROR(Generation_Entsoe_SFS_2018[[#This Row],[Bioenergy]]/'Capacity_Entsoe_SFS_2018'!L84*10^6,0)</f>
        <v>4166.666666666667</v>
      </c>
      <c r="AI82" s="550">
        <f>IFERROR(Generation_Entsoe_SFS_2018[[#This Row],[Other RES]]/'Capacity_Entsoe_SFS_2018'!M84*10^6,0)</f>
        <v>0</v>
      </c>
      <c r="AJ82" s="550">
        <f>IFERROR(Generation_Entsoe_SFS_2018[[#This Row],[Renewable Hydro]]/'Capacity_Entsoe_SFS_2018'!N84*10^6,0)</f>
        <v>4099.8217468805706</v>
      </c>
      <c r="AK82" s="550">
        <f>IFERROR(Generation_Entsoe_SFS_2018[[#This Row],[Pumped Hydro]]/'Capacity_Entsoe_SFS_2018'!O84*10^6,0)</f>
        <v>1111.1111111111111</v>
      </c>
      <c r="AL82" s="550">
        <f>IFERROR(Generation_Entsoe_SFS_2018[[#This Row],[Other sources]]/'Capacity_Entsoe_SFS_2018'!P84*10^6,0)</f>
        <v>2521.0084033613443</v>
      </c>
      <c r="AM82" s="107"/>
      <c r="AN82" s="107"/>
      <c r="DH82" s="168"/>
      <c r="DI82" s="168"/>
      <c r="DJ82" s="168"/>
    </row>
    <row r="83" spans="1:115" x14ac:dyDescent="0.2">
      <c r="A83" s="425" t="str">
        <f t="shared" si="1"/>
        <v>SK</v>
      </c>
      <c r="B83" s="366">
        <f t="shared" si="2"/>
        <v>2018</v>
      </c>
      <c r="C83" s="366" t="str">
        <f t="shared" si="10"/>
        <v>TWh</v>
      </c>
      <c r="D83" s="435">
        <f t="shared" si="3"/>
        <v>13.8</v>
      </c>
      <c r="E83" s="435">
        <f t="shared" si="11"/>
        <v>1.3</v>
      </c>
      <c r="F83" s="435">
        <f t="shared" si="12"/>
        <v>1.2</v>
      </c>
      <c r="G83" s="435">
        <f t="shared" si="13"/>
        <v>2.2999999999999998</v>
      </c>
      <c r="H83" s="435">
        <f t="shared" si="14"/>
        <v>0.3</v>
      </c>
      <c r="I83" s="435">
        <f t="shared" si="4"/>
        <v>0</v>
      </c>
      <c r="J83" s="435">
        <f t="shared" si="5"/>
        <v>0</v>
      </c>
      <c r="K83" s="435">
        <f t="shared" si="15"/>
        <v>0.6</v>
      </c>
      <c r="L83" s="435">
        <f t="shared" si="16"/>
        <v>1.6</v>
      </c>
      <c r="M83" s="435">
        <f t="shared" si="17"/>
        <v>0</v>
      </c>
      <c r="N83" s="435">
        <f t="shared" si="18"/>
        <v>3.5</v>
      </c>
      <c r="O83" s="435">
        <f t="shared" si="19"/>
        <v>0.3</v>
      </c>
      <c r="P83" s="435">
        <f t="shared" si="20"/>
        <v>0.1</v>
      </c>
      <c r="Q83" s="435">
        <f t="shared" si="6"/>
        <v>25.000000000000007</v>
      </c>
      <c r="R83" s="435">
        <f t="shared" si="21"/>
        <v>25.1</v>
      </c>
      <c r="S83" s="424">
        <f t="shared" si="22"/>
        <v>0.99601593625498031</v>
      </c>
      <c r="T83" s="514">
        <f>INDEX($A$3:$AM$40,MATCH(Generation_Entsoe_SFS_2018[[#This Row],[Country]],$A$3:$A$40,0),MATCH(Generation_Entsoe_SFS_2018[[#Headers],[Consumption]],$A$1:$AM$1,0))</f>
        <v>28.5</v>
      </c>
      <c r="U83" s="514">
        <f>INDEX($A$3:$AM$40,MATCH(Generation_Entsoe_SFS_2018[[#This Row],[Country]],$A$3:$A$40,0),MATCH(Generation_Entsoe_SFS_2018[[#Headers],[Pumping]],$A$1:$AM$1,0))</f>
        <v>0.4</v>
      </c>
      <c r="W83" s="425" t="str">
        <f t="shared" si="8"/>
        <v>SK</v>
      </c>
      <c r="X83" s="366">
        <f t="shared" si="9"/>
        <v>2018</v>
      </c>
      <c r="Y83" s="366" t="s">
        <v>648</v>
      </c>
      <c r="Z83" s="550">
        <f>IFERROR(Generation_Entsoe_SFS_2018[[#This Row],[Nuclear]]/'Capacity_Entsoe_SFS_2018'!D85*10^6,0)</f>
        <v>7113.4020618556706</v>
      </c>
      <c r="AA83" s="550">
        <f>IFERROR(Generation_Entsoe_SFS_2018[[#This Row],[Lignite]]/'Capacity_Entsoe_SFS_2018'!E85*10^6,0)</f>
        <v>3768.1159420289855</v>
      </c>
      <c r="AB83" s="550">
        <f>IFERROR(Generation_Entsoe_SFS_2018[[#This Row],[Hard coal]]/'Capacity_Entsoe_SFS_2018'!F85*10^6,0)</f>
        <v>5429.8642533936645</v>
      </c>
      <c r="AC83" s="550">
        <f>IFERROR(Generation_Entsoe_SFS_2018[[#This Row],[Fossil gases]]/'Capacity_Entsoe_SFS_2018'!G85*10^6,0)</f>
        <v>2070.2070207020702</v>
      </c>
      <c r="AD83" s="550">
        <f>IFERROR(Generation_Entsoe_SFS_2018[[#This Row],[Other fossil fuels]]/'Capacity_Entsoe_SFS_2018'!H85*10^6,0)</f>
        <v>443.7869822485207</v>
      </c>
      <c r="AE83" s="550">
        <f>IFERROR(Generation_Entsoe_SFS_2018[[#This Row],[Wind onshore]]/'Capacity_Entsoe_SFS_2018'!I85*10^6,0)</f>
        <v>0</v>
      </c>
      <c r="AF83" s="550">
        <f>IFERROR(Generation_Entsoe_SFS_2018[[#This Row],[Wind offshore]]/'Capacity_Entsoe_SFS_2018'!J85*10^6,0)</f>
        <v>0</v>
      </c>
      <c r="AG83" s="550">
        <f>IFERROR(Generation_Entsoe_SFS_2018[[#This Row],[Solar PV]]/'Capacity_Entsoe_SFS_2018'!K85*10^6,0)</f>
        <v>1129.9435028248588</v>
      </c>
      <c r="AH83" s="550">
        <f>IFERROR(Generation_Entsoe_SFS_2018[[#This Row],[Bioenergy]]/'Capacity_Entsoe_SFS_2018'!L85*10^6,0)</f>
        <v>4878.0487804878048</v>
      </c>
      <c r="AI83" s="550">
        <f>IFERROR(Generation_Entsoe_SFS_2018[[#This Row],[Other RES]]/'Capacity_Entsoe_SFS_2018'!M85*10^6,0)</f>
        <v>0</v>
      </c>
      <c r="AJ83" s="550">
        <f>IFERROR(Generation_Entsoe_SFS_2018[[#This Row],[Renewable Hydro]]/'Capacity_Entsoe_SFS_2018'!N85*10^6,0)</f>
        <v>1935.8407079646017</v>
      </c>
      <c r="AK83" s="550">
        <f>IFERROR(Generation_Entsoe_SFS_2018[[#This Row],[Pumped Hydro]]/'Capacity_Entsoe_SFS_2018'!O85*10^6,0)</f>
        <v>408.71934604904629</v>
      </c>
      <c r="AL83" s="550">
        <f>IFERROR(Generation_Entsoe_SFS_2018[[#This Row],[Other sources]]/'Capacity_Entsoe_SFS_2018'!P85*10^6,0)</f>
        <v>5263.1578947368416</v>
      </c>
      <c r="AM83" s="107"/>
      <c r="AN83" s="107"/>
      <c r="DH83" s="168"/>
      <c r="DI83" s="168"/>
      <c r="DJ83" s="168"/>
    </row>
    <row r="84" spans="1:115" x14ac:dyDescent="0.2">
      <c r="A84" s="425" t="str">
        <f t="shared" si="1"/>
        <v>ENTSO-E</v>
      </c>
      <c r="B84" s="366">
        <f t="shared" si="2"/>
        <v>2018</v>
      </c>
      <c r="C84" s="366" t="str">
        <f t="shared" si="10"/>
        <v>TWh</v>
      </c>
      <c r="D84" s="435">
        <f t="shared" si="3"/>
        <v>808.8</v>
      </c>
      <c r="E84" s="435">
        <f t="shared" si="11"/>
        <v>382</v>
      </c>
      <c r="F84" s="435">
        <f t="shared" si="12"/>
        <v>330.9</v>
      </c>
      <c r="G84" s="435">
        <f t="shared" si="13"/>
        <v>718.3</v>
      </c>
      <c r="H84" s="435">
        <f t="shared" si="14"/>
        <v>57.599999999999994</v>
      </c>
      <c r="I84" s="435">
        <f t="shared" si="4"/>
        <v>332.3</v>
      </c>
      <c r="J84" s="435">
        <f t="shared" si="5"/>
        <v>47.2</v>
      </c>
      <c r="K84" s="435">
        <f t="shared" si="15"/>
        <v>121.3</v>
      </c>
      <c r="L84" s="435">
        <f t="shared" si="16"/>
        <v>139</v>
      </c>
      <c r="M84" s="435">
        <f t="shared" si="17"/>
        <v>51.8</v>
      </c>
      <c r="N84" s="435">
        <f t="shared" si="18"/>
        <v>615.69999999999993</v>
      </c>
      <c r="O84" s="435">
        <f t="shared" si="19"/>
        <v>29.200000000000003</v>
      </c>
      <c r="P84" s="435">
        <f t="shared" si="20"/>
        <v>25</v>
      </c>
      <c r="Q84" s="538">
        <f t="shared" si="6"/>
        <v>3659.1</v>
      </c>
      <c r="R84" s="435">
        <f t="shared" si="21"/>
        <v>3659.1</v>
      </c>
      <c r="S84" s="519">
        <f t="shared" si="22"/>
        <v>1</v>
      </c>
      <c r="T84" s="514">
        <f>INDEX($A$3:$AM$40,MATCH(Generation_Entsoe_SFS_2018[[#This Row],[Country]],$A$3:$A$40,0),MATCH(Generation_Entsoe_SFS_2018[[#Headers],[Consumption]],$A$1:$AM$1,0))</f>
        <v>3628.4</v>
      </c>
      <c r="U84" s="514">
        <f>INDEX($A$3:$AM$40,MATCH(Generation_Entsoe_SFS_2018[[#This Row],[Country]],$A$3:$A$40,0),MATCH(Generation_Entsoe_SFS_2018[[#Headers],[Pumping]],$A$1:$AM$1,0))</f>
        <v>44.1</v>
      </c>
      <c r="W84" s="425" t="str">
        <f t="shared" si="8"/>
        <v>ENTSO-E</v>
      </c>
      <c r="X84" s="366">
        <f t="shared" si="9"/>
        <v>2018</v>
      </c>
      <c r="Y84" s="366" t="s">
        <v>648</v>
      </c>
      <c r="Z84" s="551">
        <f>IFERROR(Generation_Entsoe_SFS_2018[[#This Row],[Nuclear]]/'Capacity_Entsoe_SFS_2018'!D87*10^6,0)</f>
        <v>6635.7632194281496</v>
      </c>
      <c r="AA84" s="551">
        <f>IFERROR(Generation_Entsoe_SFS_2018[[#This Row],[Lignite]]/'Capacity_Entsoe_SFS_2018'!E87*10^6,0)</f>
        <v>5449.3580599144079</v>
      </c>
      <c r="AB84" s="551">
        <f>IFERROR(Generation_Entsoe_SFS_2018[[#This Row],[Hard coal]]/'Capacity_Entsoe_SFS_2018'!F87*10^6,0)</f>
        <v>3321.4887978800284</v>
      </c>
      <c r="AC84" s="551">
        <f>IFERROR(Generation_Entsoe_SFS_2018[[#This Row],[Fossil gases]]/'Capacity_Entsoe_SFS_2018'!G87*10^6,0)</f>
        <v>2932.9620344132031</v>
      </c>
      <c r="AD84" s="551">
        <f>IFERROR(Generation_Entsoe_SFS_2018[[#This Row],[Other fossil fuels]]/'Capacity_Entsoe_SFS_2018'!H87*10^6,0)</f>
        <v>1423.2061672267243</v>
      </c>
      <c r="AE84" s="551">
        <f>IFERROR(Generation_Entsoe_SFS_2018[[#This Row],[Wind onshore]]/'Capacity_Entsoe_SFS_2018'!I87*10^6,0)</f>
        <v>1979.5315366835848</v>
      </c>
      <c r="AF84" s="551">
        <f>IFERROR(Generation_Entsoe_SFS_2018[[#This Row],[Wind offshore]]/'Capacity_Entsoe_SFS_2018'!J87*10^6,0)</f>
        <v>2804.349117699483</v>
      </c>
      <c r="AG84" s="551">
        <f>IFERROR(Generation_Entsoe_SFS_2018[[#This Row],[Solar PV]]/'Capacity_Entsoe_SFS_2018'!K87*10^6,0)</f>
        <v>1043.9617185348388</v>
      </c>
      <c r="AH84" s="551">
        <f>IFERROR(Generation_Entsoe_SFS_2018[[#This Row],[Bioenergy]]/'Capacity_Entsoe_SFS_2018'!L87*10^6,0)</f>
        <v>4948.55637438143</v>
      </c>
      <c r="AI84" s="551">
        <f>IFERROR(Generation_Entsoe_SFS_2018[[#This Row],[Other RES]]/'Capacity_Entsoe_SFS_2018'!M87*10^6,0)</f>
        <v>4139.6947174938059</v>
      </c>
      <c r="AJ84" s="551">
        <f>IFERROR(Generation_Entsoe_SFS_2018[[#This Row],[Renewable Hydro]]/'Capacity_Entsoe_SFS_2018'!N87*10^6,0)</f>
        <v>2866.0804476243229</v>
      </c>
      <c r="AK84" s="551">
        <f>IFERROR(Generation_Entsoe_SFS_2018[[#This Row],[Pumped Hydro]]/'Capacity_Entsoe_SFS_2018'!O87*10^6,0)</f>
        <v>1211.9199800780277</v>
      </c>
      <c r="AL84" s="551">
        <f>IFERROR(Generation_Entsoe_SFS_2018[[#This Row],[Other sources]]/'Capacity_Entsoe_SFS_2018'!P87*10^6,0)</f>
        <v>4161.1185086551268</v>
      </c>
      <c r="AM84" s="107"/>
      <c r="AN84" s="107"/>
      <c r="DI84" s="168"/>
      <c r="DJ84" s="168"/>
    </row>
    <row r="85" spans="1:115" x14ac:dyDescent="0.2">
      <c r="A85" s="425" t="str">
        <f t="shared" si="1"/>
        <v>EU</v>
      </c>
      <c r="B85" s="366">
        <f t="shared" si="2"/>
        <v>2018</v>
      </c>
      <c r="C85" s="366" t="str">
        <f t="shared" si="10"/>
        <v>TWh</v>
      </c>
      <c r="D85" s="435">
        <f t="shared" si="3"/>
        <v>784.4</v>
      </c>
      <c r="E85" s="435">
        <f t="shared" si="11"/>
        <v>294</v>
      </c>
      <c r="F85" s="435">
        <f t="shared" si="12"/>
        <v>263.10000000000002</v>
      </c>
      <c r="G85" s="435">
        <f t="shared" si="13"/>
        <v>623.79999999999995</v>
      </c>
      <c r="H85" s="435">
        <f t="shared" si="14"/>
        <v>56.2</v>
      </c>
      <c r="I85" s="435">
        <f t="shared" si="4"/>
        <v>308.5</v>
      </c>
      <c r="J85" s="435">
        <f t="shared" si="5"/>
        <v>47.2</v>
      </c>
      <c r="K85" s="435">
        <f t="shared" si="15"/>
        <v>112.9</v>
      </c>
      <c r="L85" s="435">
        <f t="shared" si="16"/>
        <v>135.1</v>
      </c>
      <c r="M85" s="435">
        <f t="shared" si="17"/>
        <v>36.700000000000003</v>
      </c>
      <c r="N85" s="435">
        <f t="shared" si="18"/>
        <v>348.59999999999997</v>
      </c>
      <c r="O85" s="435">
        <f t="shared" si="19"/>
        <v>26.3</v>
      </c>
      <c r="P85" s="435">
        <f t="shared" si="20"/>
        <v>23.6</v>
      </c>
      <c r="Q85" s="538">
        <f t="shared" si="6"/>
        <v>3060.3999999999996</v>
      </c>
      <c r="R85" s="435">
        <f t="shared" si="21"/>
        <v>3060.5</v>
      </c>
      <c r="S85" s="519">
        <f t="shared" si="22"/>
        <v>0.99996732560039192</v>
      </c>
      <c r="T85" s="514">
        <f>INDEX($A$3:$AM$40,MATCH(Generation_Entsoe_SFS_2018[[#This Row],[Country]],$A$3:$A$40,0),MATCH(Generation_Entsoe_SFS_2018[[#Headers],[Consumption]],$A$1:$AM$1,0))</f>
        <v>3049.2</v>
      </c>
      <c r="U85" s="514">
        <f>INDEX($A$3:$AM$40,MATCH(Generation_Entsoe_SFS_2018[[#This Row],[Country]],$A$3:$A$40,0),MATCH(Generation_Entsoe_SFS_2018[[#Headers],[Pumping]],$A$1:$AM$1,0))</f>
        <v>39</v>
      </c>
      <c r="W85" s="425" t="str">
        <f t="shared" si="8"/>
        <v>EU</v>
      </c>
      <c r="X85" s="366">
        <f t="shared" si="9"/>
        <v>2018</v>
      </c>
      <c r="Y85" s="366" t="s">
        <v>648</v>
      </c>
      <c r="Z85" s="551">
        <f>IFERROR(Generation_Entsoe_SFS_2018[[#This Row],[Nuclear]]/'Capacity_Entsoe_SFS_2018'!D88*10^6,0)</f>
        <v>6616.5058371010191</v>
      </c>
      <c r="AA85" s="551">
        <f>IFERROR(Generation_Entsoe_SFS_2018[[#This Row],[Lignite]]/'Capacity_Entsoe_SFS_2018'!E88*10^6,0)</f>
        <v>5671.0775047258985</v>
      </c>
      <c r="AB85" s="551">
        <f>IFERROR(Generation_Entsoe_SFS_2018[[#This Row],[Hard coal]]/'Capacity_Entsoe_SFS_2018'!F88*10^6,0)</f>
        <v>2921.7750533049043</v>
      </c>
      <c r="AC85" s="551">
        <f>IFERROR(Generation_Entsoe_SFS_2018[[#This Row],[Fossil gases]]/'Capacity_Entsoe_SFS_2018'!G88*10^6,0)</f>
        <v>2864.1086506365959</v>
      </c>
      <c r="AD85" s="551">
        <f>IFERROR(Generation_Entsoe_SFS_2018[[#This Row],[Other fossil fuels]]/'Capacity_Entsoe_SFS_2018'!H88*10^6,0)</f>
        <v>1409.2276830491476</v>
      </c>
      <c r="AE85" s="551">
        <f>IFERROR(Generation_Entsoe_SFS_2018[[#This Row],[Wind onshore]]/'Capacity_Entsoe_SFS_2018'!I88*10^6,0)</f>
        <v>1944.6668221559642</v>
      </c>
      <c r="AF85" s="551">
        <f>IFERROR(Generation_Entsoe_SFS_2018[[#This Row],[Wind offshore]]/'Capacity_Entsoe_SFS_2018'!J88*10^6,0)</f>
        <v>2804.349117699483</v>
      </c>
      <c r="AG85" s="551">
        <f>IFERROR(Generation_Entsoe_SFS_2018[[#This Row],[Solar PV]]/'Capacity_Entsoe_SFS_2018'!K88*10^6,0)</f>
        <v>1031.9643885451039</v>
      </c>
      <c r="AH85" s="551">
        <f>IFERROR(Generation_Entsoe_SFS_2018[[#This Row],[Bioenergy]]/'Capacity_Entsoe_SFS_2018'!L88*10^6,0)</f>
        <v>4991.1334417023791</v>
      </c>
      <c r="AI85" s="551">
        <f>IFERROR(Generation_Entsoe_SFS_2018[[#This Row],[Other RES]]/'Capacity_Entsoe_SFS_2018'!M88*10^6,0)</f>
        <v>3610.0727916584697</v>
      </c>
      <c r="AJ85" s="551">
        <f>IFERROR(Generation_Entsoe_SFS_2018[[#This Row],[Renewable Hydro]]/'Capacity_Entsoe_SFS_2018'!N88*10^6,0)</f>
        <v>2488.808927156289</v>
      </c>
      <c r="AK85" s="551">
        <f>IFERROR(Generation_Entsoe_SFS_2018[[#This Row],[Pumped Hydro]]/'Capacity_Entsoe_SFS_2018'!O88*10^6,0)</f>
        <v>1157.8252256218359</v>
      </c>
      <c r="AL85" s="551">
        <f>IFERROR(Generation_Entsoe_SFS_2018[[#This Row],[Other sources]]/'Capacity_Entsoe_SFS_2018'!P88*10^6,0)</f>
        <v>4071.0712437467655</v>
      </c>
      <c r="AM85" s="107"/>
      <c r="AN85" s="107"/>
      <c r="DI85" s="168"/>
      <c r="DJ85" s="168"/>
    </row>
    <row r="86" spans="1:115" x14ac:dyDescent="0.2">
      <c r="A86" s="425" t="str">
        <f t="shared" si="1"/>
        <v>TR</v>
      </c>
      <c r="B86" s="366">
        <f t="shared" si="2"/>
        <v>2018</v>
      </c>
      <c r="C86" s="366" t="str">
        <f t="shared" si="10"/>
        <v>TWh</v>
      </c>
      <c r="D86" s="435">
        <f t="shared" si="3"/>
        <v>0</v>
      </c>
      <c r="E86" s="435">
        <f t="shared" si="11"/>
        <v>44.8</v>
      </c>
      <c r="F86" s="435">
        <f t="shared" si="12"/>
        <v>67.8</v>
      </c>
      <c r="G86" s="435">
        <f t="shared" si="13"/>
        <v>89.4</v>
      </c>
      <c r="H86" s="435">
        <f t="shared" si="14"/>
        <v>1.4</v>
      </c>
      <c r="I86" s="435">
        <f t="shared" si="4"/>
        <v>19.899999999999999</v>
      </c>
      <c r="J86" s="435">
        <f t="shared" si="5"/>
        <v>0</v>
      </c>
      <c r="K86" s="435">
        <f t="shared" si="15"/>
        <v>7.2</v>
      </c>
      <c r="L86" s="435">
        <f t="shared" si="16"/>
        <v>3.2</v>
      </c>
      <c r="M86" s="435">
        <f t="shared" si="17"/>
        <v>6.9</v>
      </c>
      <c r="N86" s="435">
        <f t="shared" si="18"/>
        <v>59.8</v>
      </c>
      <c r="O86" s="435">
        <f t="shared" si="19"/>
        <v>0</v>
      </c>
      <c r="P86" s="435">
        <f t="shared" si="20"/>
        <v>0</v>
      </c>
      <c r="Q86" s="542">
        <f>SUM(D86:P86)</f>
        <v>300.39999999999998</v>
      </c>
      <c r="R86" s="435">
        <f t="shared" si="21"/>
        <v>300.39999999999998</v>
      </c>
      <c r="S86" s="424">
        <f>Q86/R86</f>
        <v>1</v>
      </c>
      <c r="T86" s="514">
        <f>INDEX($A$3:$AM$40,MATCH(Generation_Entsoe_SFS_2018[[#This Row],[Country]],$A$3:$A$40,0),MATCH(Generation_Entsoe_SFS_2018[[#Headers],[Consumption]],$A$1:$AM$1,0))</f>
        <v>300</v>
      </c>
      <c r="U86" s="514">
        <f>INDEX($A$3:$AM$40,MATCH(Generation_Entsoe_SFS_2018[[#This Row],[Country]],$A$3:$A$40,0),MATCH(Generation_Entsoe_SFS_2018[[#Headers],[Pumping]],$A$1:$AM$1,0))</f>
        <v>0</v>
      </c>
      <c r="W86" s="425" t="str">
        <f t="shared" si="8"/>
        <v>TR</v>
      </c>
      <c r="X86" s="541">
        <f t="shared" si="9"/>
        <v>2018</v>
      </c>
      <c r="Y86" s="366" t="s">
        <v>648</v>
      </c>
      <c r="Z86" s="552">
        <f>IFERROR(Generation_Entsoe_SFS_2018[[#This Row],[Nuclear]]/Capacity_Entsoe_SFS_2018[[#This Row],[Nuclear]]*10^6,0)</f>
        <v>0</v>
      </c>
      <c r="AA86" s="552">
        <f>IFERROR(Generation_Entsoe_SFS_2018[[#This Row],[Lignite]]/Capacity_Entsoe_SFS_2018[[#This Row],[Lignite]]*10^6,0)</f>
        <v>4427.7525202609213</v>
      </c>
      <c r="AB86" s="552">
        <f>IFERROR(Generation_Entsoe_SFS_2018[[#This Row],[Hard coal]]/Capacity_Entsoe_SFS_2018[[#This Row],[Hard coal]]*10^6,0)</f>
        <v>7080.2005012531326</v>
      </c>
      <c r="AC86" s="552">
        <f>IFERROR(Generation_Entsoe_SFS_2018[[#This Row],[Fossil gases]]/Capacity_Entsoe_SFS_2018[[#This Row],[Fossil gases]]*10^6,0)</f>
        <v>3424.3689431953121</v>
      </c>
      <c r="AD86" s="552">
        <f>IFERROR(Generation_Entsoe_SFS_2018[[#This Row],[Other fossil fuels]]/Capacity_Entsoe_SFS_2018[[#This Row],[Other fossil fuels]]*10^6,0)</f>
        <v>4729.7297297297291</v>
      </c>
      <c r="AE86" s="552">
        <f>IFERROR(Generation_Entsoe_SFS_2018[[#This Row],[Wind onshore]]/Capacity_Entsoe_SFS_2018[[#This Row],[Wind onshore]]*10^6,0)</f>
        <v>2840.827980014275</v>
      </c>
      <c r="AF86" s="552">
        <f>IFERROR(Generation_Entsoe_SFS_2018[[#This Row],[Wind offshore]]/Capacity_Entsoe_SFS_2018[[#This Row],[Wind offshore]]*10^6,0)</f>
        <v>0</v>
      </c>
      <c r="AG86" s="552">
        <f>IFERROR(Generation_Entsoe_SFS_2018[[#This Row],[Solar PV]]/Capacity_Entsoe_SFS_2018[[#This Row],[Solar PV]]*10^6,0)</f>
        <v>1422.0817697017578</v>
      </c>
      <c r="AH86" s="552">
        <f>IFERROR(Generation_Entsoe_SFS_2018[[#This Row],[Bioenergy]]/Capacity_Entsoe_SFS_2018[[#This Row],[Bioenergy]]*10^6,0)</f>
        <v>3945.7459926017264</v>
      </c>
      <c r="AI86" s="552">
        <f>IFERROR(Generation_Entsoe_SFS_2018[[#This Row],[Other RES]]/Capacity_Entsoe_SFS_2018[[#This Row],[Other RES]]*10^6,0)</f>
        <v>5378.0202650038973</v>
      </c>
      <c r="AJ86" s="552">
        <f>IFERROR(Generation_Entsoe_SFS_2018[[#This Row],[Renewable Hydro]]/Capacity_Entsoe_SFS_2018[[#This Row],[Renewable Hydro]]*10^6,0)</f>
        <v>2113.746421123325</v>
      </c>
      <c r="AK86" s="552">
        <f>IFERROR(Generation_Entsoe_SFS_2018[[#This Row],[Pumped Hydro]]/Capacity_Entsoe_SFS_2018[[#This Row],[Pumped Hydro]]*10^6,0)</f>
        <v>0</v>
      </c>
      <c r="AL86" s="552">
        <f>IFERROR(Generation_Entsoe_SFS_2018[[#This Row],[Other sources]]/Capacity_Entsoe_SFS_2018[[#This Row],[Other sources]]*10^6,0)</f>
        <v>0</v>
      </c>
      <c r="AO86" s="168"/>
      <c r="DK86" s="107"/>
    </row>
    <row r="88" spans="1:115" x14ac:dyDescent="0.2">
      <c r="AD88" s="556"/>
    </row>
    <row r="89" spans="1:115" x14ac:dyDescent="0.2">
      <c r="N89" s="539"/>
    </row>
  </sheetData>
  <sortState ref="BF5:BH39">
    <sortCondition ref="BG6"/>
  </sortState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X46"/>
  <sheetViews>
    <sheetView tabSelected="1" topLeftCell="A4" zoomScaleNormal="100" workbookViewId="0">
      <selection activeCell="G15" sqref="G15"/>
    </sheetView>
  </sheetViews>
  <sheetFormatPr baseColWidth="10" defaultRowHeight="15" x14ac:dyDescent="0.25"/>
  <cols>
    <col min="1" max="1" width="5.28515625" customWidth="1"/>
    <col min="2" max="2" width="22.42578125" bestFit="1" customWidth="1"/>
    <col min="3" max="3" width="23.7109375" bestFit="1" customWidth="1"/>
    <col min="4" max="4" width="9.140625" bestFit="1" customWidth="1"/>
    <col min="5" max="5" width="7" bestFit="1" customWidth="1"/>
    <col min="6" max="6" width="11.28515625" bestFit="1" customWidth="1"/>
    <col min="7" max="7" width="16.28515625" bestFit="1" customWidth="1"/>
    <col min="8" max="8" width="13.5703125" bestFit="1" customWidth="1"/>
    <col min="9" max="9" width="13.85546875" bestFit="1" customWidth="1"/>
    <col min="10" max="10" width="8.28515625" bestFit="1" customWidth="1"/>
    <col min="11" max="11" width="6.28515625" bestFit="1" customWidth="1"/>
    <col min="12" max="12" width="10" customWidth="1"/>
    <col min="13" max="13" width="7" customWidth="1"/>
    <col min="14" max="14" width="12.85546875" bestFit="1" customWidth="1"/>
    <col min="15" max="16" width="15.5703125" bestFit="1" customWidth="1"/>
    <col min="17" max="17" width="11.5703125" bestFit="1" customWidth="1"/>
    <col min="18" max="18" width="15.5703125" bestFit="1" customWidth="1"/>
    <col min="19" max="19" width="15.7109375" bestFit="1" customWidth="1"/>
    <col min="20" max="21" width="11.5703125" bestFit="1" customWidth="1"/>
    <col min="23" max="23" width="12" bestFit="1" customWidth="1"/>
    <col min="24" max="24" width="11.5703125" bestFit="1" customWidth="1"/>
  </cols>
  <sheetData>
    <row r="1" spans="1:16" s="440" customFormat="1" ht="21" x14ac:dyDescent="0.35">
      <c r="A1" s="441" t="s">
        <v>603</v>
      </c>
    </row>
    <row r="2" spans="1:16" x14ac:dyDescent="0.25">
      <c r="B2" s="438" t="s">
        <v>197</v>
      </c>
      <c r="C2" t="s">
        <v>121</v>
      </c>
    </row>
    <row r="4" spans="1:16" x14ac:dyDescent="0.25">
      <c r="B4" s="438" t="s">
        <v>598</v>
      </c>
      <c r="C4" s="438" t="s">
        <v>412</v>
      </c>
    </row>
    <row r="5" spans="1:16" x14ac:dyDescent="0.25">
      <c r="B5" s="438" t="s">
        <v>410</v>
      </c>
      <c r="C5" t="s">
        <v>57</v>
      </c>
      <c r="D5" t="s">
        <v>349</v>
      </c>
      <c r="E5" t="s">
        <v>348</v>
      </c>
      <c r="F5" t="s">
        <v>595</v>
      </c>
      <c r="G5" t="s">
        <v>352</v>
      </c>
      <c r="H5" t="s">
        <v>43</v>
      </c>
      <c r="I5" t="s">
        <v>42</v>
      </c>
      <c r="J5" t="s">
        <v>44</v>
      </c>
      <c r="K5" t="s">
        <v>133</v>
      </c>
      <c r="L5" t="s">
        <v>397</v>
      </c>
      <c r="M5" t="s">
        <v>413</v>
      </c>
      <c r="N5" t="s">
        <v>596</v>
      </c>
      <c r="O5" t="s">
        <v>597</v>
      </c>
      <c r="P5" t="s">
        <v>411</v>
      </c>
    </row>
    <row r="6" spans="1:16" x14ac:dyDescent="0.25">
      <c r="B6" s="439">
        <v>2014</v>
      </c>
      <c r="C6" s="437">
        <v>0</v>
      </c>
      <c r="D6" s="437">
        <v>0</v>
      </c>
      <c r="E6" s="437">
        <v>0</v>
      </c>
      <c r="F6" s="437">
        <v>1090</v>
      </c>
      <c r="G6" s="437">
        <v>0</v>
      </c>
      <c r="H6" s="437">
        <v>814</v>
      </c>
      <c r="I6" s="437">
        <v>0</v>
      </c>
      <c r="J6" s="437">
        <v>0</v>
      </c>
      <c r="K6" s="437">
        <v>31062</v>
      </c>
      <c r="L6" s="437">
        <v>0</v>
      </c>
      <c r="M6" s="437">
        <v>0</v>
      </c>
      <c r="N6" s="437">
        <v>22957</v>
      </c>
      <c r="O6" s="437">
        <v>8633</v>
      </c>
      <c r="P6" s="437">
        <v>64556</v>
      </c>
    </row>
    <row r="7" spans="1:16" x14ac:dyDescent="0.25">
      <c r="B7" s="439">
        <v>2015</v>
      </c>
      <c r="C7" s="437">
        <v>0</v>
      </c>
      <c r="D7" s="437">
        <v>0</v>
      </c>
      <c r="E7" s="437">
        <v>0</v>
      </c>
      <c r="F7" s="437">
        <v>1600</v>
      </c>
      <c r="G7" s="437">
        <v>0</v>
      </c>
      <c r="H7" s="437">
        <v>860</v>
      </c>
      <c r="I7" s="437">
        <v>0</v>
      </c>
      <c r="J7" s="437">
        <v>0</v>
      </c>
      <c r="K7" s="437">
        <v>31200</v>
      </c>
      <c r="L7" s="437">
        <v>32</v>
      </c>
      <c r="M7" s="437">
        <v>0</v>
      </c>
      <c r="N7" s="437">
        <v>22530</v>
      </c>
      <c r="O7" s="437">
        <v>9527</v>
      </c>
      <c r="P7" s="437">
        <v>65749</v>
      </c>
    </row>
    <row r="8" spans="1:16" x14ac:dyDescent="0.25">
      <c r="B8" s="439">
        <v>2016</v>
      </c>
      <c r="C8" s="437">
        <v>0</v>
      </c>
      <c r="D8" s="437">
        <v>0</v>
      </c>
      <c r="E8" s="437">
        <v>0</v>
      </c>
      <c r="F8" s="437">
        <v>445</v>
      </c>
      <c r="G8" s="437">
        <v>0</v>
      </c>
      <c r="H8" s="437">
        <v>869</v>
      </c>
      <c r="I8" s="437">
        <v>0</v>
      </c>
      <c r="J8" s="437">
        <v>0</v>
      </c>
      <c r="K8" s="437">
        <v>30767</v>
      </c>
      <c r="L8" s="437">
        <v>2</v>
      </c>
      <c r="M8" s="437">
        <v>0</v>
      </c>
      <c r="N8" s="437">
        <v>24485</v>
      </c>
      <c r="O8" s="437">
        <v>9156</v>
      </c>
      <c r="P8" s="437">
        <v>65724</v>
      </c>
    </row>
    <row r="9" spans="1:16" x14ac:dyDescent="0.25">
      <c r="B9" s="439">
        <v>2017</v>
      </c>
      <c r="C9" s="437">
        <v>0</v>
      </c>
      <c r="D9" s="437">
        <v>0</v>
      </c>
      <c r="E9" s="437">
        <v>0</v>
      </c>
      <c r="F9" s="437">
        <v>448</v>
      </c>
      <c r="G9" s="437">
        <v>0</v>
      </c>
      <c r="H9" s="437">
        <v>1083</v>
      </c>
      <c r="I9" s="437">
        <v>0</v>
      </c>
      <c r="J9" s="437">
        <v>6</v>
      </c>
      <c r="K9" s="437">
        <v>31660</v>
      </c>
      <c r="L9" s="437">
        <v>7</v>
      </c>
      <c r="M9" s="437">
        <v>125</v>
      </c>
      <c r="N9" s="437">
        <v>23246</v>
      </c>
      <c r="O9" s="437">
        <v>9457</v>
      </c>
      <c r="P9" s="437">
        <v>66032</v>
      </c>
    </row>
    <row r="10" spans="1:16" x14ac:dyDescent="0.25">
      <c r="B10" s="439">
        <v>2018</v>
      </c>
      <c r="C10" s="437">
        <v>0</v>
      </c>
      <c r="D10" s="437">
        <v>0</v>
      </c>
      <c r="E10" s="437">
        <v>0</v>
      </c>
      <c r="F10" s="437">
        <v>542</v>
      </c>
      <c r="G10" s="437">
        <v>0</v>
      </c>
      <c r="H10" s="437">
        <v>1749</v>
      </c>
      <c r="I10" s="437">
        <v>0</v>
      </c>
      <c r="J10" s="437">
        <v>45</v>
      </c>
      <c r="K10" s="437">
        <v>32574</v>
      </c>
      <c r="L10" s="437">
        <v>7</v>
      </c>
      <c r="M10" s="437">
        <v>104</v>
      </c>
      <c r="N10" s="437">
        <v>24108</v>
      </c>
      <c r="O10" s="437">
        <v>9343</v>
      </c>
      <c r="P10" s="437">
        <v>68472</v>
      </c>
    </row>
    <row r="11" spans="1:16" x14ac:dyDescent="0.25">
      <c r="B11" s="439" t="s">
        <v>411</v>
      </c>
      <c r="C11" s="437">
        <v>0</v>
      </c>
      <c r="D11" s="437">
        <v>0</v>
      </c>
      <c r="E11" s="437">
        <v>0</v>
      </c>
      <c r="F11" s="437">
        <v>4125</v>
      </c>
      <c r="G11" s="437">
        <v>0</v>
      </c>
      <c r="H11" s="437">
        <v>5375</v>
      </c>
      <c r="I11" s="437">
        <v>0</v>
      </c>
      <c r="J11" s="437">
        <v>51</v>
      </c>
      <c r="K11" s="437">
        <v>157263</v>
      </c>
      <c r="L11" s="437">
        <v>48</v>
      </c>
      <c r="M11" s="437">
        <v>229</v>
      </c>
      <c r="N11" s="437">
        <v>117326</v>
      </c>
      <c r="O11" s="437">
        <v>46116</v>
      </c>
      <c r="P11" s="437">
        <v>330533</v>
      </c>
    </row>
    <row r="18" spans="16:24" x14ac:dyDescent="0.25">
      <c r="P18" t="s">
        <v>599</v>
      </c>
      <c r="Q18" t="s">
        <v>57</v>
      </c>
      <c r="R18" t="s">
        <v>600</v>
      </c>
      <c r="S18" t="s">
        <v>601</v>
      </c>
      <c r="T18" t="s">
        <v>210</v>
      </c>
      <c r="U18" t="s">
        <v>604</v>
      </c>
      <c r="V18" t="s">
        <v>209</v>
      </c>
      <c r="W18" t="s">
        <v>133</v>
      </c>
      <c r="X18" t="s">
        <v>397</v>
      </c>
    </row>
    <row r="19" spans="16:24" x14ac:dyDescent="0.25">
      <c r="P19">
        <v>2018</v>
      </c>
      <c r="Q19" s="510" t="str">
        <f>IFERROR(GETPIVOTDATA("Wert",$B$39,"Year",$P19,"Technology",Q$18)*10^6/GETPIVOTDATA("Wert",$B$4,"Year",$P19,"Technology",Q$18),"")</f>
        <v/>
      </c>
      <c r="R19" s="510" t="str">
        <f t="shared" ref="R19:X23" si="0">IFERROR(GETPIVOTDATA("Wert",$B$39,"Year",$P19,"Technology",R$18)*10^6/GETPIVOTDATA("Wert",$B$4,"Year",$P19,"Technology",R$18),"")</f>
        <v/>
      </c>
      <c r="S19" s="510">
        <f t="shared" si="0"/>
        <v>5904.0590405904059</v>
      </c>
      <c r="T19" s="510">
        <f t="shared" si="0"/>
        <v>1943.9679817038307</v>
      </c>
      <c r="U19" s="510" t="str">
        <f t="shared" si="0"/>
        <v/>
      </c>
      <c r="V19" s="510" t="str">
        <f t="shared" si="0"/>
        <v/>
      </c>
      <c r="W19" s="510">
        <f t="shared" si="0"/>
        <v>4236.5076441333576</v>
      </c>
      <c r="X19" s="510">
        <f t="shared" si="0"/>
        <v>0</v>
      </c>
    </row>
    <row r="20" spans="16:24" x14ac:dyDescent="0.25">
      <c r="P20">
        <v>2017</v>
      </c>
      <c r="Q20" s="510" t="str">
        <f t="shared" ref="Q20:Q23" si="1">IFERROR(GETPIVOTDATA("Wert",$B$39,"Year",$P20,"Technology",Q$18)*10^6/GETPIVOTDATA("Wert",$B$4,"Year",$P20,"Technology",Q$18),"")</f>
        <v/>
      </c>
      <c r="R20" s="510" t="str">
        <f t="shared" si="0"/>
        <v/>
      </c>
      <c r="S20" s="510">
        <f t="shared" si="0"/>
        <v>6919.6428571428569</v>
      </c>
      <c r="T20" s="510">
        <f t="shared" si="0"/>
        <v>2493.0747922437672</v>
      </c>
      <c r="U20" s="510" t="str">
        <f t="shared" si="0"/>
        <v/>
      </c>
      <c r="V20" s="510" t="str">
        <f t="shared" si="0"/>
        <v/>
      </c>
      <c r="W20" s="510">
        <f t="shared" si="0"/>
        <v>4488.3133291219201</v>
      </c>
      <c r="X20" s="510">
        <f t="shared" si="0"/>
        <v>0</v>
      </c>
    </row>
    <row r="21" spans="16:24" x14ac:dyDescent="0.25">
      <c r="P21">
        <v>2016</v>
      </c>
      <c r="Q21" s="510" t="str">
        <f t="shared" si="1"/>
        <v/>
      </c>
      <c r="R21" s="510" t="str">
        <f t="shared" si="0"/>
        <v/>
      </c>
      <c r="S21" s="510">
        <f t="shared" si="0"/>
        <v>6966.2921348314603</v>
      </c>
      <c r="T21" s="510">
        <f t="shared" si="0"/>
        <v>2416.5707710011507</v>
      </c>
      <c r="U21" s="510" t="str">
        <f t="shared" si="0"/>
        <v/>
      </c>
      <c r="V21" s="510" t="str">
        <f t="shared" si="0"/>
        <v/>
      </c>
      <c r="W21" s="510">
        <f t="shared" si="0"/>
        <v>4660.8379107485289</v>
      </c>
      <c r="X21" s="510">
        <f t="shared" si="0"/>
        <v>0</v>
      </c>
    </row>
    <row r="22" spans="16:24" x14ac:dyDescent="0.25">
      <c r="P22">
        <v>2015</v>
      </c>
      <c r="Q22" s="510" t="str">
        <f t="shared" si="1"/>
        <v/>
      </c>
      <c r="R22" s="510" t="str">
        <f t="shared" si="0"/>
        <v/>
      </c>
      <c r="S22" s="510">
        <f t="shared" si="0"/>
        <v>2187.5</v>
      </c>
      <c r="T22" s="510">
        <f t="shared" si="0"/>
        <v>2906.9767441860463</v>
      </c>
      <c r="U22" s="510" t="str">
        <f t="shared" si="0"/>
        <v/>
      </c>
      <c r="V22" s="510" t="str">
        <f t="shared" si="0"/>
        <v/>
      </c>
      <c r="W22" s="510">
        <f t="shared" si="0"/>
        <v>4455.1282051282051</v>
      </c>
      <c r="X22" s="510">
        <f t="shared" si="0"/>
        <v>0</v>
      </c>
    </row>
    <row r="23" spans="16:24" x14ac:dyDescent="0.25">
      <c r="P23">
        <v>2014</v>
      </c>
      <c r="Q23" s="510" t="str">
        <f t="shared" si="1"/>
        <v/>
      </c>
      <c r="R23" s="510" t="str">
        <f t="shared" si="0"/>
        <v/>
      </c>
      <c r="S23" s="510">
        <f t="shared" si="0"/>
        <v>3211.0091743119265</v>
      </c>
      <c r="T23" s="510">
        <f t="shared" si="0"/>
        <v>2825.5528255528257</v>
      </c>
      <c r="U23" s="510" t="str">
        <f t="shared" si="0"/>
        <v/>
      </c>
      <c r="V23" s="510" t="str">
        <f t="shared" si="0"/>
        <v/>
      </c>
      <c r="W23" s="510">
        <f t="shared" si="0"/>
        <v>4397.6563003026204</v>
      </c>
      <c r="X23" s="510" t="str">
        <f t="shared" si="0"/>
        <v/>
      </c>
    </row>
    <row r="35" spans="1:17" s="440" customFormat="1" ht="21" x14ac:dyDescent="0.35">
      <c r="A35" s="441" t="s">
        <v>602</v>
      </c>
    </row>
    <row r="37" spans="1:17" x14ac:dyDescent="0.25">
      <c r="B37" s="438" t="s">
        <v>197</v>
      </c>
      <c r="C37" t="s">
        <v>121</v>
      </c>
    </row>
    <row r="38" spans="1:17" x14ac:dyDescent="0.25">
      <c r="F38" s="439"/>
    </row>
    <row r="39" spans="1:17" x14ac:dyDescent="0.25">
      <c r="B39" s="438" t="s">
        <v>598</v>
      </c>
      <c r="C39" s="438" t="s">
        <v>412</v>
      </c>
    </row>
    <row r="40" spans="1:17" x14ac:dyDescent="0.25">
      <c r="B40" s="438" t="s">
        <v>410</v>
      </c>
      <c r="C40" t="s">
        <v>57</v>
      </c>
      <c r="D40" t="s">
        <v>349</v>
      </c>
      <c r="E40" t="s">
        <v>348</v>
      </c>
      <c r="F40" t="s">
        <v>595</v>
      </c>
      <c r="G40" t="s">
        <v>352</v>
      </c>
      <c r="H40" t="s">
        <v>43</v>
      </c>
      <c r="I40" t="s">
        <v>42</v>
      </c>
      <c r="J40" t="s">
        <v>44</v>
      </c>
      <c r="K40" t="s">
        <v>133</v>
      </c>
      <c r="L40" t="s">
        <v>397</v>
      </c>
      <c r="M40" t="s">
        <v>413</v>
      </c>
      <c r="N40" t="s">
        <v>151</v>
      </c>
      <c r="O40" t="s">
        <v>411</v>
      </c>
    </row>
    <row r="41" spans="1:17" x14ac:dyDescent="0.25">
      <c r="B41" s="439">
        <v>2014</v>
      </c>
      <c r="C41" s="437">
        <v>0</v>
      </c>
      <c r="D41" s="437">
        <v>0</v>
      </c>
      <c r="E41" s="437">
        <v>0</v>
      </c>
      <c r="F41" s="437">
        <v>3.5</v>
      </c>
      <c r="G41" s="437">
        <v>0</v>
      </c>
      <c r="H41" s="437">
        <v>2.2999999999999998</v>
      </c>
      <c r="I41" s="437">
        <v>0</v>
      </c>
      <c r="J41" s="437">
        <v>0</v>
      </c>
      <c r="K41" s="437">
        <v>136.6</v>
      </c>
      <c r="L41" s="437">
        <v>0</v>
      </c>
      <c r="M41" s="437">
        <v>0</v>
      </c>
      <c r="N41" s="437">
        <v>126.8</v>
      </c>
      <c r="O41" s="437">
        <v>269.2</v>
      </c>
    </row>
    <row r="42" spans="1:17" x14ac:dyDescent="0.25">
      <c r="B42" s="439">
        <v>2015</v>
      </c>
      <c r="C42" s="437">
        <v>0</v>
      </c>
      <c r="D42" s="437">
        <v>0</v>
      </c>
      <c r="E42" s="437">
        <v>0</v>
      </c>
      <c r="F42" s="437">
        <v>3.5</v>
      </c>
      <c r="G42" s="437">
        <v>0</v>
      </c>
      <c r="H42" s="437">
        <v>2.5</v>
      </c>
      <c r="I42" s="437">
        <v>0</v>
      </c>
      <c r="J42" s="437">
        <v>0</v>
      </c>
      <c r="K42" s="437">
        <v>139</v>
      </c>
      <c r="L42" s="437">
        <v>0</v>
      </c>
      <c r="M42" s="437">
        <v>0</v>
      </c>
      <c r="N42" s="437">
        <v>130.4</v>
      </c>
      <c r="O42" s="437">
        <v>275.39999999999998</v>
      </c>
    </row>
    <row r="43" spans="1:17" x14ac:dyDescent="0.25">
      <c r="B43" s="439">
        <v>2016</v>
      </c>
      <c r="C43" s="437">
        <v>0</v>
      </c>
      <c r="D43" s="437">
        <v>0</v>
      </c>
      <c r="E43" s="437">
        <v>0</v>
      </c>
      <c r="F43" s="437">
        <v>3.1</v>
      </c>
      <c r="G43" s="437">
        <v>0</v>
      </c>
      <c r="H43" s="437">
        <v>2.1</v>
      </c>
      <c r="I43" s="437">
        <v>0</v>
      </c>
      <c r="J43" s="437">
        <v>0</v>
      </c>
      <c r="K43" s="437">
        <v>143.4</v>
      </c>
      <c r="L43" s="437">
        <v>0</v>
      </c>
      <c r="M43" s="437">
        <v>0.2</v>
      </c>
      <c r="N43" s="437">
        <v>133.19999999999999</v>
      </c>
      <c r="O43" s="437">
        <v>282</v>
      </c>
    </row>
    <row r="44" spans="1:17" x14ac:dyDescent="0.25">
      <c r="B44" s="439">
        <v>2017</v>
      </c>
      <c r="C44" s="437">
        <v>0</v>
      </c>
      <c r="D44" s="437">
        <v>0</v>
      </c>
      <c r="E44" s="437">
        <v>0</v>
      </c>
      <c r="F44" s="437">
        <v>3.1</v>
      </c>
      <c r="G44" s="437">
        <v>0</v>
      </c>
      <c r="H44" s="437">
        <v>2.7</v>
      </c>
      <c r="I44" s="437">
        <v>0</v>
      </c>
      <c r="J44" s="437">
        <v>0</v>
      </c>
      <c r="K44" s="437">
        <v>142.1</v>
      </c>
      <c r="L44" s="437">
        <v>0</v>
      </c>
      <c r="M44" s="437">
        <v>0.7</v>
      </c>
      <c r="N44" s="437">
        <v>133.69999999999999</v>
      </c>
      <c r="O44" s="437">
        <v>282.29999999999995</v>
      </c>
      <c r="Q44" s="442"/>
    </row>
    <row r="45" spans="1:17" x14ac:dyDescent="0.25">
      <c r="B45" s="439">
        <v>2018</v>
      </c>
      <c r="C45" s="437">
        <v>0</v>
      </c>
      <c r="D45" s="437">
        <v>0</v>
      </c>
      <c r="E45" s="437">
        <v>0</v>
      </c>
      <c r="F45" s="437">
        <v>3.2</v>
      </c>
      <c r="G45" s="437">
        <v>0</v>
      </c>
      <c r="H45" s="437">
        <v>3.4</v>
      </c>
      <c r="I45" s="437">
        <v>0</v>
      </c>
      <c r="J45" s="437">
        <v>0</v>
      </c>
      <c r="K45" s="437">
        <v>138</v>
      </c>
      <c r="L45" s="437">
        <v>0</v>
      </c>
      <c r="M45" s="437">
        <v>1.1000000000000001</v>
      </c>
      <c r="N45" s="437">
        <v>135.5</v>
      </c>
      <c r="O45" s="437">
        <v>281.2</v>
      </c>
      <c r="Q45" s="442"/>
    </row>
    <row r="46" spans="1:17" x14ac:dyDescent="0.25">
      <c r="B46" s="439" t="s">
        <v>411</v>
      </c>
      <c r="C46" s="437">
        <v>0</v>
      </c>
      <c r="D46" s="437">
        <v>0</v>
      </c>
      <c r="E46" s="437">
        <v>0</v>
      </c>
      <c r="F46" s="437">
        <v>16.399999999999999</v>
      </c>
      <c r="G46" s="437">
        <v>0</v>
      </c>
      <c r="H46" s="437">
        <v>13.000000000000002</v>
      </c>
      <c r="I46" s="437">
        <v>0</v>
      </c>
      <c r="J46" s="437">
        <v>0</v>
      </c>
      <c r="K46" s="437">
        <v>699.1</v>
      </c>
      <c r="L46" s="437">
        <v>0</v>
      </c>
      <c r="M46" s="437">
        <v>2</v>
      </c>
      <c r="N46" s="437">
        <v>659.59999999999991</v>
      </c>
      <c r="O46" s="437">
        <v>1390.1</v>
      </c>
    </row>
  </sheetData>
  <pageMargins left="0.7" right="0.7" top="0.78740157499999996" bottom="0.78740157499999996" header="0.3" footer="0.3"/>
  <pageSetup paperSize="9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M2404"/>
  <sheetViews>
    <sheetView workbookViewId="0">
      <selection sqref="A1:E2404"/>
    </sheetView>
  </sheetViews>
  <sheetFormatPr baseColWidth="10" defaultRowHeight="15" x14ac:dyDescent="0.25"/>
  <cols>
    <col min="1" max="1" width="10.28515625" bestFit="1" customWidth="1"/>
    <col min="2" max="2" width="7.28515625" bestFit="1" customWidth="1"/>
    <col min="3" max="3" width="7.140625" bestFit="1" customWidth="1"/>
    <col min="4" max="4" width="16.28515625" bestFit="1" customWidth="1"/>
    <col min="5" max="7" width="7.85546875" bestFit="1" customWidth="1"/>
    <col min="11" max="11" width="26" bestFit="1" customWidth="1"/>
    <col min="12" max="12" width="25.85546875" bestFit="1" customWidth="1"/>
    <col min="13" max="13" width="18" bestFit="1" customWidth="1"/>
    <col min="14" max="14" width="29.85546875" bestFit="1" customWidth="1"/>
    <col min="15" max="15" width="43.42578125" bestFit="1" customWidth="1"/>
  </cols>
  <sheetData>
    <row r="1" spans="1:13" x14ac:dyDescent="0.25">
      <c r="A1" t="s">
        <v>197</v>
      </c>
      <c r="B1" t="s">
        <v>63</v>
      </c>
      <c r="C1" t="s">
        <v>393</v>
      </c>
      <c r="D1" t="s">
        <v>646</v>
      </c>
      <c r="E1" t="s">
        <v>640</v>
      </c>
      <c r="H1" t="s">
        <v>152</v>
      </c>
    </row>
    <row r="2" spans="1:13" x14ac:dyDescent="0.25">
      <c r="A2" t="s">
        <v>99</v>
      </c>
      <c r="B2">
        <v>2014</v>
      </c>
      <c r="C2" t="s">
        <v>205</v>
      </c>
      <c r="D2" s="437" t="s">
        <v>57</v>
      </c>
      <c r="E2" s="437">
        <v>0</v>
      </c>
      <c r="H2">
        <v>2018</v>
      </c>
      <c r="I2" t="s">
        <v>59</v>
      </c>
      <c r="J2" t="s">
        <v>149</v>
      </c>
      <c r="K2" t="s">
        <v>50</v>
      </c>
      <c r="L2" t="s">
        <v>51</v>
      </c>
      <c r="M2" t="s">
        <v>52</v>
      </c>
    </row>
    <row r="3" spans="1:13" x14ac:dyDescent="0.25">
      <c r="A3" t="s">
        <v>99</v>
      </c>
      <c r="B3">
        <v>2014</v>
      </c>
      <c r="C3" t="s">
        <v>205</v>
      </c>
      <c r="D3" s="437" t="s">
        <v>348</v>
      </c>
      <c r="E3" s="437">
        <v>0</v>
      </c>
      <c r="H3" t="s">
        <v>98</v>
      </c>
      <c r="I3">
        <f>INDEX(Generation_Entsoe_SFS_2018!$A$3:$AL$40,MATCH('Capacity für Balkanabfrage'!$H3,Generation_Entsoe_SFS_2018!$A$3:$A$40,0),MATCH('Capacity für Balkanabfrage'!I$2,Generation_Entsoe_SFS_2018!$A$1:$AL$1,0))</f>
        <v>0</v>
      </c>
      <c r="J3">
        <f>INDEX(Generation_Entsoe_SFS_2018!$A$3:$AL$40,MATCH('Capacity für Balkanabfrage'!$H3,Generation_Entsoe_SFS_2018!$A$3:$A$40,0),MATCH('Capacity für Balkanabfrage'!J$2,Generation_Entsoe_SFS_2018!$A$1:$AL$1,0))</f>
        <v>0</v>
      </c>
      <c r="K3">
        <f>INDEX(Generation_Entsoe_SFS_2018!$A$3:$AL$40,MATCH('Capacity für Balkanabfrage'!$H3,Generation_Entsoe_SFS_2018!$A$3:$A$40,0),MATCH('Capacity für Balkanabfrage'!K$2,Generation_Entsoe_SFS_2018!$A$1:$AL$1,0))</f>
        <v>5.9</v>
      </c>
      <c r="L3">
        <f>INDEX(Generation_Entsoe_SFS_2018!$A$3:$AL$40,MATCH('Capacity für Balkanabfrage'!$H3,Generation_Entsoe_SFS_2018!$A$3:$A$40,0),MATCH('Capacity für Balkanabfrage'!L$2,Generation_Entsoe_SFS_2018!$A$1:$AL$1,0))</f>
        <v>2.2000000000000002</v>
      </c>
      <c r="M3">
        <f>INDEX(Generation_Entsoe_SFS_2018!$A$3:$AL$40,MATCH('Capacity für Balkanabfrage'!$H3,Generation_Entsoe_SFS_2018!$A$3:$A$40,0),MATCH('Capacity für Balkanabfrage'!M$2,Generation_Entsoe_SFS_2018!$A$1:$AL$1,0))</f>
        <v>0</v>
      </c>
    </row>
    <row r="4" spans="1:13" x14ac:dyDescent="0.25">
      <c r="A4" t="s">
        <v>99</v>
      </c>
      <c r="B4">
        <v>2014</v>
      </c>
      <c r="C4" t="s">
        <v>205</v>
      </c>
      <c r="D4" s="437" t="s">
        <v>349</v>
      </c>
      <c r="E4" s="437">
        <v>1171</v>
      </c>
      <c r="H4" t="s">
        <v>100</v>
      </c>
      <c r="I4">
        <f>INDEX(Generation_Entsoe_SFS_2018!$A$3:$AL$40,MATCH('Capacity für Balkanabfrage'!$H4,Generation_Entsoe_SFS_2018!$A$3:$A$40,0),MATCH('Capacity für Balkanabfrage'!I$2,Generation_Entsoe_SFS_2018!$A$1:$AL$1,0))</f>
        <v>0</v>
      </c>
      <c r="J4">
        <f>INDEX(Generation_Entsoe_SFS_2018!$A$3:$AL$40,MATCH('Capacity für Balkanabfrage'!$H4,Generation_Entsoe_SFS_2018!$A$3:$A$40,0),MATCH('Capacity für Balkanabfrage'!J$2,Generation_Entsoe_SFS_2018!$A$1:$AL$1,0))</f>
        <v>0.1</v>
      </c>
      <c r="K4">
        <f>INDEX(Generation_Entsoe_SFS_2018!$A$3:$AL$40,MATCH('Capacity für Balkanabfrage'!$H4,Generation_Entsoe_SFS_2018!$A$3:$A$40,0),MATCH('Capacity für Balkanabfrage'!K$2,Generation_Entsoe_SFS_2018!$A$1:$AL$1,0))</f>
        <v>5.8</v>
      </c>
      <c r="L4">
        <f>INDEX(Generation_Entsoe_SFS_2018!$A$3:$AL$40,MATCH('Capacity für Balkanabfrage'!$H4,Generation_Entsoe_SFS_2018!$A$3:$A$40,0),MATCH('Capacity für Balkanabfrage'!L$2,Generation_Entsoe_SFS_2018!$A$1:$AL$1,0))</f>
        <v>0</v>
      </c>
      <c r="M4">
        <f>INDEX(Generation_Entsoe_SFS_2018!$A$3:$AL$40,MATCH('Capacity für Balkanabfrage'!$H4,Generation_Entsoe_SFS_2018!$A$3:$A$40,0),MATCH('Capacity für Balkanabfrage'!M$2,Generation_Entsoe_SFS_2018!$A$1:$AL$1,0))</f>
        <v>0.3</v>
      </c>
    </row>
    <row r="5" spans="1:13" x14ac:dyDescent="0.25">
      <c r="A5" t="s">
        <v>99</v>
      </c>
      <c r="B5">
        <v>2014</v>
      </c>
      <c r="C5" t="s">
        <v>205</v>
      </c>
      <c r="D5" s="437" t="s">
        <v>595</v>
      </c>
      <c r="E5" s="437">
        <v>5119</v>
      </c>
      <c r="H5" t="s">
        <v>118</v>
      </c>
      <c r="I5">
        <f>INDEX(Generation_Entsoe_SFS_2018!$A$3:$AL$40,MATCH('Capacity für Balkanabfrage'!$H5,Generation_Entsoe_SFS_2018!$A$3:$A$40,0),MATCH('Capacity für Balkanabfrage'!I$2,Generation_Entsoe_SFS_2018!$A$1:$AL$1,0))</f>
        <v>0</v>
      </c>
      <c r="J5">
        <f>INDEX(Generation_Entsoe_SFS_2018!$A$3:$AL$40,MATCH('Capacity für Balkanabfrage'!$H5,Generation_Entsoe_SFS_2018!$A$3:$A$40,0),MATCH('Capacity für Balkanabfrage'!J$2,Generation_Entsoe_SFS_2018!$A$1:$AL$1,0))</f>
        <v>2</v>
      </c>
      <c r="K5">
        <f>INDEX(Generation_Entsoe_SFS_2018!$A$3:$AL$40,MATCH('Capacity für Balkanabfrage'!$H5,Generation_Entsoe_SFS_2018!$A$3:$A$40,0),MATCH('Capacity für Balkanabfrage'!K$2,Generation_Entsoe_SFS_2018!$A$1:$AL$1,0))</f>
        <v>0</v>
      </c>
      <c r="L5">
        <f>INDEX(Generation_Entsoe_SFS_2018!$A$3:$AL$40,MATCH('Capacity für Balkanabfrage'!$H5,Generation_Entsoe_SFS_2018!$A$3:$A$40,0),MATCH('Capacity für Balkanabfrage'!L$2,Generation_Entsoe_SFS_2018!$A$1:$AL$1,0))</f>
        <v>0</v>
      </c>
      <c r="M5">
        <f>INDEX(Generation_Entsoe_SFS_2018!$A$3:$AL$40,MATCH('Capacity für Balkanabfrage'!$H5,Generation_Entsoe_SFS_2018!$A$3:$A$40,0),MATCH('Capacity für Balkanabfrage'!M$2,Generation_Entsoe_SFS_2018!$A$1:$AL$1,0))</f>
        <v>0</v>
      </c>
    </row>
    <row r="6" spans="1:13" x14ac:dyDescent="0.25">
      <c r="A6" t="s">
        <v>99</v>
      </c>
      <c r="B6">
        <v>2014</v>
      </c>
      <c r="C6" t="s">
        <v>205</v>
      </c>
      <c r="D6" s="437" t="s">
        <v>352</v>
      </c>
      <c r="E6" s="437">
        <v>1557</v>
      </c>
      <c r="H6" t="s">
        <v>119</v>
      </c>
      <c r="I6">
        <f>INDEX(Generation_Entsoe_SFS_2018!$A$3:$AL$40,MATCH('Capacity für Balkanabfrage'!$H6,Generation_Entsoe_SFS_2018!$A$3:$A$40,0),MATCH('Capacity für Balkanabfrage'!I$2,Generation_Entsoe_SFS_2018!$A$1:$AL$1,0))</f>
        <v>0</v>
      </c>
      <c r="J6">
        <f>INDEX(Generation_Entsoe_SFS_2018!$A$3:$AL$40,MATCH('Capacity für Balkanabfrage'!$H6,Generation_Entsoe_SFS_2018!$A$3:$A$40,0),MATCH('Capacity für Balkanabfrage'!J$2,Generation_Entsoe_SFS_2018!$A$1:$AL$1,0))</f>
        <v>0</v>
      </c>
      <c r="K6">
        <f>INDEX(Generation_Entsoe_SFS_2018!$A$3:$AL$40,MATCH('Capacity für Balkanabfrage'!$H6,Generation_Entsoe_SFS_2018!$A$3:$A$40,0),MATCH('Capacity für Balkanabfrage'!K$2,Generation_Entsoe_SFS_2018!$A$1:$AL$1,0))</f>
        <v>1.4</v>
      </c>
      <c r="L6">
        <f>INDEX(Generation_Entsoe_SFS_2018!$A$3:$AL$40,MATCH('Capacity für Balkanabfrage'!$H6,Generation_Entsoe_SFS_2018!$A$3:$A$40,0),MATCH('Capacity für Balkanabfrage'!L$2,Generation_Entsoe_SFS_2018!$A$1:$AL$1,0))</f>
        <v>0.2</v>
      </c>
      <c r="M6">
        <f>INDEX(Generation_Entsoe_SFS_2018!$A$3:$AL$40,MATCH('Capacity für Balkanabfrage'!$H6,Generation_Entsoe_SFS_2018!$A$3:$A$40,0),MATCH('Capacity für Balkanabfrage'!M$2,Generation_Entsoe_SFS_2018!$A$1:$AL$1,0))</f>
        <v>0</v>
      </c>
    </row>
    <row r="7" spans="1:13" x14ac:dyDescent="0.25">
      <c r="A7" t="s">
        <v>99</v>
      </c>
      <c r="B7">
        <v>2014</v>
      </c>
      <c r="C7" t="s">
        <v>205</v>
      </c>
      <c r="D7" s="437" t="s">
        <v>43</v>
      </c>
      <c r="E7" s="437">
        <v>1555</v>
      </c>
      <c r="H7" t="s">
        <v>125</v>
      </c>
      <c r="I7">
        <f>INDEX(Generation_Entsoe_SFS_2018!$A$3:$AL$40,MATCH('Capacity für Balkanabfrage'!$H7,Generation_Entsoe_SFS_2018!$A$3:$A$40,0),MATCH('Capacity für Balkanabfrage'!I$2,Generation_Entsoe_SFS_2018!$A$1:$AL$1,0))</f>
        <v>0.8</v>
      </c>
      <c r="J7">
        <f>INDEX(Generation_Entsoe_SFS_2018!$A$3:$AL$40,MATCH('Capacity für Balkanabfrage'!$H7,Generation_Entsoe_SFS_2018!$A$3:$A$40,0),MATCH('Capacity für Balkanabfrage'!J$2,Generation_Entsoe_SFS_2018!$A$1:$AL$1,0))</f>
        <v>0</v>
      </c>
      <c r="K7">
        <f>INDEX(Generation_Entsoe_SFS_2018!$A$3:$AL$40,MATCH('Capacity für Balkanabfrage'!$H7,Generation_Entsoe_SFS_2018!$A$3:$A$40,0),MATCH('Capacity für Balkanabfrage'!K$2,Generation_Entsoe_SFS_2018!$A$1:$AL$1,0))</f>
        <v>1.2</v>
      </c>
      <c r="L7">
        <f>INDEX(Generation_Entsoe_SFS_2018!$A$3:$AL$40,MATCH('Capacity für Balkanabfrage'!$H7,Generation_Entsoe_SFS_2018!$A$3:$A$40,0),MATCH('Capacity für Balkanabfrage'!L$2,Generation_Entsoe_SFS_2018!$A$1:$AL$1,0))</f>
        <v>9.1999999999999993</v>
      </c>
      <c r="M7">
        <f>INDEX(Generation_Entsoe_SFS_2018!$A$3:$AL$40,MATCH('Capacity für Balkanabfrage'!$H7,Generation_Entsoe_SFS_2018!$A$3:$A$40,0),MATCH('Capacity für Balkanabfrage'!M$2,Generation_Entsoe_SFS_2018!$A$1:$AL$1,0))</f>
        <v>0</v>
      </c>
    </row>
    <row r="8" spans="1:13" x14ac:dyDescent="0.25">
      <c r="A8" t="s">
        <v>99</v>
      </c>
      <c r="B8">
        <v>2014</v>
      </c>
      <c r="C8" t="s">
        <v>205</v>
      </c>
      <c r="D8" s="437" t="s">
        <v>42</v>
      </c>
      <c r="E8" s="437">
        <v>0</v>
      </c>
      <c r="H8" t="s">
        <v>645</v>
      </c>
      <c r="I8" t="e">
        <f>INDEX(Generation_Entsoe_SFS_2018!$A$3:$AL$40,MATCH('Capacity für Balkanabfrage'!$H8,Generation_Entsoe_SFS_2018!$A$3:$A$40,0),MATCH('Capacity für Balkanabfrage'!I$2,Generation_Entsoe_SFS_2018!$A$1:$AL$1,0))</f>
        <v>#N/A</v>
      </c>
      <c r="J8" t="e">
        <f>INDEX(Generation_Entsoe_SFS_2018!$A$3:$AL$40,MATCH('Capacity für Balkanabfrage'!$H8,Generation_Entsoe_SFS_2018!$A$3:$A$40,0),MATCH('Capacity für Balkanabfrage'!J$2,Generation_Entsoe_SFS_2018!$A$1:$AL$1,0))</f>
        <v>#N/A</v>
      </c>
      <c r="K8" t="e">
        <f>INDEX(Generation_Entsoe_SFS_2018!$A$3:$AL$40,MATCH('Capacity für Balkanabfrage'!$H8,Generation_Entsoe_SFS_2018!$A$3:$A$40,0),MATCH('Capacity für Balkanabfrage'!K$2,Generation_Entsoe_SFS_2018!$A$1:$AL$1,0))</f>
        <v>#N/A</v>
      </c>
      <c r="L8" t="e">
        <f>INDEX(Generation_Entsoe_SFS_2018!$A$3:$AL$40,MATCH('Capacity für Balkanabfrage'!$H8,Generation_Entsoe_SFS_2018!$A$3:$A$40,0),MATCH('Capacity für Balkanabfrage'!L$2,Generation_Entsoe_SFS_2018!$A$1:$AL$1,0))</f>
        <v>#N/A</v>
      </c>
      <c r="M8" t="e">
        <f>INDEX(Generation_Entsoe_SFS_2018!$A$3:$AL$40,MATCH('Capacity für Balkanabfrage'!$H8,Generation_Entsoe_SFS_2018!$A$3:$A$40,0),MATCH('Capacity für Balkanabfrage'!M$2,Generation_Entsoe_SFS_2018!$A$1:$AL$1,0))</f>
        <v>#N/A</v>
      </c>
    </row>
    <row r="9" spans="1:13" x14ac:dyDescent="0.25">
      <c r="A9" t="s">
        <v>99</v>
      </c>
      <c r="B9">
        <v>2014</v>
      </c>
      <c r="C9" t="s">
        <v>205</v>
      </c>
      <c r="D9" s="437" t="s">
        <v>44</v>
      </c>
      <c r="E9" s="437">
        <v>324</v>
      </c>
      <c r="H9" t="s">
        <v>152</v>
      </c>
    </row>
    <row r="10" spans="1:13" x14ac:dyDescent="0.25">
      <c r="A10" t="s">
        <v>99</v>
      </c>
      <c r="B10">
        <v>2014</v>
      </c>
      <c r="C10" t="s">
        <v>205</v>
      </c>
      <c r="D10" s="437" t="s">
        <v>397</v>
      </c>
      <c r="E10" s="437">
        <v>426</v>
      </c>
      <c r="H10">
        <v>2017</v>
      </c>
      <c r="I10" t="s">
        <v>59</v>
      </c>
      <c r="J10" t="s">
        <v>149</v>
      </c>
      <c r="K10" t="s">
        <v>50</v>
      </c>
      <c r="L10" t="s">
        <v>51</v>
      </c>
      <c r="M10" t="s">
        <v>52</v>
      </c>
    </row>
    <row r="11" spans="1:13" x14ac:dyDescent="0.25">
      <c r="A11" t="s">
        <v>99</v>
      </c>
      <c r="B11">
        <v>2014</v>
      </c>
      <c r="C11" t="s">
        <v>205</v>
      </c>
      <c r="D11" s="437" t="s">
        <v>133</v>
      </c>
      <c r="E11" s="437">
        <v>13427</v>
      </c>
      <c r="H11" t="s">
        <v>98</v>
      </c>
      <c r="I11">
        <f>INDEX(Generation_Entsoe_SFS_2017!$A$3:$AL$40,MATCH('Capacity für Balkanabfrage'!$H11,Generation_Entsoe_SFS_2017!$A$3:$A$40,0),MATCH('Capacity für Balkanabfrage'!I$2,Generation_Entsoe_SFS_2017!$A$1:$AL$1,0))</f>
        <v>0</v>
      </c>
      <c r="J11">
        <f>INDEX(Generation_Entsoe_SFS_2017!$A$3:$AL$40,MATCH('Capacity für Balkanabfrage'!$H11,Generation_Entsoe_SFS_2017!$A$3:$A$40,0),MATCH('Capacity für Balkanabfrage'!J$2,Generation_Entsoe_SFS_2017!$A$1:$AL$1,0))</f>
        <v>0</v>
      </c>
      <c r="K11">
        <f>INDEX(Generation_Entsoe_SFS_2017!$A$3:$AL$40,MATCH('Capacity für Balkanabfrage'!$H11,Generation_Entsoe_SFS_2017!$A$3:$A$40,0),MATCH('Capacity für Balkanabfrage'!K$2,Generation_Entsoe_SFS_2017!$A$1:$AL$1,0))</f>
        <v>3.1</v>
      </c>
      <c r="L11">
        <f>INDEX(Generation_Entsoe_SFS_2017!$A$3:$AL$40,MATCH('Capacity für Balkanabfrage'!$H11,Generation_Entsoe_SFS_2017!$A$3:$A$40,0),MATCH('Capacity für Balkanabfrage'!L$2,Generation_Entsoe_SFS_2017!$A$1:$AL$1,0))</f>
        <v>1.1000000000000001</v>
      </c>
      <c r="M11">
        <f>INDEX(Generation_Entsoe_SFS_2017!$A$3:$AL$40,MATCH('Capacity für Balkanabfrage'!$H11,Generation_Entsoe_SFS_2017!$A$3:$A$40,0),MATCH('Capacity für Balkanabfrage'!M$2,Generation_Entsoe_SFS_2017!$A$1:$AL$1,0))</f>
        <v>0</v>
      </c>
    </row>
    <row r="12" spans="1:13" x14ac:dyDescent="0.25">
      <c r="A12" t="s">
        <v>99</v>
      </c>
      <c r="B12">
        <v>2014</v>
      </c>
      <c r="C12" t="s">
        <v>205</v>
      </c>
      <c r="D12" s="437" t="s">
        <v>597</v>
      </c>
      <c r="E12" s="437">
        <v>4673</v>
      </c>
      <c r="H12" t="s">
        <v>100</v>
      </c>
      <c r="I12">
        <f>INDEX(Generation_Entsoe_SFS_2017!$A$3:$AL$40,MATCH('Capacity für Balkanabfrage'!$H12,Generation_Entsoe_SFS_2017!$A$3:$A$40,0),MATCH('Capacity für Balkanabfrage'!I$2,Generation_Entsoe_SFS_2017!$A$1:$AL$1,0))</f>
        <v>0</v>
      </c>
      <c r="J12">
        <f>INDEX(Generation_Entsoe_SFS_2017!$A$3:$AL$40,MATCH('Capacity für Balkanabfrage'!$H12,Generation_Entsoe_SFS_2017!$A$3:$A$40,0),MATCH('Capacity für Balkanabfrage'!J$2,Generation_Entsoe_SFS_2017!$A$1:$AL$1,0))</f>
        <v>0.2</v>
      </c>
      <c r="K12">
        <f>INDEX(Generation_Entsoe_SFS_2017!$A$3:$AL$40,MATCH('Capacity für Balkanabfrage'!$H12,Generation_Entsoe_SFS_2017!$A$3:$A$40,0),MATCH('Capacity für Balkanabfrage'!K$2,Generation_Entsoe_SFS_2017!$A$1:$AL$1,0))</f>
        <v>3.5</v>
      </c>
      <c r="L12">
        <f>INDEX(Generation_Entsoe_SFS_2017!$A$3:$AL$40,MATCH('Capacity für Balkanabfrage'!$H12,Generation_Entsoe_SFS_2017!$A$3:$A$40,0),MATCH('Capacity für Balkanabfrage'!L$2,Generation_Entsoe_SFS_2017!$A$1:$AL$1,0))</f>
        <v>0</v>
      </c>
      <c r="M12">
        <f>INDEX(Generation_Entsoe_SFS_2017!$A$3:$AL$40,MATCH('Capacity für Balkanabfrage'!$H12,Generation_Entsoe_SFS_2017!$A$3:$A$40,0),MATCH('Capacity für Balkanabfrage'!M$2,Generation_Entsoe_SFS_2017!$A$1:$AL$1,0))</f>
        <v>0.1</v>
      </c>
    </row>
    <row r="13" spans="1:13" x14ac:dyDescent="0.25">
      <c r="A13" t="s">
        <v>99</v>
      </c>
      <c r="B13">
        <v>2014</v>
      </c>
      <c r="C13" t="s">
        <v>205</v>
      </c>
      <c r="D13" s="437" t="s">
        <v>596</v>
      </c>
      <c r="E13" s="437">
        <v>11471</v>
      </c>
      <c r="H13" t="s">
        <v>118</v>
      </c>
      <c r="I13">
        <f>INDEX(Generation_Entsoe_SFS_2017!$A$3:$AL$40,MATCH('Capacity für Balkanabfrage'!$H13,Generation_Entsoe_SFS_2017!$A$3:$A$40,0),MATCH('Capacity für Balkanabfrage'!I$2,Generation_Entsoe_SFS_2017!$A$1:$AL$1,0))</f>
        <v>0</v>
      </c>
      <c r="J13">
        <f>INDEX(Generation_Entsoe_SFS_2017!$A$3:$AL$40,MATCH('Capacity für Balkanabfrage'!$H13,Generation_Entsoe_SFS_2017!$A$3:$A$40,0),MATCH('Capacity für Balkanabfrage'!J$2,Generation_Entsoe_SFS_2017!$A$1:$AL$1,0))</f>
        <v>0.7</v>
      </c>
      <c r="K13">
        <f>INDEX(Generation_Entsoe_SFS_2017!$A$3:$AL$40,MATCH('Capacity für Balkanabfrage'!$H13,Generation_Entsoe_SFS_2017!$A$3:$A$40,0),MATCH('Capacity für Balkanabfrage'!K$2,Generation_Entsoe_SFS_2017!$A$1:$AL$1,0))</f>
        <v>0.2</v>
      </c>
      <c r="L13">
        <f>INDEX(Generation_Entsoe_SFS_2017!$A$3:$AL$40,MATCH('Capacity für Balkanabfrage'!$H13,Generation_Entsoe_SFS_2017!$A$3:$A$40,0),MATCH('Capacity für Balkanabfrage'!L$2,Generation_Entsoe_SFS_2017!$A$1:$AL$1,0))</f>
        <v>0</v>
      </c>
      <c r="M13">
        <f>INDEX(Generation_Entsoe_SFS_2017!$A$3:$AL$40,MATCH('Capacity für Balkanabfrage'!$H13,Generation_Entsoe_SFS_2017!$A$3:$A$40,0),MATCH('Capacity für Balkanabfrage'!M$2,Generation_Entsoe_SFS_2017!$A$1:$AL$1,0))</f>
        <v>0</v>
      </c>
    </row>
    <row r="14" spans="1:13" x14ac:dyDescent="0.25">
      <c r="A14" t="s">
        <v>99</v>
      </c>
      <c r="B14">
        <v>2014</v>
      </c>
      <c r="C14" t="s">
        <v>205</v>
      </c>
      <c r="D14" s="437" t="s">
        <v>413</v>
      </c>
      <c r="E14" s="437">
        <v>244</v>
      </c>
      <c r="H14" t="s">
        <v>119</v>
      </c>
      <c r="I14">
        <f>INDEX(Generation_Entsoe_SFS_2017!$A$3:$AL$40,MATCH('Capacity für Balkanabfrage'!$H14,Generation_Entsoe_SFS_2017!$A$3:$A$40,0),MATCH('Capacity für Balkanabfrage'!I$2,Generation_Entsoe_SFS_2017!$A$1:$AL$1,0))</f>
        <v>0</v>
      </c>
      <c r="J14">
        <f>INDEX(Generation_Entsoe_SFS_2017!$A$3:$AL$40,MATCH('Capacity für Balkanabfrage'!$H14,Generation_Entsoe_SFS_2017!$A$3:$A$40,0),MATCH('Capacity für Balkanabfrage'!J$2,Generation_Entsoe_SFS_2017!$A$1:$AL$1,0))</f>
        <v>0</v>
      </c>
      <c r="K14">
        <f>INDEX(Generation_Entsoe_SFS_2017!$A$3:$AL$40,MATCH('Capacity für Balkanabfrage'!$H14,Generation_Entsoe_SFS_2017!$A$3:$A$40,0),MATCH('Capacity für Balkanabfrage'!K$2,Generation_Entsoe_SFS_2017!$A$1:$AL$1,0))</f>
        <v>0.8</v>
      </c>
      <c r="L14">
        <f>INDEX(Generation_Entsoe_SFS_2017!$A$3:$AL$40,MATCH('Capacity für Balkanabfrage'!$H14,Generation_Entsoe_SFS_2017!$A$3:$A$40,0),MATCH('Capacity für Balkanabfrage'!L$2,Generation_Entsoe_SFS_2017!$A$1:$AL$1,0))</f>
        <v>0.1</v>
      </c>
      <c r="M14">
        <f>INDEX(Generation_Entsoe_SFS_2017!$A$3:$AL$40,MATCH('Capacity für Balkanabfrage'!$H14,Generation_Entsoe_SFS_2017!$A$3:$A$40,0),MATCH('Capacity für Balkanabfrage'!M$2,Generation_Entsoe_SFS_2017!$A$1:$AL$1,0))</f>
        <v>0</v>
      </c>
    </row>
    <row r="15" spans="1:13" x14ac:dyDescent="0.25">
      <c r="A15" t="s">
        <v>101</v>
      </c>
      <c r="B15">
        <v>2014</v>
      </c>
      <c r="C15" t="s">
        <v>205</v>
      </c>
      <c r="D15" s="437" t="s">
        <v>57</v>
      </c>
      <c r="E15" s="437">
        <v>5926</v>
      </c>
      <c r="H15" t="s">
        <v>125</v>
      </c>
      <c r="I15">
        <f>INDEX(Generation_Entsoe_SFS_2017!$A$3:$AL$40,MATCH('Capacity für Balkanabfrage'!$H15,Generation_Entsoe_SFS_2017!$A$3:$A$40,0),MATCH('Capacity für Balkanabfrage'!I$2,Generation_Entsoe_SFS_2017!$A$1:$AL$1,0))</f>
        <v>0.6</v>
      </c>
      <c r="J15">
        <f>INDEX(Generation_Entsoe_SFS_2017!$A$3:$AL$40,MATCH('Capacity für Balkanabfrage'!$H15,Generation_Entsoe_SFS_2017!$A$3:$A$40,0),MATCH('Capacity für Balkanabfrage'!J$2,Generation_Entsoe_SFS_2017!$A$1:$AL$1,0))</f>
        <v>0</v>
      </c>
      <c r="K15">
        <f>INDEX(Generation_Entsoe_SFS_2017!$A$3:$AL$40,MATCH('Capacity für Balkanabfrage'!$H15,Generation_Entsoe_SFS_2017!$A$3:$A$40,0),MATCH('Capacity für Balkanabfrage'!K$2,Generation_Entsoe_SFS_2017!$A$1:$AL$1,0))</f>
        <v>0.8</v>
      </c>
      <c r="L15">
        <f>INDEX(Generation_Entsoe_SFS_2017!$A$3:$AL$40,MATCH('Capacity für Balkanabfrage'!$H15,Generation_Entsoe_SFS_2017!$A$3:$A$40,0),MATCH('Capacity für Balkanabfrage'!L$2,Generation_Entsoe_SFS_2017!$A$1:$AL$1,0))</f>
        <v>8.1</v>
      </c>
      <c r="M15">
        <f>INDEX(Generation_Entsoe_SFS_2017!$A$3:$AL$40,MATCH('Capacity für Balkanabfrage'!$H15,Generation_Entsoe_SFS_2017!$A$3:$A$40,0),MATCH('Capacity für Balkanabfrage'!M$2,Generation_Entsoe_SFS_2017!$A$1:$AL$1,0))</f>
        <v>0</v>
      </c>
    </row>
    <row r="16" spans="1:13" x14ac:dyDescent="0.25">
      <c r="A16" t="s">
        <v>101</v>
      </c>
      <c r="B16">
        <v>2014</v>
      </c>
      <c r="C16" t="s">
        <v>205</v>
      </c>
      <c r="D16" s="437" t="s">
        <v>348</v>
      </c>
      <c r="E16" s="437">
        <v>0</v>
      </c>
      <c r="H16" t="s">
        <v>645</v>
      </c>
      <c r="I16" t="e">
        <f>INDEX(Generation_Entsoe_SFS_2017!$A$3:$AL$40,MATCH('Capacity für Balkanabfrage'!$H16,Generation_Entsoe_SFS_2017!$A$3:$A$40,0),MATCH('Capacity für Balkanabfrage'!I$2,Generation_Entsoe_SFS_2017!$A$1:$AL$1,0))</f>
        <v>#N/A</v>
      </c>
      <c r="J16" t="e">
        <f>INDEX(Generation_Entsoe_SFS_2017!$A$3:$AL$40,MATCH('Capacity für Balkanabfrage'!$H16,Generation_Entsoe_SFS_2017!$A$3:$A$40,0),MATCH('Capacity für Balkanabfrage'!J$2,Generation_Entsoe_SFS_2017!$A$1:$AL$1,0))</f>
        <v>#N/A</v>
      </c>
      <c r="K16" t="e">
        <f>INDEX(Generation_Entsoe_SFS_2017!$A$3:$AL$40,MATCH('Capacity für Balkanabfrage'!$H16,Generation_Entsoe_SFS_2017!$A$3:$A$40,0),MATCH('Capacity für Balkanabfrage'!K$2,Generation_Entsoe_SFS_2017!$A$1:$AL$1,0))</f>
        <v>#N/A</v>
      </c>
      <c r="L16" t="e">
        <f>INDEX(Generation_Entsoe_SFS_2017!$A$3:$AL$40,MATCH('Capacity für Balkanabfrage'!$H16,Generation_Entsoe_SFS_2017!$A$3:$A$40,0),MATCH('Capacity für Balkanabfrage'!L$2,Generation_Entsoe_SFS_2017!$A$1:$AL$1,0))</f>
        <v>#N/A</v>
      </c>
      <c r="M16" t="e">
        <f>INDEX(Generation_Entsoe_SFS_2017!$A$3:$AL$40,MATCH('Capacity für Balkanabfrage'!$H16,Generation_Entsoe_SFS_2017!$A$3:$A$40,0),MATCH('Capacity für Balkanabfrage'!M$2,Generation_Entsoe_SFS_2017!$A$1:$AL$1,0))</f>
        <v>#N/A</v>
      </c>
    </row>
    <row r="17" spans="1:13" x14ac:dyDescent="0.25">
      <c r="A17" t="s">
        <v>101</v>
      </c>
      <c r="B17">
        <v>2014</v>
      </c>
      <c r="C17" t="s">
        <v>205</v>
      </c>
      <c r="D17" s="437" t="s">
        <v>349</v>
      </c>
      <c r="E17" s="437">
        <v>410</v>
      </c>
      <c r="H17" t="s">
        <v>152</v>
      </c>
    </row>
    <row r="18" spans="1:13" x14ac:dyDescent="0.25">
      <c r="A18" t="s">
        <v>101</v>
      </c>
      <c r="B18">
        <v>2014</v>
      </c>
      <c r="C18" t="s">
        <v>205</v>
      </c>
      <c r="D18" s="437" t="s">
        <v>595</v>
      </c>
      <c r="E18" s="437">
        <v>6019</v>
      </c>
      <c r="H18">
        <v>2016</v>
      </c>
      <c r="I18" t="s">
        <v>59</v>
      </c>
      <c r="J18" t="s">
        <v>149</v>
      </c>
      <c r="K18" t="s">
        <v>50</v>
      </c>
      <c r="L18" t="s">
        <v>51</v>
      </c>
      <c r="M18" t="s">
        <v>52</v>
      </c>
    </row>
    <row r="19" spans="1:13" x14ac:dyDescent="0.25">
      <c r="A19" t="s">
        <v>101</v>
      </c>
      <c r="B19">
        <v>2014</v>
      </c>
      <c r="C19" t="s">
        <v>205</v>
      </c>
      <c r="D19" s="437" t="s">
        <v>352</v>
      </c>
      <c r="E19" s="437">
        <v>210</v>
      </c>
      <c r="H19" t="s">
        <v>98</v>
      </c>
      <c r="I19" t="e">
        <f>INDEX(Generation_Entsoe_SFS_2016!$A$3:$AL$40,MATCH('Capacity für Balkanabfrage'!$H19,Generation_Entsoe_SFS_2016!$A$3:$A$40,0),MATCH('Capacity für Balkanabfrage'!I$2,Generation_Entsoe_SFS_2016!$A$1:$AL$1,0))</f>
        <v>#N/A</v>
      </c>
      <c r="J19" t="e">
        <f>INDEX(Generation_Entsoe_SFS_2016!$A$3:$AL$40,MATCH('Capacity für Balkanabfrage'!$H19,Generation_Entsoe_SFS_2016!$A$3:$A$40,0),MATCH('Capacity für Balkanabfrage'!J$2,Generation_Entsoe_SFS_2016!$A$1:$AL$1,0))</f>
        <v>#N/A</v>
      </c>
      <c r="K19" t="e">
        <f>INDEX(Generation_Entsoe_SFS_2016!$A$3:$AL$40,MATCH('Capacity für Balkanabfrage'!$H19,Generation_Entsoe_SFS_2016!$A$3:$A$40,0),MATCH('Capacity für Balkanabfrage'!K$2,Generation_Entsoe_SFS_2016!$A$1:$AL$1,0))</f>
        <v>#N/A</v>
      </c>
      <c r="L19" t="e">
        <f>INDEX(Generation_Entsoe_SFS_2016!$A$3:$AL$40,MATCH('Capacity für Balkanabfrage'!$H19,Generation_Entsoe_SFS_2016!$A$3:$A$40,0),MATCH('Capacity für Balkanabfrage'!L$2,Generation_Entsoe_SFS_2016!$A$1:$AL$1,0))</f>
        <v>#N/A</v>
      </c>
      <c r="M19" t="e">
        <f>INDEX(Generation_Entsoe_SFS_2016!$A$3:$AL$40,MATCH('Capacity für Balkanabfrage'!$H19,Generation_Entsoe_SFS_2016!$A$3:$A$40,0),MATCH('Capacity für Balkanabfrage'!M$2,Generation_Entsoe_SFS_2016!$A$1:$AL$1,0))</f>
        <v>#N/A</v>
      </c>
    </row>
    <row r="20" spans="1:13" x14ac:dyDescent="0.25">
      <c r="A20" t="s">
        <v>101</v>
      </c>
      <c r="B20">
        <v>2014</v>
      </c>
      <c r="C20" t="s">
        <v>205</v>
      </c>
      <c r="D20" s="437" t="s">
        <v>43</v>
      </c>
      <c r="E20" s="437">
        <v>1939</v>
      </c>
      <c r="H20" t="s">
        <v>100</v>
      </c>
      <c r="I20">
        <f>INDEX(Generation_Entsoe_SFS_2016!$A$3:$AL$40,MATCH('Capacity für Balkanabfrage'!$H20,Generation_Entsoe_SFS_2016!$A$3:$A$40,0),MATCH('Capacity für Balkanabfrage'!I$2,Generation_Entsoe_SFS_2016!$A$1:$AL$1,0))</f>
        <v>0</v>
      </c>
      <c r="J20">
        <f>INDEX(Generation_Entsoe_SFS_2016!$A$3:$AL$40,MATCH('Capacity für Balkanabfrage'!$H20,Generation_Entsoe_SFS_2016!$A$3:$A$40,0),MATCH('Capacity für Balkanabfrage'!J$2,Generation_Entsoe_SFS_2016!$A$1:$AL$1,0))</f>
        <v>0</v>
      </c>
      <c r="K20">
        <f>INDEX(Generation_Entsoe_SFS_2016!$A$3:$AL$40,MATCH('Capacity für Balkanabfrage'!$H20,Generation_Entsoe_SFS_2016!$A$3:$A$40,0),MATCH('Capacity für Balkanabfrage'!K$2,Generation_Entsoe_SFS_2016!$A$1:$AL$1,0))</f>
        <v>5.4</v>
      </c>
      <c r="L20">
        <f>INDEX(Generation_Entsoe_SFS_2016!$A$3:$AL$40,MATCH('Capacity für Balkanabfrage'!$H20,Generation_Entsoe_SFS_2016!$A$3:$A$40,0),MATCH('Capacity für Balkanabfrage'!L$2,Generation_Entsoe_SFS_2016!$A$1:$AL$1,0))</f>
        <v>0</v>
      </c>
      <c r="M20">
        <f>INDEX(Generation_Entsoe_SFS_2016!$A$3:$AL$40,MATCH('Capacity für Balkanabfrage'!$H20,Generation_Entsoe_SFS_2016!$A$3:$A$40,0),MATCH('Capacity für Balkanabfrage'!M$2,Generation_Entsoe_SFS_2016!$A$1:$AL$1,0))</f>
        <v>0.1</v>
      </c>
    </row>
    <row r="21" spans="1:13" x14ac:dyDescent="0.25">
      <c r="A21" t="s">
        <v>101</v>
      </c>
      <c r="B21">
        <v>2014</v>
      </c>
      <c r="C21" t="s">
        <v>205</v>
      </c>
      <c r="D21" s="437" t="s">
        <v>42</v>
      </c>
      <c r="E21" s="437">
        <v>0</v>
      </c>
      <c r="H21" t="s">
        <v>118</v>
      </c>
      <c r="I21">
        <f>INDEX(Generation_Entsoe_SFS_2016!$A$3:$AL$40,MATCH('Capacity für Balkanabfrage'!$H21,Generation_Entsoe_SFS_2016!$A$3:$A$40,0),MATCH('Capacity für Balkanabfrage'!I$2,Generation_Entsoe_SFS_2016!$A$1:$AL$1,0))</f>
        <v>0</v>
      </c>
      <c r="J21">
        <f>INDEX(Generation_Entsoe_SFS_2016!$A$3:$AL$40,MATCH('Capacity für Balkanabfrage'!$H21,Generation_Entsoe_SFS_2016!$A$3:$A$40,0),MATCH('Capacity für Balkanabfrage'!J$2,Generation_Entsoe_SFS_2016!$A$1:$AL$1,0))</f>
        <v>0.4</v>
      </c>
      <c r="K21">
        <f>INDEX(Generation_Entsoe_SFS_2016!$A$3:$AL$40,MATCH('Capacity für Balkanabfrage'!$H21,Generation_Entsoe_SFS_2016!$A$3:$A$40,0),MATCH('Capacity für Balkanabfrage'!K$2,Generation_Entsoe_SFS_2016!$A$1:$AL$1,0))</f>
        <v>1.4</v>
      </c>
      <c r="L21">
        <f>INDEX(Generation_Entsoe_SFS_2016!$A$3:$AL$40,MATCH('Capacity für Balkanabfrage'!$H21,Generation_Entsoe_SFS_2016!$A$3:$A$40,0),MATCH('Capacity für Balkanabfrage'!L$2,Generation_Entsoe_SFS_2016!$A$1:$AL$1,0))</f>
        <v>0</v>
      </c>
      <c r="M21">
        <f>INDEX(Generation_Entsoe_SFS_2016!$A$3:$AL$40,MATCH('Capacity für Balkanabfrage'!$H21,Generation_Entsoe_SFS_2016!$A$3:$A$40,0),MATCH('Capacity für Balkanabfrage'!M$2,Generation_Entsoe_SFS_2016!$A$1:$AL$1,0))</f>
        <v>0</v>
      </c>
    </row>
    <row r="22" spans="1:13" x14ac:dyDescent="0.25">
      <c r="A22" t="s">
        <v>101</v>
      </c>
      <c r="B22">
        <v>2014</v>
      </c>
      <c r="C22" t="s">
        <v>205</v>
      </c>
      <c r="D22" s="437" t="s">
        <v>44</v>
      </c>
      <c r="E22" s="437">
        <v>2986</v>
      </c>
      <c r="H22" t="s">
        <v>119</v>
      </c>
      <c r="I22">
        <f>INDEX(Generation_Entsoe_SFS_2016!$A$3:$AL$40,MATCH('Capacity für Balkanabfrage'!$H22,Generation_Entsoe_SFS_2016!$A$3:$A$40,0),MATCH('Capacity für Balkanabfrage'!I$2,Generation_Entsoe_SFS_2016!$A$1:$AL$1,0))</f>
        <v>0</v>
      </c>
      <c r="J22">
        <f>INDEX(Generation_Entsoe_SFS_2016!$A$3:$AL$40,MATCH('Capacity für Balkanabfrage'!$H22,Generation_Entsoe_SFS_2016!$A$3:$A$40,0),MATCH('Capacity für Balkanabfrage'!J$2,Generation_Entsoe_SFS_2016!$A$1:$AL$1,0))</f>
        <v>0</v>
      </c>
      <c r="K22">
        <f>INDEX(Generation_Entsoe_SFS_2016!$A$3:$AL$40,MATCH('Capacity für Balkanabfrage'!$H22,Generation_Entsoe_SFS_2016!$A$3:$A$40,0),MATCH('Capacity für Balkanabfrage'!K$2,Generation_Entsoe_SFS_2016!$A$1:$AL$1,0))</f>
        <v>1.5</v>
      </c>
      <c r="L22">
        <f>INDEX(Generation_Entsoe_SFS_2016!$A$3:$AL$40,MATCH('Capacity für Balkanabfrage'!$H22,Generation_Entsoe_SFS_2016!$A$3:$A$40,0),MATCH('Capacity für Balkanabfrage'!L$2,Generation_Entsoe_SFS_2016!$A$1:$AL$1,0))</f>
        <v>0.1</v>
      </c>
      <c r="M22">
        <f>INDEX(Generation_Entsoe_SFS_2016!$A$3:$AL$40,MATCH('Capacity für Balkanabfrage'!$H22,Generation_Entsoe_SFS_2016!$A$3:$A$40,0),MATCH('Capacity für Balkanabfrage'!M$2,Generation_Entsoe_SFS_2016!$A$1:$AL$1,0))</f>
        <v>0</v>
      </c>
    </row>
    <row r="23" spans="1:13" x14ac:dyDescent="0.25">
      <c r="A23" t="s">
        <v>101</v>
      </c>
      <c r="B23">
        <v>2014</v>
      </c>
      <c r="C23" t="s">
        <v>205</v>
      </c>
      <c r="D23" s="437" t="s">
        <v>397</v>
      </c>
      <c r="E23" s="437">
        <v>1190</v>
      </c>
      <c r="H23" t="s">
        <v>125</v>
      </c>
      <c r="I23">
        <f>INDEX(Generation_Entsoe_SFS_2016!$A$3:$AL$40,MATCH('Capacity für Balkanabfrage'!$H23,Generation_Entsoe_SFS_2016!$A$3:$A$40,0),MATCH('Capacity für Balkanabfrage'!I$2,Generation_Entsoe_SFS_2016!$A$1:$AL$1,0))</f>
        <v>0.7</v>
      </c>
      <c r="J23">
        <f>INDEX(Generation_Entsoe_SFS_2016!$A$3:$AL$40,MATCH('Capacity für Balkanabfrage'!$H23,Generation_Entsoe_SFS_2016!$A$3:$A$40,0),MATCH('Capacity für Balkanabfrage'!J$2,Generation_Entsoe_SFS_2016!$A$1:$AL$1,0))</f>
        <v>0</v>
      </c>
      <c r="K23">
        <f>INDEX(Generation_Entsoe_SFS_2016!$A$3:$AL$40,MATCH('Capacity für Balkanabfrage'!$H23,Generation_Entsoe_SFS_2016!$A$3:$A$40,0),MATCH('Capacity für Balkanabfrage'!K$2,Generation_Entsoe_SFS_2016!$A$1:$AL$1,0))</f>
        <v>1.1000000000000001</v>
      </c>
      <c r="L23">
        <f>INDEX(Generation_Entsoe_SFS_2016!$A$3:$AL$40,MATCH('Capacity für Balkanabfrage'!$H23,Generation_Entsoe_SFS_2016!$A$3:$A$40,0),MATCH('Capacity für Balkanabfrage'!L$2,Generation_Entsoe_SFS_2016!$A$1:$AL$1,0))</f>
        <v>9.5</v>
      </c>
      <c r="M23">
        <f>INDEX(Generation_Entsoe_SFS_2016!$A$3:$AL$40,MATCH('Capacity für Balkanabfrage'!$H23,Generation_Entsoe_SFS_2016!$A$3:$A$40,0),MATCH('Capacity für Balkanabfrage'!M$2,Generation_Entsoe_SFS_2016!$A$1:$AL$1,0))</f>
        <v>0</v>
      </c>
    </row>
    <row r="24" spans="1:13" x14ac:dyDescent="0.25">
      <c r="A24" t="s">
        <v>101</v>
      </c>
      <c r="B24">
        <v>2014</v>
      </c>
      <c r="C24" t="s">
        <v>205</v>
      </c>
      <c r="D24" s="437" t="s">
        <v>133</v>
      </c>
      <c r="E24" s="437">
        <v>1425</v>
      </c>
      <c r="H24" t="s">
        <v>645</v>
      </c>
      <c r="I24" t="e">
        <f>INDEX(Generation_Entsoe_SFS_2016!$A$3:$AL$40,MATCH('Capacity für Balkanabfrage'!$H24,Generation_Entsoe_SFS_2016!$A$3:$A$40,0),MATCH('Capacity für Balkanabfrage'!I$2,Generation_Entsoe_SFS_2016!$A$1:$AL$1,0))</f>
        <v>#N/A</v>
      </c>
      <c r="J24" t="e">
        <f>INDEX(Generation_Entsoe_SFS_2016!$A$3:$AL$40,MATCH('Capacity für Balkanabfrage'!$H24,Generation_Entsoe_SFS_2016!$A$3:$A$40,0),MATCH('Capacity für Balkanabfrage'!J$2,Generation_Entsoe_SFS_2016!$A$1:$AL$1,0))</f>
        <v>#N/A</v>
      </c>
      <c r="K24" t="e">
        <f>INDEX(Generation_Entsoe_SFS_2016!$A$3:$AL$40,MATCH('Capacity für Balkanabfrage'!$H24,Generation_Entsoe_SFS_2016!$A$3:$A$40,0),MATCH('Capacity für Balkanabfrage'!K$2,Generation_Entsoe_SFS_2016!$A$1:$AL$1,0))</f>
        <v>#N/A</v>
      </c>
      <c r="L24" t="e">
        <f>INDEX(Generation_Entsoe_SFS_2016!$A$3:$AL$40,MATCH('Capacity für Balkanabfrage'!$H24,Generation_Entsoe_SFS_2016!$A$3:$A$40,0),MATCH('Capacity für Balkanabfrage'!L$2,Generation_Entsoe_SFS_2016!$A$1:$AL$1,0))</f>
        <v>#N/A</v>
      </c>
      <c r="M24" t="e">
        <f>INDEX(Generation_Entsoe_SFS_2016!$A$3:$AL$40,MATCH('Capacity für Balkanabfrage'!$H24,Generation_Entsoe_SFS_2016!$A$3:$A$40,0),MATCH('Capacity für Balkanabfrage'!M$2,Generation_Entsoe_SFS_2016!$A$1:$AL$1,0))</f>
        <v>#N/A</v>
      </c>
    </row>
    <row r="25" spans="1:13" x14ac:dyDescent="0.25">
      <c r="A25" t="s">
        <v>101</v>
      </c>
      <c r="B25">
        <v>2014</v>
      </c>
      <c r="C25" t="s">
        <v>205</v>
      </c>
      <c r="D25" s="437" t="s">
        <v>597</v>
      </c>
      <c r="E25" s="437">
        <v>6623</v>
      </c>
    </row>
    <row r="26" spans="1:13" x14ac:dyDescent="0.25">
      <c r="A26" t="s">
        <v>101</v>
      </c>
      <c r="B26">
        <v>2014</v>
      </c>
      <c r="C26" t="s">
        <v>205</v>
      </c>
      <c r="D26" s="437" t="s">
        <v>596</v>
      </c>
      <c r="E26" s="437">
        <v>13110</v>
      </c>
    </row>
    <row r="27" spans="1:13" x14ac:dyDescent="0.25">
      <c r="A27" t="s">
        <v>101</v>
      </c>
      <c r="B27">
        <v>2014</v>
      </c>
      <c r="C27" t="s">
        <v>205</v>
      </c>
      <c r="D27" s="437" t="s">
        <v>413</v>
      </c>
      <c r="E27" s="437">
        <v>0</v>
      </c>
    </row>
    <row r="28" spans="1:13" x14ac:dyDescent="0.25">
      <c r="A28" t="s">
        <v>102</v>
      </c>
      <c r="B28">
        <v>2014</v>
      </c>
      <c r="C28" t="s">
        <v>205</v>
      </c>
      <c r="D28" s="437" t="s">
        <v>57</v>
      </c>
      <c r="E28" s="437">
        <v>2000</v>
      </c>
    </row>
    <row r="29" spans="1:13" x14ac:dyDescent="0.25">
      <c r="A29" t="s">
        <v>102</v>
      </c>
      <c r="B29">
        <v>2014</v>
      </c>
      <c r="C29" t="s">
        <v>205</v>
      </c>
      <c r="D29" s="437" t="s">
        <v>348</v>
      </c>
      <c r="E29" s="437">
        <v>4199</v>
      </c>
    </row>
    <row r="30" spans="1:13" x14ac:dyDescent="0.25">
      <c r="A30" t="s">
        <v>102</v>
      </c>
      <c r="B30">
        <v>2014</v>
      </c>
      <c r="C30" t="s">
        <v>205</v>
      </c>
      <c r="D30" s="437" t="s">
        <v>349</v>
      </c>
      <c r="E30" s="437">
        <v>1548</v>
      </c>
    </row>
    <row r="31" spans="1:13" x14ac:dyDescent="0.25">
      <c r="A31" t="s">
        <v>102</v>
      </c>
      <c r="B31">
        <v>2014</v>
      </c>
      <c r="C31" t="s">
        <v>205</v>
      </c>
      <c r="D31" s="437" t="s">
        <v>595</v>
      </c>
      <c r="E31" s="437">
        <v>838</v>
      </c>
    </row>
    <row r="32" spans="1:13" x14ac:dyDescent="0.25">
      <c r="A32" t="s">
        <v>102</v>
      </c>
      <c r="B32">
        <v>2014</v>
      </c>
      <c r="C32" t="s">
        <v>205</v>
      </c>
      <c r="D32" s="437" t="s">
        <v>352</v>
      </c>
      <c r="E32" s="437">
        <v>0</v>
      </c>
    </row>
    <row r="33" spans="1:5" x14ac:dyDescent="0.25">
      <c r="A33" t="s">
        <v>102</v>
      </c>
      <c r="B33">
        <v>2014</v>
      </c>
      <c r="C33" t="s">
        <v>205</v>
      </c>
      <c r="D33" s="437" t="s">
        <v>43</v>
      </c>
      <c r="E33" s="437">
        <v>701</v>
      </c>
    </row>
    <row r="34" spans="1:5" x14ac:dyDescent="0.25">
      <c r="A34" t="s">
        <v>102</v>
      </c>
      <c r="B34">
        <v>2014</v>
      </c>
      <c r="C34" t="s">
        <v>205</v>
      </c>
      <c r="D34" s="437" t="s">
        <v>42</v>
      </c>
      <c r="E34" s="437">
        <v>0</v>
      </c>
    </row>
    <row r="35" spans="1:5" x14ac:dyDescent="0.25">
      <c r="A35" t="s">
        <v>102</v>
      </c>
      <c r="B35">
        <v>2014</v>
      </c>
      <c r="C35" t="s">
        <v>205</v>
      </c>
      <c r="D35" s="437" t="s">
        <v>44</v>
      </c>
      <c r="E35" s="437">
        <v>1039</v>
      </c>
    </row>
    <row r="36" spans="1:5" x14ac:dyDescent="0.25">
      <c r="A36" t="s">
        <v>102</v>
      </c>
      <c r="B36">
        <v>2014</v>
      </c>
      <c r="C36" t="s">
        <v>205</v>
      </c>
      <c r="D36" s="437" t="s">
        <v>397</v>
      </c>
      <c r="E36" s="437">
        <v>47</v>
      </c>
    </row>
    <row r="37" spans="1:5" x14ac:dyDescent="0.25">
      <c r="A37" t="s">
        <v>102</v>
      </c>
      <c r="B37">
        <v>2014</v>
      </c>
      <c r="C37" t="s">
        <v>205</v>
      </c>
      <c r="D37" s="437" t="s">
        <v>133</v>
      </c>
      <c r="E37" s="437">
        <v>3191</v>
      </c>
    </row>
    <row r="38" spans="1:5" x14ac:dyDescent="0.25">
      <c r="A38" t="s">
        <v>102</v>
      </c>
      <c r="B38">
        <v>2014</v>
      </c>
      <c r="C38" t="s">
        <v>205</v>
      </c>
      <c r="D38" s="437" t="s">
        <v>597</v>
      </c>
      <c r="E38" s="437">
        <v>2656</v>
      </c>
    </row>
    <row r="39" spans="1:5" x14ac:dyDescent="0.25">
      <c r="A39" t="s">
        <v>102</v>
      </c>
      <c r="B39">
        <v>2014</v>
      </c>
      <c r="C39" t="s">
        <v>205</v>
      </c>
      <c r="D39" s="437" t="s">
        <v>596</v>
      </c>
      <c r="E39" s="437">
        <v>7106</v>
      </c>
    </row>
    <row r="40" spans="1:5" x14ac:dyDescent="0.25">
      <c r="A40" t="s">
        <v>102</v>
      </c>
      <c r="B40">
        <v>2014</v>
      </c>
      <c r="C40" t="s">
        <v>205</v>
      </c>
      <c r="D40" s="437" t="s">
        <v>413</v>
      </c>
      <c r="E40" s="437">
        <v>0</v>
      </c>
    </row>
    <row r="41" spans="1:5" x14ac:dyDescent="0.25">
      <c r="A41" t="s">
        <v>103</v>
      </c>
      <c r="B41">
        <v>2014</v>
      </c>
      <c r="C41" t="s">
        <v>205</v>
      </c>
      <c r="D41" s="437" t="s">
        <v>57</v>
      </c>
      <c r="E41" s="437">
        <v>3308</v>
      </c>
    </row>
    <row r="42" spans="1:5" x14ac:dyDescent="0.25">
      <c r="A42" t="s">
        <v>103</v>
      </c>
      <c r="B42">
        <v>2014</v>
      </c>
      <c r="C42" t="s">
        <v>205</v>
      </c>
      <c r="D42" s="437" t="s">
        <v>348</v>
      </c>
      <c r="E42" s="437">
        <v>0</v>
      </c>
    </row>
    <row r="43" spans="1:5" x14ac:dyDescent="0.25">
      <c r="A43" t="s">
        <v>103</v>
      </c>
      <c r="B43">
        <v>2014</v>
      </c>
      <c r="C43" t="s">
        <v>205</v>
      </c>
      <c r="D43" s="437" t="s">
        <v>349</v>
      </c>
      <c r="E43" s="437">
        <v>0</v>
      </c>
    </row>
    <row r="44" spans="1:5" x14ac:dyDescent="0.25">
      <c r="A44" t="s">
        <v>103</v>
      </c>
      <c r="B44">
        <v>2014</v>
      </c>
      <c r="C44" t="s">
        <v>205</v>
      </c>
      <c r="D44" s="437" t="s">
        <v>595</v>
      </c>
      <c r="E44" s="437">
        <v>0</v>
      </c>
    </row>
    <row r="45" spans="1:5" x14ac:dyDescent="0.25">
      <c r="A45" t="s">
        <v>103</v>
      </c>
      <c r="B45">
        <v>2014</v>
      </c>
      <c r="C45" t="s">
        <v>205</v>
      </c>
      <c r="D45" s="437" t="s">
        <v>352</v>
      </c>
      <c r="E45" s="437">
        <v>426</v>
      </c>
    </row>
    <row r="46" spans="1:5" x14ac:dyDescent="0.25">
      <c r="A46" t="s">
        <v>103</v>
      </c>
      <c r="B46">
        <v>2014</v>
      </c>
      <c r="C46" t="s">
        <v>205</v>
      </c>
      <c r="D46" s="437" t="s">
        <v>43</v>
      </c>
      <c r="E46" s="437">
        <v>49</v>
      </c>
    </row>
    <row r="47" spans="1:5" x14ac:dyDescent="0.25">
      <c r="A47" t="s">
        <v>103</v>
      </c>
      <c r="B47">
        <v>2014</v>
      </c>
      <c r="C47" t="s">
        <v>205</v>
      </c>
      <c r="D47" s="437" t="s">
        <v>42</v>
      </c>
      <c r="E47" s="437">
        <v>0</v>
      </c>
    </row>
    <row r="48" spans="1:5" x14ac:dyDescent="0.25">
      <c r="A48" t="s">
        <v>103</v>
      </c>
      <c r="B48">
        <v>2014</v>
      </c>
      <c r="C48" t="s">
        <v>205</v>
      </c>
      <c r="D48" s="437" t="s">
        <v>44</v>
      </c>
      <c r="E48" s="437">
        <v>437</v>
      </c>
    </row>
    <row r="49" spans="1:5" x14ac:dyDescent="0.25">
      <c r="A49" t="s">
        <v>103</v>
      </c>
      <c r="B49">
        <v>2014</v>
      </c>
      <c r="C49" t="s">
        <v>205</v>
      </c>
      <c r="D49" s="437" t="s">
        <v>397</v>
      </c>
      <c r="E49" s="437">
        <v>289</v>
      </c>
    </row>
    <row r="50" spans="1:5" x14ac:dyDescent="0.25">
      <c r="A50" t="s">
        <v>103</v>
      </c>
      <c r="B50">
        <v>2014</v>
      </c>
      <c r="C50" t="s">
        <v>205</v>
      </c>
      <c r="D50" s="437" t="s">
        <v>133</v>
      </c>
      <c r="E50" s="437">
        <v>13805</v>
      </c>
    </row>
    <row r="51" spans="1:5" x14ac:dyDescent="0.25">
      <c r="A51" t="s">
        <v>103</v>
      </c>
      <c r="B51">
        <v>2014</v>
      </c>
      <c r="C51" t="s">
        <v>205</v>
      </c>
      <c r="D51" s="437" t="s">
        <v>597</v>
      </c>
      <c r="E51" s="437">
        <v>2843</v>
      </c>
    </row>
    <row r="52" spans="1:5" x14ac:dyDescent="0.25">
      <c r="A52" t="s">
        <v>103</v>
      </c>
      <c r="B52">
        <v>2014</v>
      </c>
      <c r="C52" t="s">
        <v>205</v>
      </c>
      <c r="D52" s="437" t="s">
        <v>596</v>
      </c>
      <c r="E52" s="437">
        <v>7721</v>
      </c>
    </row>
    <row r="53" spans="1:5" x14ac:dyDescent="0.25">
      <c r="A53" t="s">
        <v>103</v>
      </c>
      <c r="B53">
        <v>2014</v>
      </c>
      <c r="C53" t="s">
        <v>205</v>
      </c>
      <c r="D53" s="437" t="s">
        <v>413</v>
      </c>
      <c r="E53" s="437">
        <v>243</v>
      </c>
    </row>
    <row r="54" spans="1:5" x14ac:dyDescent="0.25">
      <c r="A54" t="s">
        <v>198</v>
      </c>
      <c r="B54">
        <v>2014</v>
      </c>
      <c r="C54" t="s">
        <v>205</v>
      </c>
      <c r="D54" s="437" t="s">
        <v>57</v>
      </c>
      <c r="E54" s="437">
        <v>0</v>
      </c>
    </row>
    <row r="55" spans="1:5" x14ac:dyDescent="0.25">
      <c r="A55" t="s">
        <v>198</v>
      </c>
      <c r="B55">
        <v>2014</v>
      </c>
      <c r="C55" t="s">
        <v>205</v>
      </c>
      <c r="D55" s="437" t="s">
        <v>348</v>
      </c>
      <c r="E55" s="437">
        <v>0</v>
      </c>
    </row>
    <row r="56" spans="1:5" x14ac:dyDescent="0.25">
      <c r="A56" t="s">
        <v>198</v>
      </c>
      <c r="B56">
        <v>2014</v>
      </c>
      <c r="C56" t="s">
        <v>205</v>
      </c>
      <c r="D56" s="437" t="s">
        <v>349</v>
      </c>
      <c r="E56" s="437">
        <v>0</v>
      </c>
    </row>
    <row r="57" spans="1:5" x14ac:dyDescent="0.25">
      <c r="A57" t="s">
        <v>198</v>
      </c>
      <c r="B57">
        <v>2014</v>
      </c>
      <c r="C57" t="s">
        <v>205</v>
      </c>
      <c r="D57" s="437" t="s">
        <v>595</v>
      </c>
      <c r="E57" s="437">
        <v>0</v>
      </c>
    </row>
    <row r="58" spans="1:5" x14ac:dyDescent="0.25">
      <c r="A58" t="s">
        <v>198</v>
      </c>
      <c r="B58">
        <v>2014</v>
      </c>
      <c r="C58" t="s">
        <v>205</v>
      </c>
      <c r="D58" s="437" t="s">
        <v>352</v>
      </c>
      <c r="E58" s="437">
        <v>1478</v>
      </c>
    </row>
    <row r="59" spans="1:5" x14ac:dyDescent="0.25">
      <c r="A59" t="s">
        <v>198</v>
      </c>
      <c r="B59">
        <v>2014</v>
      </c>
      <c r="C59" t="s">
        <v>205</v>
      </c>
      <c r="D59" s="437" t="s">
        <v>43</v>
      </c>
      <c r="E59" s="437">
        <v>144</v>
      </c>
    </row>
    <row r="60" spans="1:5" x14ac:dyDescent="0.25">
      <c r="A60" t="s">
        <v>198</v>
      </c>
      <c r="B60">
        <v>2014</v>
      </c>
      <c r="C60" t="s">
        <v>205</v>
      </c>
      <c r="D60" s="437" t="s">
        <v>42</v>
      </c>
      <c r="E60" s="437">
        <v>0</v>
      </c>
    </row>
    <row r="61" spans="1:5" x14ac:dyDescent="0.25">
      <c r="A61" t="s">
        <v>198</v>
      </c>
      <c r="B61">
        <v>2014</v>
      </c>
      <c r="C61" t="s">
        <v>205</v>
      </c>
      <c r="D61" s="437" t="s">
        <v>44</v>
      </c>
      <c r="E61" s="437">
        <v>0</v>
      </c>
    </row>
    <row r="62" spans="1:5" x14ac:dyDescent="0.25">
      <c r="A62" t="s">
        <v>198</v>
      </c>
      <c r="B62">
        <v>2014</v>
      </c>
      <c r="C62" t="s">
        <v>205</v>
      </c>
      <c r="D62" s="437" t="s">
        <v>397</v>
      </c>
      <c r="E62" s="437">
        <v>0</v>
      </c>
    </row>
    <row r="63" spans="1:5" x14ac:dyDescent="0.25">
      <c r="A63" t="s">
        <v>198</v>
      </c>
      <c r="B63">
        <v>2014</v>
      </c>
      <c r="C63" t="s">
        <v>205</v>
      </c>
      <c r="D63" s="437" t="s">
        <v>133</v>
      </c>
      <c r="E63" s="437">
        <v>0</v>
      </c>
    </row>
    <row r="64" spans="1:5" x14ac:dyDescent="0.25">
      <c r="A64" t="s">
        <v>198</v>
      </c>
      <c r="B64">
        <v>2014</v>
      </c>
      <c r="C64" t="s">
        <v>205</v>
      </c>
      <c r="D64" s="437" t="s">
        <v>597</v>
      </c>
      <c r="E64" s="437">
        <v>248</v>
      </c>
    </row>
    <row r="65" spans="1:5" x14ac:dyDescent="0.25">
      <c r="A65" t="s">
        <v>198</v>
      </c>
      <c r="B65">
        <v>2014</v>
      </c>
      <c r="C65" t="s">
        <v>205</v>
      </c>
      <c r="D65" s="437" t="s">
        <v>596</v>
      </c>
      <c r="E65" s="437">
        <v>871</v>
      </c>
    </row>
    <row r="66" spans="1:5" x14ac:dyDescent="0.25">
      <c r="A66" t="s">
        <v>198</v>
      </c>
      <c r="B66">
        <v>2014</v>
      </c>
      <c r="C66" t="s">
        <v>205</v>
      </c>
      <c r="D66" s="437" t="s">
        <v>413</v>
      </c>
      <c r="E66" s="437">
        <v>0</v>
      </c>
    </row>
    <row r="67" spans="1:5" x14ac:dyDescent="0.25">
      <c r="A67" t="s">
        <v>104</v>
      </c>
      <c r="B67">
        <v>2014</v>
      </c>
      <c r="C67" t="s">
        <v>205</v>
      </c>
      <c r="D67" s="437" t="s">
        <v>57</v>
      </c>
      <c r="E67" s="437">
        <v>4040</v>
      </c>
    </row>
    <row r="68" spans="1:5" x14ac:dyDescent="0.25">
      <c r="A68" t="s">
        <v>104</v>
      </c>
      <c r="B68">
        <v>2014</v>
      </c>
      <c r="C68" t="s">
        <v>205</v>
      </c>
      <c r="D68" s="437" t="s">
        <v>348</v>
      </c>
      <c r="E68" s="437">
        <v>0</v>
      </c>
    </row>
    <row r="69" spans="1:5" x14ac:dyDescent="0.25">
      <c r="A69" t="s">
        <v>104</v>
      </c>
      <c r="B69">
        <v>2014</v>
      </c>
      <c r="C69" t="s">
        <v>205</v>
      </c>
      <c r="D69" s="437" t="s">
        <v>349</v>
      </c>
      <c r="E69" s="437">
        <v>0</v>
      </c>
    </row>
    <row r="70" spans="1:5" x14ac:dyDescent="0.25">
      <c r="A70" t="s">
        <v>104</v>
      </c>
      <c r="B70">
        <v>2014</v>
      </c>
      <c r="C70" t="s">
        <v>205</v>
      </c>
      <c r="D70" s="437" t="s">
        <v>595</v>
      </c>
      <c r="E70" s="437">
        <v>2023</v>
      </c>
    </row>
    <row r="71" spans="1:5" x14ac:dyDescent="0.25">
      <c r="A71" t="s">
        <v>104</v>
      </c>
      <c r="B71">
        <v>2014</v>
      </c>
      <c r="C71" t="s">
        <v>205</v>
      </c>
      <c r="D71" s="437" t="s">
        <v>352</v>
      </c>
      <c r="E71" s="437">
        <v>10031</v>
      </c>
    </row>
    <row r="72" spans="1:5" x14ac:dyDescent="0.25">
      <c r="A72" t="s">
        <v>104</v>
      </c>
      <c r="B72">
        <v>2014</v>
      </c>
      <c r="C72" t="s">
        <v>205</v>
      </c>
      <c r="D72" s="437" t="s">
        <v>43</v>
      </c>
      <c r="E72" s="437">
        <v>278</v>
      </c>
    </row>
    <row r="73" spans="1:5" x14ac:dyDescent="0.25">
      <c r="A73" t="s">
        <v>104</v>
      </c>
      <c r="B73">
        <v>2014</v>
      </c>
      <c r="C73" t="s">
        <v>205</v>
      </c>
      <c r="D73" s="437" t="s">
        <v>42</v>
      </c>
      <c r="E73" s="437">
        <v>0</v>
      </c>
    </row>
    <row r="74" spans="1:5" x14ac:dyDescent="0.25">
      <c r="A74" t="s">
        <v>104</v>
      </c>
      <c r="B74">
        <v>2014</v>
      </c>
      <c r="C74" t="s">
        <v>205</v>
      </c>
      <c r="D74" s="437" t="s">
        <v>44</v>
      </c>
      <c r="E74" s="437">
        <v>2061</v>
      </c>
    </row>
    <row r="75" spans="1:5" x14ac:dyDescent="0.25">
      <c r="A75" t="s">
        <v>104</v>
      </c>
      <c r="B75">
        <v>2014</v>
      </c>
      <c r="C75" t="s">
        <v>205</v>
      </c>
      <c r="D75" s="437" t="s">
        <v>397</v>
      </c>
      <c r="E75" s="437">
        <v>0</v>
      </c>
    </row>
    <row r="76" spans="1:5" x14ac:dyDescent="0.25">
      <c r="A76" t="s">
        <v>104</v>
      </c>
      <c r="B76">
        <v>2014</v>
      </c>
      <c r="C76" t="s">
        <v>205</v>
      </c>
      <c r="D76" s="437" t="s">
        <v>133</v>
      </c>
      <c r="E76" s="437">
        <v>2261</v>
      </c>
    </row>
    <row r="77" spans="1:5" x14ac:dyDescent="0.25">
      <c r="A77" t="s">
        <v>104</v>
      </c>
      <c r="B77">
        <v>2014</v>
      </c>
      <c r="C77" t="s">
        <v>205</v>
      </c>
      <c r="D77" s="437" t="s">
        <v>597</v>
      </c>
      <c r="E77" s="437">
        <v>4290</v>
      </c>
    </row>
    <row r="78" spans="1:5" x14ac:dyDescent="0.25">
      <c r="A78" t="s">
        <v>104</v>
      </c>
      <c r="B78">
        <v>2014</v>
      </c>
      <c r="C78" t="s">
        <v>205</v>
      </c>
      <c r="D78" s="437" t="s">
        <v>596</v>
      </c>
      <c r="E78" s="437">
        <v>10058</v>
      </c>
    </row>
    <row r="79" spans="1:5" x14ac:dyDescent="0.25">
      <c r="A79" t="s">
        <v>104</v>
      </c>
      <c r="B79">
        <v>2014</v>
      </c>
      <c r="C79" t="s">
        <v>205</v>
      </c>
      <c r="D79" s="437" t="s">
        <v>413</v>
      </c>
      <c r="E79" s="437">
        <v>0</v>
      </c>
    </row>
    <row r="80" spans="1:5" x14ac:dyDescent="0.25">
      <c r="A80" t="s">
        <v>105</v>
      </c>
      <c r="B80">
        <v>2014</v>
      </c>
      <c r="C80" t="s">
        <v>205</v>
      </c>
      <c r="D80" s="437" t="s">
        <v>57</v>
      </c>
      <c r="E80" s="437">
        <v>12068</v>
      </c>
    </row>
    <row r="81" spans="1:5" x14ac:dyDescent="0.25">
      <c r="A81" t="s">
        <v>105</v>
      </c>
      <c r="B81">
        <v>2014</v>
      </c>
      <c r="C81" t="s">
        <v>205</v>
      </c>
      <c r="D81" s="437" t="s">
        <v>348</v>
      </c>
      <c r="E81" s="437">
        <v>21179</v>
      </c>
    </row>
    <row r="82" spans="1:5" x14ac:dyDescent="0.25">
      <c r="A82" t="s">
        <v>105</v>
      </c>
      <c r="B82">
        <v>2014</v>
      </c>
      <c r="C82" t="s">
        <v>205</v>
      </c>
      <c r="D82" s="437" t="s">
        <v>349</v>
      </c>
      <c r="E82" s="437">
        <v>27175</v>
      </c>
    </row>
    <row r="83" spans="1:5" x14ac:dyDescent="0.25">
      <c r="A83" t="s">
        <v>105</v>
      </c>
      <c r="B83">
        <v>2014</v>
      </c>
      <c r="C83" t="s">
        <v>205</v>
      </c>
      <c r="D83" s="437" t="s">
        <v>595</v>
      </c>
      <c r="E83" s="437">
        <v>28047</v>
      </c>
    </row>
    <row r="84" spans="1:5" x14ac:dyDescent="0.25">
      <c r="A84" t="s">
        <v>105</v>
      </c>
      <c r="B84">
        <v>2014</v>
      </c>
      <c r="C84" t="s">
        <v>205</v>
      </c>
      <c r="D84" s="437" t="s">
        <v>352</v>
      </c>
      <c r="E84" s="437">
        <v>8866</v>
      </c>
    </row>
    <row r="85" spans="1:5" x14ac:dyDescent="0.25">
      <c r="A85" t="s">
        <v>105</v>
      </c>
      <c r="B85">
        <v>2014</v>
      </c>
      <c r="C85" t="s">
        <v>205</v>
      </c>
      <c r="D85" s="437" t="s">
        <v>43</v>
      </c>
      <c r="E85" s="437">
        <v>36561</v>
      </c>
    </row>
    <row r="86" spans="1:5" x14ac:dyDescent="0.25">
      <c r="A86" t="s">
        <v>105</v>
      </c>
      <c r="B86">
        <v>2014</v>
      </c>
      <c r="C86" t="s">
        <v>205</v>
      </c>
      <c r="D86" s="437" t="s">
        <v>42</v>
      </c>
      <c r="E86" s="437">
        <v>0</v>
      </c>
    </row>
    <row r="87" spans="1:5" x14ac:dyDescent="0.25">
      <c r="A87" t="s">
        <v>105</v>
      </c>
      <c r="B87">
        <v>2014</v>
      </c>
      <c r="C87" t="s">
        <v>205</v>
      </c>
      <c r="D87" s="437" t="s">
        <v>44</v>
      </c>
      <c r="E87" s="437">
        <v>37981</v>
      </c>
    </row>
    <row r="88" spans="1:5" x14ac:dyDescent="0.25">
      <c r="A88" t="s">
        <v>105</v>
      </c>
      <c r="B88">
        <v>2014</v>
      </c>
      <c r="C88" t="s">
        <v>205</v>
      </c>
      <c r="D88" s="437" t="s">
        <v>397</v>
      </c>
      <c r="E88" s="437">
        <v>6359</v>
      </c>
    </row>
    <row r="89" spans="1:5" x14ac:dyDescent="0.25">
      <c r="A89" t="s">
        <v>105</v>
      </c>
      <c r="B89">
        <v>2014</v>
      </c>
      <c r="C89" t="s">
        <v>205</v>
      </c>
      <c r="D89" s="437" t="s">
        <v>133</v>
      </c>
      <c r="E89" s="437">
        <v>10662</v>
      </c>
    </row>
    <row r="90" spans="1:5" x14ac:dyDescent="0.25">
      <c r="A90" t="s">
        <v>105</v>
      </c>
      <c r="B90">
        <v>2014</v>
      </c>
      <c r="C90" t="s">
        <v>205</v>
      </c>
      <c r="D90" s="437" t="s">
        <v>597</v>
      </c>
      <c r="E90" s="437">
        <v>36709</v>
      </c>
    </row>
    <row r="91" spans="1:5" x14ac:dyDescent="0.25">
      <c r="A91" t="s">
        <v>105</v>
      </c>
      <c r="B91">
        <v>2014</v>
      </c>
      <c r="C91" t="s">
        <v>205</v>
      </c>
      <c r="D91" s="437" t="s">
        <v>596</v>
      </c>
      <c r="E91" s="437">
        <v>81738</v>
      </c>
    </row>
    <row r="92" spans="1:5" x14ac:dyDescent="0.25">
      <c r="A92" t="s">
        <v>105</v>
      </c>
      <c r="B92">
        <v>2014</v>
      </c>
      <c r="C92" t="s">
        <v>205</v>
      </c>
      <c r="D92" s="437" t="s">
        <v>413</v>
      </c>
      <c r="E92" s="437">
        <v>586</v>
      </c>
    </row>
    <row r="93" spans="1:5" x14ac:dyDescent="0.25">
      <c r="A93" t="s">
        <v>106</v>
      </c>
      <c r="B93">
        <v>2014</v>
      </c>
      <c r="C93" t="s">
        <v>205</v>
      </c>
      <c r="D93" s="437" t="s">
        <v>57</v>
      </c>
      <c r="E93" s="437">
        <v>0</v>
      </c>
    </row>
    <row r="94" spans="1:5" x14ac:dyDescent="0.25">
      <c r="A94" t="s">
        <v>106</v>
      </c>
      <c r="B94">
        <v>2014</v>
      </c>
      <c r="C94" t="s">
        <v>205</v>
      </c>
      <c r="D94" s="437" t="s">
        <v>348</v>
      </c>
      <c r="E94" s="437">
        <v>0</v>
      </c>
    </row>
    <row r="95" spans="1:5" x14ac:dyDescent="0.25">
      <c r="A95" t="s">
        <v>106</v>
      </c>
      <c r="B95">
        <v>2014</v>
      </c>
      <c r="C95" t="s">
        <v>205</v>
      </c>
      <c r="D95" s="437" t="s">
        <v>349</v>
      </c>
      <c r="E95" s="437">
        <v>4923</v>
      </c>
    </row>
    <row r="96" spans="1:5" x14ac:dyDescent="0.25">
      <c r="A96" t="s">
        <v>106</v>
      </c>
      <c r="B96">
        <v>2014</v>
      </c>
      <c r="C96" t="s">
        <v>205</v>
      </c>
      <c r="D96" s="437" t="s">
        <v>595</v>
      </c>
      <c r="E96" s="437">
        <v>3087</v>
      </c>
    </row>
    <row r="97" spans="1:5" x14ac:dyDescent="0.25">
      <c r="A97" t="s">
        <v>106</v>
      </c>
      <c r="B97">
        <v>2014</v>
      </c>
      <c r="C97" t="s">
        <v>205</v>
      </c>
      <c r="D97" s="437" t="s">
        <v>352</v>
      </c>
      <c r="E97" s="437">
        <v>903</v>
      </c>
    </row>
    <row r="98" spans="1:5" x14ac:dyDescent="0.25">
      <c r="A98" t="s">
        <v>106</v>
      </c>
      <c r="B98">
        <v>2014</v>
      </c>
      <c r="C98" t="s">
        <v>205</v>
      </c>
      <c r="D98" s="437" t="s">
        <v>43</v>
      </c>
      <c r="E98" s="437">
        <v>4897</v>
      </c>
    </row>
    <row r="99" spans="1:5" x14ac:dyDescent="0.25">
      <c r="A99" t="s">
        <v>106</v>
      </c>
      <c r="B99">
        <v>2014</v>
      </c>
      <c r="C99" t="s">
        <v>205</v>
      </c>
      <c r="D99" s="437" t="s">
        <v>42</v>
      </c>
      <c r="E99" s="437">
        <v>0</v>
      </c>
    </row>
    <row r="100" spans="1:5" x14ac:dyDescent="0.25">
      <c r="A100" t="s">
        <v>106</v>
      </c>
      <c r="B100">
        <v>2014</v>
      </c>
      <c r="C100" t="s">
        <v>205</v>
      </c>
      <c r="D100" s="437" t="s">
        <v>44</v>
      </c>
      <c r="E100" s="437">
        <v>606</v>
      </c>
    </row>
    <row r="101" spans="1:5" x14ac:dyDescent="0.25">
      <c r="A101" t="s">
        <v>106</v>
      </c>
      <c r="B101">
        <v>2014</v>
      </c>
      <c r="C101" t="s">
        <v>205</v>
      </c>
      <c r="D101" s="437" t="s">
        <v>397</v>
      </c>
      <c r="E101" s="437">
        <v>608</v>
      </c>
    </row>
    <row r="102" spans="1:5" x14ac:dyDescent="0.25">
      <c r="A102" t="s">
        <v>106</v>
      </c>
      <c r="B102">
        <v>2014</v>
      </c>
      <c r="C102" t="s">
        <v>205</v>
      </c>
      <c r="D102" s="437" t="s">
        <v>133</v>
      </c>
      <c r="E102" s="437">
        <v>9</v>
      </c>
    </row>
    <row r="103" spans="1:5" x14ac:dyDescent="0.25">
      <c r="A103" t="s">
        <v>106</v>
      </c>
      <c r="B103">
        <v>2014</v>
      </c>
      <c r="C103" t="s">
        <v>205</v>
      </c>
      <c r="D103" s="437" t="s">
        <v>597</v>
      </c>
      <c r="E103" s="437">
        <v>2296</v>
      </c>
    </row>
    <row r="104" spans="1:5" x14ac:dyDescent="0.25">
      <c r="A104" t="s">
        <v>106</v>
      </c>
      <c r="B104">
        <v>2014</v>
      </c>
      <c r="C104" t="s">
        <v>205</v>
      </c>
      <c r="D104" s="437" t="s">
        <v>596</v>
      </c>
      <c r="E104" s="437">
        <v>6002</v>
      </c>
    </row>
    <row r="105" spans="1:5" x14ac:dyDescent="0.25">
      <c r="A105" t="s">
        <v>106</v>
      </c>
      <c r="B105">
        <v>2014</v>
      </c>
      <c r="C105" t="s">
        <v>205</v>
      </c>
      <c r="D105" s="437" t="s">
        <v>413</v>
      </c>
      <c r="E105" s="437">
        <v>0</v>
      </c>
    </row>
    <row r="106" spans="1:5" x14ac:dyDescent="0.25">
      <c r="A106" t="s">
        <v>199</v>
      </c>
      <c r="B106">
        <v>2014</v>
      </c>
      <c r="C106" t="s">
        <v>205</v>
      </c>
      <c r="D106" s="437" t="s">
        <v>57</v>
      </c>
      <c r="E106" s="437">
        <v>0</v>
      </c>
    </row>
    <row r="107" spans="1:5" x14ac:dyDescent="0.25">
      <c r="A107" t="s">
        <v>199</v>
      </c>
      <c r="B107">
        <v>2014</v>
      </c>
      <c r="C107" t="s">
        <v>205</v>
      </c>
      <c r="D107" s="437" t="s">
        <v>348</v>
      </c>
      <c r="E107" s="437">
        <v>0</v>
      </c>
    </row>
    <row r="108" spans="1:5" x14ac:dyDescent="0.25">
      <c r="A108" t="s">
        <v>199</v>
      </c>
      <c r="B108">
        <v>2014</v>
      </c>
      <c r="C108" t="s">
        <v>205</v>
      </c>
      <c r="D108" s="437" t="s">
        <v>349</v>
      </c>
      <c r="E108" s="437">
        <v>0</v>
      </c>
    </row>
    <row r="109" spans="1:5" x14ac:dyDescent="0.25">
      <c r="A109" t="s">
        <v>199</v>
      </c>
      <c r="B109">
        <v>2014</v>
      </c>
      <c r="C109" t="s">
        <v>205</v>
      </c>
      <c r="D109" s="437" t="s">
        <v>595</v>
      </c>
      <c r="E109" s="437">
        <v>241</v>
      </c>
    </row>
    <row r="110" spans="1:5" x14ac:dyDescent="0.25">
      <c r="A110" t="s">
        <v>199</v>
      </c>
      <c r="B110">
        <v>2014</v>
      </c>
      <c r="C110" t="s">
        <v>205</v>
      </c>
      <c r="D110" s="437" t="s">
        <v>352</v>
      </c>
      <c r="E110" s="437">
        <v>2059</v>
      </c>
    </row>
    <row r="111" spans="1:5" x14ac:dyDescent="0.25">
      <c r="A111" t="s">
        <v>199</v>
      </c>
      <c r="B111">
        <v>2014</v>
      </c>
      <c r="C111" t="s">
        <v>205</v>
      </c>
      <c r="D111" s="437" t="s">
        <v>43</v>
      </c>
      <c r="E111" s="437">
        <v>301</v>
      </c>
    </row>
    <row r="112" spans="1:5" x14ac:dyDescent="0.25">
      <c r="A112" t="s">
        <v>199</v>
      </c>
      <c r="B112">
        <v>2014</v>
      </c>
      <c r="C112" t="s">
        <v>205</v>
      </c>
      <c r="D112" s="437" t="s">
        <v>42</v>
      </c>
      <c r="E112" s="437">
        <v>0</v>
      </c>
    </row>
    <row r="113" spans="1:5" x14ac:dyDescent="0.25">
      <c r="A113" t="s">
        <v>199</v>
      </c>
      <c r="B113">
        <v>2014</v>
      </c>
      <c r="C113" t="s">
        <v>205</v>
      </c>
      <c r="D113" s="437" t="s">
        <v>44</v>
      </c>
      <c r="E113" s="437">
        <v>0</v>
      </c>
    </row>
    <row r="114" spans="1:5" x14ac:dyDescent="0.25">
      <c r="A114" t="s">
        <v>199</v>
      </c>
      <c r="B114">
        <v>2014</v>
      </c>
      <c r="C114" t="s">
        <v>205</v>
      </c>
      <c r="D114" s="437" t="s">
        <v>397</v>
      </c>
      <c r="E114" s="437">
        <v>101</v>
      </c>
    </row>
    <row r="115" spans="1:5" x14ac:dyDescent="0.25">
      <c r="A115" t="s">
        <v>199</v>
      </c>
      <c r="B115">
        <v>2014</v>
      </c>
      <c r="C115" t="s">
        <v>205</v>
      </c>
      <c r="D115" s="437" t="s">
        <v>133</v>
      </c>
      <c r="E115" s="437">
        <v>8</v>
      </c>
    </row>
    <row r="116" spans="1:5" x14ac:dyDescent="0.25">
      <c r="A116" t="s">
        <v>199</v>
      </c>
      <c r="B116">
        <v>2014</v>
      </c>
      <c r="C116" t="s">
        <v>205</v>
      </c>
      <c r="D116" s="437" t="s">
        <v>597</v>
      </c>
      <c r="E116" s="437">
        <v>492</v>
      </c>
    </row>
    <row r="117" spans="1:5" x14ac:dyDescent="0.25">
      <c r="A117" t="s">
        <v>199</v>
      </c>
      <c r="B117">
        <v>2014</v>
      </c>
      <c r="C117" t="s">
        <v>205</v>
      </c>
      <c r="D117" s="437" t="s">
        <v>596</v>
      </c>
      <c r="E117" s="437">
        <v>1490</v>
      </c>
    </row>
    <row r="118" spans="1:5" x14ac:dyDescent="0.25">
      <c r="A118" t="s">
        <v>199</v>
      </c>
      <c r="B118">
        <v>2014</v>
      </c>
      <c r="C118" t="s">
        <v>205</v>
      </c>
      <c r="D118" s="437" t="s">
        <v>413</v>
      </c>
      <c r="E118" s="437">
        <v>1</v>
      </c>
    </row>
    <row r="119" spans="1:5" x14ac:dyDescent="0.25">
      <c r="A119" t="s">
        <v>107</v>
      </c>
      <c r="B119">
        <v>2014</v>
      </c>
      <c r="C119" t="s">
        <v>205</v>
      </c>
      <c r="D119" s="437" t="s">
        <v>57</v>
      </c>
      <c r="E119" s="437">
        <v>7866</v>
      </c>
    </row>
    <row r="120" spans="1:5" x14ac:dyDescent="0.25">
      <c r="A120" t="s">
        <v>107</v>
      </c>
      <c r="B120">
        <v>2014</v>
      </c>
      <c r="C120" t="s">
        <v>205</v>
      </c>
      <c r="D120" s="437" t="s">
        <v>348</v>
      </c>
      <c r="E120" s="437">
        <v>1102</v>
      </c>
    </row>
    <row r="121" spans="1:5" x14ac:dyDescent="0.25">
      <c r="A121" t="s">
        <v>107</v>
      </c>
      <c r="B121">
        <v>2014</v>
      </c>
      <c r="C121" t="s">
        <v>205</v>
      </c>
      <c r="D121" s="437" t="s">
        <v>349</v>
      </c>
      <c r="E121" s="437">
        <v>10468</v>
      </c>
    </row>
    <row r="122" spans="1:5" x14ac:dyDescent="0.25">
      <c r="A122" t="s">
        <v>107</v>
      </c>
      <c r="B122">
        <v>2014</v>
      </c>
      <c r="C122" t="s">
        <v>205</v>
      </c>
      <c r="D122" s="437" t="s">
        <v>595</v>
      </c>
      <c r="E122" s="437">
        <v>33388</v>
      </c>
    </row>
    <row r="123" spans="1:5" x14ac:dyDescent="0.25">
      <c r="A123" t="s">
        <v>107</v>
      </c>
      <c r="B123">
        <v>2014</v>
      </c>
      <c r="C123" t="s">
        <v>205</v>
      </c>
      <c r="D123" s="437" t="s">
        <v>352</v>
      </c>
      <c r="E123" s="437">
        <v>3151</v>
      </c>
    </row>
    <row r="124" spans="1:5" x14ac:dyDescent="0.25">
      <c r="A124" t="s">
        <v>107</v>
      </c>
      <c r="B124">
        <v>2014</v>
      </c>
      <c r="C124" t="s">
        <v>205</v>
      </c>
      <c r="D124" s="437" t="s">
        <v>43</v>
      </c>
      <c r="E124" s="437">
        <v>22772</v>
      </c>
    </row>
    <row r="125" spans="1:5" x14ac:dyDescent="0.25">
      <c r="A125" t="s">
        <v>107</v>
      </c>
      <c r="B125">
        <v>2014</v>
      </c>
      <c r="C125" t="s">
        <v>205</v>
      </c>
      <c r="D125" s="437" t="s">
        <v>42</v>
      </c>
      <c r="E125" s="437">
        <v>0</v>
      </c>
    </row>
    <row r="126" spans="1:5" x14ac:dyDescent="0.25">
      <c r="A126" t="s">
        <v>107</v>
      </c>
      <c r="B126">
        <v>2014</v>
      </c>
      <c r="C126" t="s">
        <v>205</v>
      </c>
      <c r="D126" s="437" t="s">
        <v>44</v>
      </c>
      <c r="E126" s="437">
        <v>6902</v>
      </c>
    </row>
    <row r="127" spans="1:5" x14ac:dyDescent="0.25">
      <c r="A127" t="s">
        <v>107</v>
      </c>
      <c r="B127">
        <v>2014</v>
      </c>
      <c r="C127" t="s">
        <v>205</v>
      </c>
      <c r="D127" s="437" t="s">
        <v>397</v>
      </c>
      <c r="E127" s="437">
        <v>716</v>
      </c>
    </row>
    <row r="128" spans="1:5" x14ac:dyDescent="0.25">
      <c r="A128" t="s">
        <v>107</v>
      </c>
      <c r="B128">
        <v>2014</v>
      </c>
      <c r="C128" t="s">
        <v>205</v>
      </c>
      <c r="D128" s="437" t="s">
        <v>133</v>
      </c>
      <c r="E128" s="437">
        <v>19396</v>
      </c>
    </row>
    <row r="129" spans="1:5" x14ac:dyDescent="0.25">
      <c r="A129" t="s">
        <v>107</v>
      </c>
      <c r="B129">
        <v>2014</v>
      </c>
      <c r="C129" t="s">
        <v>205</v>
      </c>
      <c r="D129" s="437" t="s">
        <v>597</v>
      </c>
      <c r="E129" s="437">
        <v>18176</v>
      </c>
    </row>
    <row r="130" spans="1:5" x14ac:dyDescent="0.25">
      <c r="A130" t="s">
        <v>107</v>
      </c>
      <c r="B130">
        <v>2014</v>
      </c>
      <c r="C130" t="s">
        <v>205</v>
      </c>
      <c r="D130" s="437" t="s">
        <v>596</v>
      </c>
      <c r="E130" s="437">
        <v>38666</v>
      </c>
    </row>
    <row r="131" spans="1:5" x14ac:dyDescent="0.25">
      <c r="A131" t="s">
        <v>107</v>
      </c>
      <c r="B131">
        <v>2014</v>
      </c>
      <c r="C131" t="s">
        <v>205</v>
      </c>
      <c r="D131" s="437" t="s">
        <v>413</v>
      </c>
      <c r="E131" s="437">
        <v>548</v>
      </c>
    </row>
    <row r="132" spans="1:5" x14ac:dyDescent="0.25">
      <c r="A132" t="s">
        <v>108</v>
      </c>
      <c r="B132">
        <v>2014</v>
      </c>
      <c r="C132" t="s">
        <v>205</v>
      </c>
      <c r="D132" s="437" t="s">
        <v>57</v>
      </c>
      <c r="E132" s="437">
        <v>2752</v>
      </c>
    </row>
    <row r="133" spans="1:5" x14ac:dyDescent="0.25">
      <c r="A133" t="s">
        <v>108</v>
      </c>
      <c r="B133">
        <v>2014</v>
      </c>
      <c r="C133" t="s">
        <v>205</v>
      </c>
      <c r="D133" s="437" t="s">
        <v>348</v>
      </c>
      <c r="E133" s="437">
        <v>0</v>
      </c>
    </row>
    <row r="134" spans="1:5" x14ac:dyDescent="0.25">
      <c r="A134" t="s">
        <v>108</v>
      </c>
      <c r="B134">
        <v>2014</v>
      </c>
      <c r="C134" t="s">
        <v>205</v>
      </c>
      <c r="D134" s="437" t="s">
        <v>349</v>
      </c>
      <c r="E134" s="437">
        <v>3445</v>
      </c>
    </row>
    <row r="135" spans="1:5" x14ac:dyDescent="0.25">
      <c r="A135" t="s">
        <v>108</v>
      </c>
      <c r="B135">
        <v>2014</v>
      </c>
      <c r="C135" t="s">
        <v>205</v>
      </c>
      <c r="D135" s="437" t="s">
        <v>595</v>
      </c>
      <c r="E135" s="437">
        <v>1824</v>
      </c>
    </row>
    <row r="136" spans="1:5" x14ac:dyDescent="0.25">
      <c r="A136" t="s">
        <v>108</v>
      </c>
      <c r="B136">
        <v>2014</v>
      </c>
      <c r="C136" t="s">
        <v>205</v>
      </c>
      <c r="D136" s="437" t="s">
        <v>352</v>
      </c>
      <c r="E136" s="437">
        <v>3434</v>
      </c>
    </row>
    <row r="137" spans="1:5" x14ac:dyDescent="0.25">
      <c r="A137" t="s">
        <v>108</v>
      </c>
      <c r="B137">
        <v>2014</v>
      </c>
      <c r="C137" t="s">
        <v>205</v>
      </c>
      <c r="D137" s="437" t="s">
        <v>43</v>
      </c>
      <c r="E137" s="437">
        <v>504</v>
      </c>
    </row>
    <row r="138" spans="1:5" x14ac:dyDescent="0.25">
      <c r="A138" t="s">
        <v>108</v>
      </c>
      <c r="B138">
        <v>2014</v>
      </c>
      <c r="C138" t="s">
        <v>205</v>
      </c>
      <c r="D138" s="437" t="s">
        <v>42</v>
      </c>
      <c r="E138" s="437">
        <v>0</v>
      </c>
    </row>
    <row r="139" spans="1:5" x14ac:dyDescent="0.25">
      <c r="A139" t="s">
        <v>108</v>
      </c>
      <c r="B139">
        <v>2014</v>
      </c>
      <c r="C139" t="s">
        <v>205</v>
      </c>
      <c r="D139" s="437" t="s">
        <v>44</v>
      </c>
      <c r="E139" s="437">
        <v>0</v>
      </c>
    </row>
    <row r="140" spans="1:5" x14ac:dyDescent="0.25">
      <c r="A140" t="s">
        <v>108</v>
      </c>
      <c r="B140">
        <v>2014</v>
      </c>
      <c r="C140" t="s">
        <v>205</v>
      </c>
      <c r="D140" s="437" t="s">
        <v>397</v>
      </c>
      <c r="E140" s="437">
        <v>2085</v>
      </c>
    </row>
    <row r="141" spans="1:5" x14ac:dyDescent="0.25">
      <c r="A141" t="s">
        <v>108</v>
      </c>
      <c r="B141">
        <v>2014</v>
      </c>
      <c r="C141" t="s">
        <v>205</v>
      </c>
      <c r="D141" s="437" t="s">
        <v>133</v>
      </c>
      <c r="E141" s="437">
        <v>3234</v>
      </c>
    </row>
    <row r="142" spans="1:5" x14ac:dyDescent="0.25">
      <c r="A142" t="s">
        <v>108</v>
      </c>
      <c r="B142">
        <v>2014</v>
      </c>
      <c r="C142" t="s">
        <v>205</v>
      </c>
      <c r="D142" s="437" t="s">
        <v>597</v>
      </c>
      <c r="E142" s="437">
        <v>5901</v>
      </c>
    </row>
    <row r="143" spans="1:5" x14ac:dyDescent="0.25">
      <c r="A143" t="s">
        <v>108</v>
      </c>
      <c r="B143">
        <v>2014</v>
      </c>
      <c r="C143" t="s">
        <v>205</v>
      </c>
      <c r="D143" s="437" t="s">
        <v>596</v>
      </c>
      <c r="E143" s="437">
        <v>14367</v>
      </c>
    </row>
    <row r="144" spans="1:5" x14ac:dyDescent="0.25">
      <c r="A144" t="s">
        <v>108</v>
      </c>
      <c r="B144">
        <v>2014</v>
      </c>
      <c r="C144" t="s">
        <v>205</v>
      </c>
      <c r="D144" s="437" t="s">
        <v>413</v>
      </c>
      <c r="E144" s="437">
        <v>175</v>
      </c>
    </row>
    <row r="145" spans="1:5" x14ac:dyDescent="0.25">
      <c r="A145" t="s">
        <v>109</v>
      </c>
      <c r="B145">
        <v>2014</v>
      </c>
      <c r="C145" t="s">
        <v>205</v>
      </c>
      <c r="D145" s="437" t="s">
        <v>57</v>
      </c>
      <c r="E145" s="437">
        <v>63130</v>
      </c>
    </row>
    <row r="146" spans="1:5" x14ac:dyDescent="0.25">
      <c r="A146" t="s">
        <v>109</v>
      </c>
      <c r="B146">
        <v>2014</v>
      </c>
      <c r="C146" t="s">
        <v>205</v>
      </c>
      <c r="D146" s="437" t="s">
        <v>348</v>
      </c>
      <c r="E146" s="437">
        <v>0</v>
      </c>
    </row>
    <row r="147" spans="1:5" x14ac:dyDescent="0.25">
      <c r="A147" t="s">
        <v>109</v>
      </c>
      <c r="B147">
        <v>2014</v>
      </c>
      <c r="C147" t="s">
        <v>205</v>
      </c>
      <c r="D147" s="437" t="s">
        <v>349</v>
      </c>
      <c r="E147" s="437">
        <v>5119</v>
      </c>
    </row>
    <row r="148" spans="1:5" x14ac:dyDescent="0.25">
      <c r="A148" t="s">
        <v>109</v>
      </c>
      <c r="B148">
        <v>2014</v>
      </c>
      <c r="C148" t="s">
        <v>205</v>
      </c>
      <c r="D148" s="437" t="s">
        <v>595</v>
      </c>
      <c r="E148" s="437">
        <v>10409</v>
      </c>
    </row>
    <row r="149" spans="1:5" x14ac:dyDescent="0.25">
      <c r="A149" t="s">
        <v>109</v>
      </c>
      <c r="B149">
        <v>2014</v>
      </c>
      <c r="C149" t="s">
        <v>205</v>
      </c>
      <c r="D149" s="437" t="s">
        <v>352</v>
      </c>
      <c r="E149" s="437">
        <v>8883</v>
      </c>
    </row>
    <row r="150" spans="1:5" x14ac:dyDescent="0.25">
      <c r="A150" t="s">
        <v>109</v>
      </c>
      <c r="B150">
        <v>2014</v>
      </c>
      <c r="C150" t="s">
        <v>205</v>
      </c>
      <c r="D150" s="437" t="s">
        <v>43</v>
      </c>
      <c r="E150" s="437">
        <v>9120</v>
      </c>
    </row>
    <row r="151" spans="1:5" x14ac:dyDescent="0.25">
      <c r="A151" t="s">
        <v>109</v>
      </c>
      <c r="B151">
        <v>2014</v>
      </c>
      <c r="C151" t="s">
        <v>205</v>
      </c>
      <c r="D151" s="437" t="s">
        <v>42</v>
      </c>
      <c r="E151" s="437">
        <v>0</v>
      </c>
    </row>
    <row r="152" spans="1:5" x14ac:dyDescent="0.25">
      <c r="A152" t="s">
        <v>109</v>
      </c>
      <c r="B152">
        <v>2014</v>
      </c>
      <c r="C152" t="s">
        <v>205</v>
      </c>
      <c r="D152" s="437" t="s">
        <v>44</v>
      </c>
      <c r="E152" s="437">
        <v>5292</v>
      </c>
    </row>
    <row r="153" spans="1:5" x14ac:dyDescent="0.25">
      <c r="A153" t="s">
        <v>109</v>
      </c>
      <c r="B153">
        <v>2014</v>
      </c>
      <c r="C153" t="s">
        <v>205</v>
      </c>
      <c r="D153" s="437" t="s">
        <v>397</v>
      </c>
      <c r="E153" s="437">
        <v>1254</v>
      </c>
    </row>
    <row r="154" spans="1:5" x14ac:dyDescent="0.25">
      <c r="A154" t="s">
        <v>109</v>
      </c>
      <c r="B154">
        <v>2014</v>
      </c>
      <c r="C154" t="s">
        <v>205</v>
      </c>
      <c r="D154" s="437" t="s">
        <v>133</v>
      </c>
      <c r="E154" s="437">
        <v>25411</v>
      </c>
    </row>
    <row r="155" spans="1:5" x14ac:dyDescent="0.25">
      <c r="A155" t="s">
        <v>109</v>
      </c>
      <c r="B155">
        <v>2014</v>
      </c>
      <c r="C155" t="s">
        <v>205</v>
      </c>
      <c r="D155" s="437" t="s">
        <v>597</v>
      </c>
      <c r="E155" s="437">
        <v>29493</v>
      </c>
    </row>
    <row r="156" spans="1:5" x14ac:dyDescent="0.25">
      <c r="A156" t="s">
        <v>109</v>
      </c>
      <c r="B156">
        <v>2014</v>
      </c>
      <c r="C156" t="s">
        <v>205</v>
      </c>
      <c r="D156" s="437" t="s">
        <v>596</v>
      </c>
      <c r="E156" s="437">
        <v>82538</v>
      </c>
    </row>
    <row r="157" spans="1:5" x14ac:dyDescent="0.25">
      <c r="A157" t="s">
        <v>109</v>
      </c>
      <c r="B157">
        <v>2014</v>
      </c>
      <c r="C157" t="s">
        <v>205</v>
      </c>
      <c r="D157" s="437" t="s">
        <v>413</v>
      </c>
      <c r="E157" s="437">
        <v>325</v>
      </c>
    </row>
    <row r="158" spans="1:5" x14ac:dyDescent="0.25">
      <c r="A158" t="s">
        <v>110</v>
      </c>
      <c r="B158">
        <v>2014</v>
      </c>
      <c r="C158" t="s">
        <v>205</v>
      </c>
      <c r="D158" s="437" t="s">
        <v>57</v>
      </c>
      <c r="E158" s="437">
        <v>9749</v>
      </c>
    </row>
    <row r="159" spans="1:5" x14ac:dyDescent="0.25">
      <c r="A159" t="s">
        <v>110</v>
      </c>
      <c r="B159">
        <v>2014</v>
      </c>
      <c r="C159" t="s">
        <v>205</v>
      </c>
      <c r="D159" s="437" t="s">
        <v>348</v>
      </c>
      <c r="E159" s="437">
        <v>0</v>
      </c>
    </row>
    <row r="160" spans="1:5" x14ac:dyDescent="0.25">
      <c r="A160" t="s">
        <v>110</v>
      </c>
      <c r="B160">
        <v>2014</v>
      </c>
      <c r="C160" t="s">
        <v>205</v>
      </c>
      <c r="D160" s="437" t="s">
        <v>349</v>
      </c>
      <c r="E160" s="437">
        <v>20524</v>
      </c>
    </row>
    <row r="161" spans="1:5" x14ac:dyDescent="0.25">
      <c r="A161" t="s">
        <v>110</v>
      </c>
      <c r="B161">
        <v>2014</v>
      </c>
      <c r="C161" t="s">
        <v>205</v>
      </c>
      <c r="D161" s="437" t="s">
        <v>595</v>
      </c>
      <c r="E161" s="437">
        <v>30485</v>
      </c>
    </row>
    <row r="162" spans="1:5" x14ac:dyDescent="0.25">
      <c r="A162" t="s">
        <v>110</v>
      </c>
      <c r="B162">
        <v>2014</v>
      </c>
      <c r="C162" t="s">
        <v>205</v>
      </c>
      <c r="D162" s="437" t="s">
        <v>352</v>
      </c>
      <c r="E162" s="437">
        <v>2278</v>
      </c>
    </row>
    <row r="163" spans="1:5" x14ac:dyDescent="0.25">
      <c r="A163" t="s">
        <v>110</v>
      </c>
      <c r="B163">
        <v>2014</v>
      </c>
      <c r="C163" t="s">
        <v>205</v>
      </c>
      <c r="D163" s="437" t="s">
        <v>43</v>
      </c>
      <c r="E163" s="437">
        <v>6528</v>
      </c>
    </row>
    <row r="164" spans="1:5" x14ac:dyDescent="0.25">
      <c r="A164" t="s">
        <v>110</v>
      </c>
      <c r="B164">
        <v>2014</v>
      </c>
      <c r="C164" t="s">
        <v>205</v>
      </c>
      <c r="D164" s="437" t="s">
        <v>42</v>
      </c>
      <c r="E164" s="437">
        <v>0</v>
      </c>
    </row>
    <row r="165" spans="1:5" x14ac:dyDescent="0.25">
      <c r="A165" t="s">
        <v>110</v>
      </c>
      <c r="B165">
        <v>2014</v>
      </c>
      <c r="C165" t="s">
        <v>205</v>
      </c>
      <c r="D165" s="437" t="s">
        <v>44</v>
      </c>
      <c r="E165" s="437">
        <v>0</v>
      </c>
    </row>
    <row r="166" spans="1:5" x14ac:dyDescent="0.25">
      <c r="A166" t="s">
        <v>110</v>
      </c>
      <c r="B166">
        <v>2014</v>
      </c>
      <c r="C166" t="s">
        <v>205</v>
      </c>
      <c r="D166" s="437" t="s">
        <v>397</v>
      </c>
      <c r="E166" s="437">
        <v>1398</v>
      </c>
    </row>
    <row r="167" spans="1:5" x14ac:dyDescent="0.25">
      <c r="A167" t="s">
        <v>110</v>
      </c>
      <c r="B167">
        <v>2014</v>
      </c>
      <c r="C167" t="s">
        <v>205</v>
      </c>
      <c r="D167" s="437" t="s">
        <v>133</v>
      </c>
      <c r="E167" s="437">
        <v>3969</v>
      </c>
    </row>
    <row r="168" spans="1:5" x14ac:dyDescent="0.25">
      <c r="A168" t="s">
        <v>110</v>
      </c>
      <c r="B168">
        <v>2014</v>
      </c>
      <c r="C168" t="s">
        <v>205</v>
      </c>
      <c r="D168" s="437" t="s">
        <v>597</v>
      </c>
      <c r="E168" s="437">
        <v>19955</v>
      </c>
    </row>
    <row r="169" spans="1:5" x14ac:dyDescent="0.25">
      <c r="A169" t="s">
        <v>110</v>
      </c>
      <c r="B169">
        <v>2014</v>
      </c>
      <c r="C169" t="s">
        <v>205</v>
      </c>
      <c r="D169" s="437" t="s">
        <v>596</v>
      </c>
      <c r="E169" s="437">
        <v>58023</v>
      </c>
    </row>
    <row r="170" spans="1:5" x14ac:dyDescent="0.25">
      <c r="A170" t="s">
        <v>110</v>
      </c>
      <c r="B170">
        <v>2014</v>
      </c>
      <c r="C170" t="s">
        <v>205</v>
      </c>
      <c r="D170" s="437" t="s">
        <v>413</v>
      </c>
      <c r="E170" s="437">
        <v>0</v>
      </c>
    </row>
    <row r="171" spans="1:5" x14ac:dyDescent="0.25">
      <c r="A171" t="s">
        <v>111</v>
      </c>
      <c r="B171">
        <v>2014</v>
      </c>
      <c r="C171" t="s">
        <v>205</v>
      </c>
      <c r="D171" s="437" t="s">
        <v>57</v>
      </c>
      <c r="E171" s="437">
        <v>0</v>
      </c>
    </row>
    <row r="172" spans="1:5" x14ac:dyDescent="0.25">
      <c r="A172" t="s">
        <v>111</v>
      </c>
      <c r="B172">
        <v>2014</v>
      </c>
      <c r="C172" t="s">
        <v>205</v>
      </c>
      <c r="D172" s="437" t="s">
        <v>348</v>
      </c>
      <c r="E172" s="437">
        <v>4456</v>
      </c>
    </row>
    <row r="173" spans="1:5" x14ac:dyDescent="0.25">
      <c r="A173" t="s">
        <v>111</v>
      </c>
      <c r="B173">
        <v>2014</v>
      </c>
      <c r="C173" t="s">
        <v>205</v>
      </c>
      <c r="D173" s="437" t="s">
        <v>349</v>
      </c>
      <c r="E173" s="437">
        <v>0</v>
      </c>
    </row>
    <row r="174" spans="1:5" x14ac:dyDescent="0.25">
      <c r="A174" t="s">
        <v>111</v>
      </c>
      <c r="B174">
        <v>2014</v>
      </c>
      <c r="C174" t="s">
        <v>205</v>
      </c>
      <c r="D174" s="437" t="s">
        <v>595</v>
      </c>
      <c r="E174" s="437">
        <v>4902</v>
      </c>
    </row>
    <row r="175" spans="1:5" x14ac:dyDescent="0.25">
      <c r="A175" t="s">
        <v>111</v>
      </c>
      <c r="B175">
        <v>2014</v>
      </c>
      <c r="C175" t="s">
        <v>205</v>
      </c>
      <c r="D175" s="437" t="s">
        <v>352</v>
      </c>
      <c r="E175" s="437">
        <v>698</v>
      </c>
    </row>
    <row r="176" spans="1:5" x14ac:dyDescent="0.25">
      <c r="A176" t="s">
        <v>111</v>
      </c>
      <c r="B176">
        <v>2014</v>
      </c>
      <c r="C176" t="s">
        <v>205</v>
      </c>
      <c r="D176" s="437" t="s">
        <v>43</v>
      </c>
      <c r="E176" s="437">
        <v>1662</v>
      </c>
    </row>
    <row r="177" spans="1:5" x14ac:dyDescent="0.25">
      <c r="A177" t="s">
        <v>111</v>
      </c>
      <c r="B177">
        <v>2014</v>
      </c>
      <c r="C177" t="s">
        <v>205</v>
      </c>
      <c r="D177" s="437" t="s">
        <v>42</v>
      </c>
      <c r="E177" s="437">
        <v>0</v>
      </c>
    </row>
    <row r="178" spans="1:5" x14ac:dyDescent="0.25">
      <c r="A178" t="s">
        <v>111</v>
      </c>
      <c r="B178">
        <v>2014</v>
      </c>
      <c r="C178" t="s">
        <v>205</v>
      </c>
      <c r="D178" s="437" t="s">
        <v>44</v>
      </c>
      <c r="E178" s="437">
        <v>2436</v>
      </c>
    </row>
    <row r="179" spans="1:5" x14ac:dyDescent="0.25">
      <c r="A179" t="s">
        <v>111</v>
      </c>
      <c r="B179">
        <v>2014</v>
      </c>
      <c r="C179" t="s">
        <v>205</v>
      </c>
      <c r="D179" s="437" t="s">
        <v>397</v>
      </c>
      <c r="E179" s="437">
        <v>47</v>
      </c>
    </row>
    <row r="180" spans="1:5" x14ac:dyDescent="0.25">
      <c r="A180" t="s">
        <v>111</v>
      </c>
      <c r="B180">
        <v>2014</v>
      </c>
      <c r="C180" t="s">
        <v>205</v>
      </c>
      <c r="D180" s="437" t="s">
        <v>133</v>
      </c>
      <c r="E180" s="437">
        <v>3237</v>
      </c>
    </row>
    <row r="181" spans="1:5" x14ac:dyDescent="0.25">
      <c r="A181" t="s">
        <v>111</v>
      </c>
      <c r="B181">
        <v>2014</v>
      </c>
      <c r="C181" t="s">
        <v>205</v>
      </c>
      <c r="D181" s="437" t="s">
        <v>597</v>
      </c>
      <c r="E181" s="437">
        <v>2343</v>
      </c>
    </row>
    <row r="182" spans="1:5" x14ac:dyDescent="0.25">
      <c r="A182" t="s">
        <v>111</v>
      </c>
      <c r="B182">
        <v>2014</v>
      </c>
      <c r="C182" t="s">
        <v>205</v>
      </c>
      <c r="D182" s="437" t="s">
        <v>596</v>
      </c>
      <c r="E182" s="437">
        <v>9092</v>
      </c>
    </row>
    <row r="183" spans="1:5" x14ac:dyDescent="0.25">
      <c r="A183" t="s">
        <v>111</v>
      </c>
      <c r="B183">
        <v>2014</v>
      </c>
      <c r="C183" t="s">
        <v>205</v>
      </c>
      <c r="D183" s="437" t="s">
        <v>413</v>
      </c>
      <c r="E183" s="437">
        <v>99</v>
      </c>
    </row>
    <row r="184" spans="1:5" x14ac:dyDescent="0.25">
      <c r="A184" t="s">
        <v>112</v>
      </c>
      <c r="B184">
        <v>2014</v>
      </c>
      <c r="C184" t="s">
        <v>205</v>
      </c>
      <c r="D184" s="437" t="s">
        <v>57</v>
      </c>
      <c r="E184" s="437">
        <v>0</v>
      </c>
    </row>
    <row r="185" spans="1:5" x14ac:dyDescent="0.25">
      <c r="A185" t="s">
        <v>112</v>
      </c>
      <c r="B185">
        <v>2014</v>
      </c>
      <c r="C185" t="s">
        <v>205</v>
      </c>
      <c r="D185" s="437" t="s">
        <v>348</v>
      </c>
      <c r="E185" s="437">
        <v>0</v>
      </c>
    </row>
    <row r="186" spans="1:5" x14ac:dyDescent="0.25">
      <c r="A186" t="s">
        <v>112</v>
      </c>
      <c r="B186">
        <v>2014</v>
      </c>
      <c r="C186" t="s">
        <v>205</v>
      </c>
      <c r="D186" s="437" t="s">
        <v>349</v>
      </c>
      <c r="E186" s="437">
        <v>325</v>
      </c>
    </row>
    <row r="187" spans="1:5" x14ac:dyDescent="0.25">
      <c r="A187" t="s">
        <v>112</v>
      </c>
      <c r="B187">
        <v>2014</v>
      </c>
      <c r="C187" t="s">
        <v>205</v>
      </c>
      <c r="D187" s="437" t="s">
        <v>595</v>
      </c>
      <c r="E187" s="437">
        <v>496</v>
      </c>
    </row>
    <row r="188" spans="1:5" x14ac:dyDescent="0.25">
      <c r="A188" t="s">
        <v>112</v>
      </c>
      <c r="B188">
        <v>2014</v>
      </c>
      <c r="C188" t="s">
        <v>205</v>
      </c>
      <c r="D188" s="437" t="s">
        <v>352</v>
      </c>
      <c r="E188" s="437">
        <v>949</v>
      </c>
    </row>
    <row r="189" spans="1:5" x14ac:dyDescent="0.25">
      <c r="A189" t="s">
        <v>112</v>
      </c>
      <c r="B189">
        <v>2014</v>
      </c>
      <c r="C189" t="s">
        <v>205</v>
      </c>
      <c r="D189" s="437" t="s">
        <v>43</v>
      </c>
      <c r="E189" s="437">
        <v>340</v>
      </c>
    </row>
    <row r="190" spans="1:5" x14ac:dyDescent="0.25">
      <c r="A190" t="s">
        <v>112</v>
      </c>
      <c r="B190">
        <v>2014</v>
      </c>
      <c r="C190" t="s">
        <v>205</v>
      </c>
      <c r="D190" s="437" t="s">
        <v>42</v>
      </c>
      <c r="E190" s="437">
        <v>0</v>
      </c>
    </row>
    <row r="191" spans="1:5" x14ac:dyDescent="0.25">
      <c r="A191" t="s">
        <v>112</v>
      </c>
      <c r="B191">
        <v>2014</v>
      </c>
      <c r="C191" t="s">
        <v>205</v>
      </c>
      <c r="D191" s="437" t="s">
        <v>44</v>
      </c>
      <c r="E191" s="437">
        <v>30</v>
      </c>
    </row>
    <row r="192" spans="1:5" x14ac:dyDescent="0.25">
      <c r="A192" t="s">
        <v>112</v>
      </c>
      <c r="B192">
        <v>2014</v>
      </c>
      <c r="C192" t="s">
        <v>205</v>
      </c>
      <c r="D192" s="437" t="s">
        <v>397</v>
      </c>
      <c r="E192" s="437">
        <v>20</v>
      </c>
    </row>
    <row r="193" spans="1:5" x14ac:dyDescent="0.25">
      <c r="A193" t="s">
        <v>112</v>
      </c>
      <c r="B193">
        <v>2014</v>
      </c>
      <c r="C193" t="s">
        <v>205</v>
      </c>
      <c r="D193" s="437" t="s">
        <v>133</v>
      </c>
      <c r="E193" s="437">
        <v>2112</v>
      </c>
    </row>
    <row r="194" spans="1:5" x14ac:dyDescent="0.25">
      <c r="A194" t="s">
        <v>112</v>
      </c>
      <c r="B194">
        <v>2014</v>
      </c>
      <c r="C194" t="s">
        <v>205</v>
      </c>
      <c r="D194" s="437" t="s">
        <v>597</v>
      </c>
      <c r="E194" s="437">
        <v>1166</v>
      </c>
    </row>
    <row r="195" spans="1:5" x14ac:dyDescent="0.25">
      <c r="A195" t="s">
        <v>112</v>
      </c>
      <c r="B195">
        <v>2014</v>
      </c>
      <c r="C195" t="s">
        <v>205</v>
      </c>
      <c r="D195" s="437" t="s">
        <v>596</v>
      </c>
      <c r="E195" s="437">
        <v>2974</v>
      </c>
    </row>
    <row r="196" spans="1:5" x14ac:dyDescent="0.25">
      <c r="A196" t="s">
        <v>112</v>
      </c>
      <c r="B196">
        <v>2014</v>
      </c>
      <c r="C196" t="s">
        <v>205</v>
      </c>
      <c r="D196" s="437" t="s">
        <v>413</v>
      </c>
      <c r="E196" s="437">
        <v>0</v>
      </c>
    </row>
    <row r="197" spans="1:5" x14ac:dyDescent="0.25">
      <c r="A197" t="s">
        <v>113</v>
      </c>
      <c r="B197">
        <v>2014</v>
      </c>
      <c r="C197" t="s">
        <v>205</v>
      </c>
      <c r="D197" s="437" t="s">
        <v>57</v>
      </c>
      <c r="E197" s="437">
        <v>1890</v>
      </c>
    </row>
    <row r="198" spans="1:5" x14ac:dyDescent="0.25">
      <c r="A198" t="s">
        <v>113</v>
      </c>
      <c r="B198">
        <v>2014</v>
      </c>
      <c r="C198" t="s">
        <v>205</v>
      </c>
      <c r="D198" s="437" t="s">
        <v>348</v>
      </c>
      <c r="E198" s="437">
        <v>731</v>
      </c>
    </row>
    <row r="199" spans="1:5" x14ac:dyDescent="0.25">
      <c r="A199" t="s">
        <v>113</v>
      </c>
      <c r="B199">
        <v>2014</v>
      </c>
      <c r="C199" t="s">
        <v>205</v>
      </c>
      <c r="D199" s="437" t="s">
        <v>349</v>
      </c>
      <c r="E199" s="437">
        <v>168</v>
      </c>
    </row>
    <row r="200" spans="1:5" x14ac:dyDescent="0.25">
      <c r="A200" t="s">
        <v>113</v>
      </c>
      <c r="B200">
        <v>2014</v>
      </c>
      <c r="C200" t="s">
        <v>205</v>
      </c>
      <c r="D200" s="437" t="s">
        <v>595</v>
      </c>
      <c r="E200" s="437">
        <v>4786</v>
      </c>
    </row>
    <row r="201" spans="1:5" x14ac:dyDescent="0.25">
      <c r="A201" t="s">
        <v>113</v>
      </c>
      <c r="B201">
        <v>2014</v>
      </c>
      <c r="C201" t="s">
        <v>205</v>
      </c>
      <c r="D201" s="437" t="s">
        <v>352</v>
      </c>
      <c r="E201" s="437">
        <v>410</v>
      </c>
    </row>
    <row r="202" spans="1:5" x14ac:dyDescent="0.25">
      <c r="A202" t="s">
        <v>113</v>
      </c>
      <c r="B202">
        <v>2014</v>
      </c>
      <c r="C202" t="s">
        <v>205</v>
      </c>
      <c r="D202" s="437" t="s">
        <v>43</v>
      </c>
      <c r="E202" s="437">
        <v>329</v>
      </c>
    </row>
    <row r="203" spans="1:5" x14ac:dyDescent="0.25">
      <c r="A203" t="s">
        <v>113</v>
      </c>
      <c r="B203">
        <v>2014</v>
      </c>
      <c r="C203" t="s">
        <v>205</v>
      </c>
      <c r="D203" s="437" t="s">
        <v>42</v>
      </c>
      <c r="E203" s="437">
        <v>0</v>
      </c>
    </row>
    <row r="204" spans="1:5" x14ac:dyDescent="0.25">
      <c r="A204" t="s">
        <v>113</v>
      </c>
      <c r="B204">
        <v>2014</v>
      </c>
      <c r="C204" t="s">
        <v>205</v>
      </c>
      <c r="D204" s="437" t="s">
        <v>44</v>
      </c>
      <c r="E204" s="437">
        <v>6</v>
      </c>
    </row>
    <row r="205" spans="1:5" x14ac:dyDescent="0.25">
      <c r="A205" t="s">
        <v>113</v>
      </c>
      <c r="B205">
        <v>2014</v>
      </c>
      <c r="C205" t="s">
        <v>205</v>
      </c>
      <c r="D205" s="437" t="s">
        <v>397</v>
      </c>
      <c r="E205" s="437">
        <v>197</v>
      </c>
    </row>
    <row r="206" spans="1:5" x14ac:dyDescent="0.25">
      <c r="A206" t="s">
        <v>113</v>
      </c>
      <c r="B206">
        <v>2014</v>
      </c>
      <c r="C206" t="s">
        <v>205</v>
      </c>
      <c r="D206" s="437" t="s">
        <v>133</v>
      </c>
      <c r="E206" s="437">
        <v>57</v>
      </c>
    </row>
    <row r="207" spans="1:5" x14ac:dyDescent="0.25">
      <c r="A207" t="s">
        <v>113</v>
      </c>
      <c r="B207">
        <v>2014</v>
      </c>
      <c r="C207" t="s">
        <v>205</v>
      </c>
      <c r="D207" s="437" t="s">
        <v>597</v>
      </c>
      <c r="E207" s="437">
        <v>2822</v>
      </c>
    </row>
    <row r="208" spans="1:5" x14ac:dyDescent="0.25">
      <c r="A208" t="s">
        <v>113</v>
      </c>
      <c r="B208">
        <v>2014</v>
      </c>
      <c r="C208" t="s">
        <v>205</v>
      </c>
      <c r="D208" s="437" t="s">
        <v>596</v>
      </c>
      <c r="E208" s="437">
        <v>6002</v>
      </c>
    </row>
    <row r="209" spans="1:5" x14ac:dyDescent="0.25">
      <c r="A209" t="s">
        <v>113</v>
      </c>
      <c r="B209">
        <v>2014</v>
      </c>
      <c r="C209" t="s">
        <v>205</v>
      </c>
      <c r="D209" s="437" t="s">
        <v>413</v>
      </c>
      <c r="E209" s="437">
        <v>0</v>
      </c>
    </row>
    <row r="210" spans="1:5" x14ac:dyDescent="0.25">
      <c r="A210" t="s">
        <v>114</v>
      </c>
      <c r="B210">
        <v>2014</v>
      </c>
      <c r="C210" t="s">
        <v>205</v>
      </c>
      <c r="D210" s="437" t="s">
        <v>57</v>
      </c>
      <c r="E210" s="437">
        <v>0</v>
      </c>
    </row>
    <row r="211" spans="1:5" x14ac:dyDescent="0.25">
      <c r="A211" t="s">
        <v>114</v>
      </c>
      <c r="B211">
        <v>2014</v>
      </c>
      <c r="C211" t="s">
        <v>205</v>
      </c>
      <c r="D211" s="437" t="s">
        <v>348</v>
      </c>
      <c r="E211" s="437">
        <v>346</v>
      </c>
    </row>
    <row r="212" spans="1:5" x14ac:dyDescent="0.25">
      <c r="A212" t="s">
        <v>114</v>
      </c>
      <c r="B212">
        <v>2014</v>
      </c>
      <c r="C212" t="s">
        <v>205</v>
      </c>
      <c r="D212" s="437" t="s">
        <v>349</v>
      </c>
      <c r="E212" s="437">
        <v>855</v>
      </c>
    </row>
    <row r="213" spans="1:5" x14ac:dyDescent="0.25">
      <c r="A213" t="s">
        <v>114</v>
      </c>
      <c r="B213">
        <v>2014</v>
      </c>
      <c r="C213" t="s">
        <v>205</v>
      </c>
      <c r="D213" s="437" t="s">
        <v>595</v>
      </c>
      <c r="E213" s="437">
        <v>3756</v>
      </c>
    </row>
    <row r="214" spans="1:5" x14ac:dyDescent="0.25">
      <c r="A214" t="s">
        <v>114</v>
      </c>
      <c r="B214">
        <v>2014</v>
      </c>
      <c r="C214" t="s">
        <v>205</v>
      </c>
      <c r="D214" s="437" t="s">
        <v>352</v>
      </c>
      <c r="E214" s="437">
        <v>1284</v>
      </c>
    </row>
    <row r="215" spans="1:5" x14ac:dyDescent="0.25">
      <c r="A215" t="s">
        <v>114</v>
      </c>
      <c r="B215">
        <v>2014</v>
      </c>
      <c r="C215" t="s">
        <v>205</v>
      </c>
      <c r="D215" s="437" t="s">
        <v>43</v>
      </c>
      <c r="E215" s="437">
        <v>2165</v>
      </c>
    </row>
    <row r="216" spans="1:5" x14ac:dyDescent="0.25">
      <c r="A216" t="s">
        <v>114</v>
      </c>
      <c r="B216">
        <v>2014</v>
      </c>
      <c r="C216" t="s">
        <v>205</v>
      </c>
      <c r="D216" s="437" t="s">
        <v>42</v>
      </c>
      <c r="E216" s="437">
        <v>0</v>
      </c>
    </row>
    <row r="217" spans="1:5" x14ac:dyDescent="0.25">
      <c r="A217" t="s">
        <v>114</v>
      </c>
      <c r="B217">
        <v>2014</v>
      </c>
      <c r="C217" t="s">
        <v>205</v>
      </c>
      <c r="D217" s="437" t="s">
        <v>44</v>
      </c>
      <c r="E217" s="437">
        <v>0</v>
      </c>
    </row>
    <row r="218" spans="1:5" x14ac:dyDescent="0.25">
      <c r="A218" t="s">
        <v>114</v>
      </c>
      <c r="B218">
        <v>2014</v>
      </c>
      <c r="C218" t="s">
        <v>205</v>
      </c>
      <c r="D218" s="437" t="s">
        <v>397</v>
      </c>
      <c r="E218" s="437">
        <v>55</v>
      </c>
    </row>
    <row r="219" spans="1:5" x14ac:dyDescent="0.25">
      <c r="A219" t="s">
        <v>114</v>
      </c>
      <c r="B219">
        <v>2014</v>
      </c>
      <c r="C219" t="s">
        <v>205</v>
      </c>
      <c r="D219" s="437" t="s">
        <v>133</v>
      </c>
      <c r="E219" s="437">
        <v>530</v>
      </c>
    </row>
    <row r="220" spans="1:5" x14ac:dyDescent="0.25">
      <c r="A220" t="s">
        <v>114</v>
      </c>
      <c r="B220">
        <v>2014</v>
      </c>
      <c r="C220" t="s">
        <v>205</v>
      </c>
      <c r="D220" s="437" t="s">
        <v>597</v>
      </c>
      <c r="E220" s="437">
        <v>1684</v>
      </c>
    </row>
    <row r="221" spans="1:5" x14ac:dyDescent="0.25">
      <c r="A221" t="s">
        <v>114</v>
      </c>
      <c r="B221">
        <v>2014</v>
      </c>
      <c r="C221" t="s">
        <v>205</v>
      </c>
      <c r="D221" s="437" t="s">
        <v>596</v>
      </c>
      <c r="E221" s="437">
        <v>4572</v>
      </c>
    </row>
    <row r="222" spans="1:5" x14ac:dyDescent="0.25">
      <c r="A222" t="s">
        <v>114</v>
      </c>
      <c r="B222">
        <v>2014</v>
      </c>
      <c r="C222" t="s">
        <v>205</v>
      </c>
      <c r="D222" s="437" t="s">
        <v>413</v>
      </c>
      <c r="E222" s="437">
        <v>169</v>
      </c>
    </row>
    <row r="223" spans="1:5" x14ac:dyDescent="0.25">
      <c r="A223" t="s">
        <v>200</v>
      </c>
      <c r="B223">
        <v>2014</v>
      </c>
      <c r="C223" t="s">
        <v>205</v>
      </c>
      <c r="D223" s="437" t="s">
        <v>57</v>
      </c>
      <c r="E223" s="437">
        <v>0</v>
      </c>
    </row>
    <row r="224" spans="1:5" x14ac:dyDescent="0.25">
      <c r="A224" t="s">
        <v>200</v>
      </c>
      <c r="B224">
        <v>2014</v>
      </c>
      <c r="C224" t="s">
        <v>205</v>
      </c>
      <c r="D224" s="437" t="s">
        <v>348</v>
      </c>
      <c r="E224" s="437">
        <v>0</v>
      </c>
    </row>
    <row r="225" spans="1:5" x14ac:dyDescent="0.25">
      <c r="A225" t="s">
        <v>200</v>
      </c>
      <c r="B225">
        <v>2014</v>
      </c>
      <c r="C225" t="s">
        <v>205</v>
      </c>
      <c r="D225" s="437" t="s">
        <v>349</v>
      </c>
      <c r="E225" s="437">
        <v>0</v>
      </c>
    </row>
    <row r="226" spans="1:5" x14ac:dyDescent="0.25">
      <c r="A226" t="s">
        <v>200</v>
      </c>
      <c r="B226">
        <v>2014</v>
      </c>
      <c r="C226" t="s">
        <v>205</v>
      </c>
      <c r="D226" s="437" t="s">
        <v>595</v>
      </c>
      <c r="E226" s="437">
        <v>0</v>
      </c>
    </row>
    <row r="227" spans="1:5" x14ac:dyDescent="0.25">
      <c r="A227" t="s">
        <v>200</v>
      </c>
      <c r="B227">
        <v>2014</v>
      </c>
      <c r="C227" t="s">
        <v>205</v>
      </c>
      <c r="D227" s="437" t="s">
        <v>352</v>
      </c>
      <c r="E227" s="437">
        <v>63</v>
      </c>
    </row>
    <row r="228" spans="1:5" x14ac:dyDescent="0.25">
      <c r="A228" t="s">
        <v>200</v>
      </c>
      <c r="B228">
        <v>2014</v>
      </c>
      <c r="C228" t="s">
        <v>205</v>
      </c>
      <c r="D228" s="437" t="s">
        <v>43</v>
      </c>
      <c r="E228" s="437">
        <v>2</v>
      </c>
    </row>
    <row r="229" spans="1:5" x14ac:dyDescent="0.25">
      <c r="A229" t="s">
        <v>200</v>
      </c>
      <c r="B229">
        <v>2014</v>
      </c>
      <c r="C229" t="s">
        <v>205</v>
      </c>
      <c r="D229" s="437" t="s">
        <v>42</v>
      </c>
      <c r="E229" s="437">
        <v>0</v>
      </c>
    </row>
    <row r="230" spans="1:5" x14ac:dyDescent="0.25">
      <c r="A230" t="s">
        <v>200</v>
      </c>
      <c r="B230">
        <v>2014</v>
      </c>
      <c r="C230" t="s">
        <v>205</v>
      </c>
      <c r="D230" s="437" t="s">
        <v>44</v>
      </c>
      <c r="E230" s="437">
        <v>0</v>
      </c>
    </row>
    <row r="231" spans="1:5" x14ac:dyDescent="0.25">
      <c r="A231" t="s">
        <v>200</v>
      </c>
      <c r="B231">
        <v>2014</v>
      </c>
      <c r="C231" t="s">
        <v>205</v>
      </c>
      <c r="D231" s="437" t="s">
        <v>397</v>
      </c>
      <c r="E231" s="437">
        <v>0</v>
      </c>
    </row>
    <row r="232" spans="1:5" x14ac:dyDescent="0.25">
      <c r="A232" t="s">
        <v>200</v>
      </c>
      <c r="B232">
        <v>2014</v>
      </c>
      <c r="C232" t="s">
        <v>205</v>
      </c>
      <c r="D232" s="437" t="s">
        <v>133</v>
      </c>
      <c r="E232" s="437">
        <v>1860</v>
      </c>
    </row>
    <row r="233" spans="1:5" x14ac:dyDescent="0.25">
      <c r="A233" t="s">
        <v>200</v>
      </c>
      <c r="B233">
        <v>2014</v>
      </c>
      <c r="C233" t="s">
        <v>205</v>
      </c>
      <c r="D233" s="437" t="s">
        <v>597</v>
      </c>
      <c r="E233" s="437">
        <v>1337</v>
      </c>
    </row>
    <row r="234" spans="1:5" x14ac:dyDescent="0.25">
      <c r="A234" t="s">
        <v>200</v>
      </c>
      <c r="B234">
        <v>2014</v>
      </c>
      <c r="C234" t="s">
        <v>205</v>
      </c>
      <c r="D234" s="437" t="s">
        <v>596</v>
      </c>
      <c r="E234" s="437">
        <v>2278</v>
      </c>
    </row>
    <row r="235" spans="1:5" x14ac:dyDescent="0.25">
      <c r="A235" t="s">
        <v>200</v>
      </c>
      <c r="B235">
        <v>2014</v>
      </c>
      <c r="C235" t="s">
        <v>205</v>
      </c>
      <c r="D235" s="437" t="s">
        <v>413</v>
      </c>
      <c r="E235" s="437">
        <v>663</v>
      </c>
    </row>
    <row r="236" spans="1:5" x14ac:dyDescent="0.25">
      <c r="A236" t="s">
        <v>115</v>
      </c>
      <c r="B236">
        <v>2014</v>
      </c>
      <c r="C236" t="s">
        <v>205</v>
      </c>
      <c r="D236" s="437" t="s">
        <v>57</v>
      </c>
      <c r="E236" s="437">
        <v>0</v>
      </c>
    </row>
    <row r="237" spans="1:5" x14ac:dyDescent="0.25">
      <c r="A237" t="s">
        <v>115</v>
      </c>
      <c r="B237">
        <v>2014</v>
      </c>
      <c r="C237" t="s">
        <v>205</v>
      </c>
      <c r="D237" s="437" t="s">
        <v>348</v>
      </c>
      <c r="E237" s="437">
        <v>0</v>
      </c>
    </row>
    <row r="238" spans="1:5" x14ac:dyDescent="0.25">
      <c r="A238" t="s">
        <v>115</v>
      </c>
      <c r="B238">
        <v>2014</v>
      </c>
      <c r="C238" t="s">
        <v>205</v>
      </c>
      <c r="D238" s="437" t="s">
        <v>349</v>
      </c>
      <c r="E238" s="437">
        <v>6393</v>
      </c>
    </row>
    <row r="239" spans="1:5" x14ac:dyDescent="0.25">
      <c r="A239" t="s">
        <v>115</v>
      </c>
      <c r="B239">
        <v>2014</v>
      </c>
      <c r="C239" t="s">
        <v>205</v>
      </c>
      <c r="D239" s="437" t="s">
        <v>595</v>
      </c>
      <c r="E239" s="437">
        <v>35750</v>
      </c>
    </row>
    <row r="240" spans="1:5" x14ac:dyDescent="0.25">
      <c r="A240" t="s">
        <v>115</v>
      </c>
      <c r="B240">
        <v>2014</v>
      </c>
      <c r="C240" t="s">
        <v>205</v>
      </c>
      <c r="D240" s="437" t="s">
        <v>352</v>
      </c>
      <c r="E240" s="437">
        <v>29111</v>
      </c>
    </row>
    <row r="241" spans="1:5" x14ac:dyDescent="0.25">
      <c r="A241" t="s">
        <v>115</v>
      </c>
      <c r="B241">
        <v>2014</v>
      </c>
      <c r="C241" t="s">
        <v>205</v>
      </c>
      <c r="D241" s="437" t="s">
        <v>43</v>
      </c>
      <c r="E241" s="437">
        <v>8542</v>
      </c>
    </row>
    <row r="242" spans="1:5" x14ac:dyDescent="0.25">
      <c r="A242" t="s">
        <v>115</v>
      </c>
      <c r="B242">
        <v>2014</v>
      </c>
      <c r="C242" t="s">
        <v>205</v>
      </c>
      <c r="D242" s="437" t="s">
        <v>42</v>
      </c>
      <c r="E242" s="437">
        <v>0</v>
      </c>
    </row>
    <row r="243" spans="1:5" x14ac:dyDescent="0.25">
      <c r="A243" t="s">
        <v>115</v>
      </c>
      <c r="B243">
        <v>2014</v>
      </c>
      <c r="C243" t="s">
        <v>205</v>
      </c>
      <c r="D243" s="437" t="s">
        <v>44</v>
      </c>
      <c r="E243" s="437">
        <v>18620</v>
      </c>
    </row>
    <row r="244" spans="1:5" x14ac:dyDescent="0.25">
      <c r="A244" t="s">
        <v>115</v>
      </c>
      <c r="B244">
        <v>2014</v>
      </c>
      <c r="C244" t="s">
        <v>205</v>
      </c>
      <c r="D244" s="437" t="s">
        <v>397</v>
      </c>
      <c r="E244" s="437">
        <v>4256</v>
      </c>
    </row>
    <row r="245" spans="1:5" x14ac:dyDescent="0.25">
      <c r="A245" t="s">
        <v>115</v>
      </c>
      <c r="B245">
        <v>2014</v>
      </c>
      <c r="C245" t="s">
        <v>205</v>
      </c>
      <c r="D245" s="437" t="s">
        <v>133</v>
      </c>
      <c r="E245" s="437">
        <v>22009</v>
      </c>
    </row>
    <row r="246" spans="1:5" x14ac:dyDescent="0.25">
      <c r="A246" t="s">
        <v>115</v>
      </c>
      <c r="B246">
        <v>2014</v>
      </c>
      <c r="C246" t="s">
        <v>205</v>
      </c>
      <c r="D246" s="437" t="s">
        <v>597</v>
      </c>
      <c r="E246" s="437">
        <v>18738</v>
      </c>
    </row>
    <row r="247" spans="1:5" x14ac:dyDescent="0.25">
      <c r="A247" t="s">
        <v>115</v>
      </c>
      <c r="B247">
        <v>2014</v>
      </c>
      <c r="C247" t="s">
        <v>205</v>
      </c>
      <c r="D247" s="437" t="s">
        <v>596</v>
      </c>
      <c r="E247" s="437">
        <v>51587</v>
      </c>
    </row>
    <row r="248" spans="1:5" x14ac:dyDescent="0.25">
      <c r="A248" t="s">
        <v>115</v>
      </c>
      <c r="B248">
        <v>2014</v>
      </c>
      <c r="C248" t="s">
        <v>205</v>
      </c>
      <c r="D248" s="437" t="s">
        <v>413</v>
      </c>
      <c r="E248" s="437">
        <v>270</v>
      </c>
    </row>
    <row r="249" spans="1:5" x14ac:dyDescent="0.25">
      <c r="A249" t="s">
        <v>116</v>
      </c>
      <c r="B249">
        <v>2014</v>
      </c>
      <c r="C249" t="s">
        <v>205</v>
      </c>
      <c r="D249" s="437" t="s">
        <v>57</v>
      </c>
      <c r="E249" s="437">
        <v>0</v>
      </c>
    </row>
    <row r="250" spans="1:5" x14ac:dyDescent="0.25">
      <c r="A250" t="s">
        <v>116</v>
      </c>
      <c r="B250">
        <v>2014</v>
      </c>
      <c r="C250" t="s">
        <v>205</v>
      </c>
      <c r="D250" s="437" t="s">
        <v>348</v>
      </c>
      <c r="E250" s="437">
        <v>0</v>
      </c>
    </row>
    <row r="251" spans="1:5" x14ac:dyDescent="0.25">
      <c r="A251" t="s">
        <v>116</v>
      </c>
      <c r="B251">
        <v>2014</v>
      </c>
      <c r="C251" t="s">
        <v>205</v>
      </c>
      <c r="D251" s="437" t="s">
        <v>349</v>
      </c>
      <c r="E251" s="437">
        <v>0</v>
      </c>
    </row>
    <row r="252" spans="1:5" x14ac:dyDescent="0.25">
      <c r="A252" t="s">
        <v>116</v>
      </c>
      <c r="B252">
        <v>2014</v>
      </c>
      <c r="C252" t="s">
        <v>205</v>
      </c>
      <c r="D252" s="437" t="s">
        <v>595</v>
      </c>
      <c r="E252" s="437">
        <v>579</v>
      </c>
    </row>
    <row r="253" spans="1:5" x14ac:dyDescent="0.25">
      <c r="A253" t="s">
        <v>116</v>
      </c>
      <c r="B253">
        <v>2014</v>
      </c>
      <c r="C253" t="s">
        <v>205</v>
      </c>
      <c r="D253" s="437" t="s">
        <v>352</v>
      </c>
      <c r="E253" s="437">
        <v>2041</v>
      </c>
    </row>
    <row r="254" spans="1:5" x14ac:dyDescent="0.25">
      <c r="A254" t="s">
        <v>116</v>
      </c>
      <c r="B254">
        <v>2014</v>
      </c>
      <c r="C254" t="s">
        <v>205</v>
      </c>
      <c r="D254" s="437" t="s">
        <v>43</v>
      </c>
      <c r="E254" s="437">
        <v>288</v>
      </c>
    </row>
    <row r="255" spans="1:5" x14ac:dyDescent="0.25">
      <c r="A255" t="s">
        <v>116</v>
      </c>
      <c r="B255">
        <v>2014</v>
      </c>
      <c r="C255" t="s">
        <v>205</v>
      </c>
      <c r="D255" s="437" t="s">
        <v>42</v>
      </c>
      <c r="E255" s="437">
        <v>0</v>
      </c>
    </row>
    <row r="256" spans="1:5" x14ac:dyDescent="0.25">
      <c r="A256" t="s">
        <v>116</v>
      </c>
      <c r="B256">
        <v>2014</v>
      </c>
      <c r="C256" t="s">
        <v>205</v>
      </c>
      <c r="D256" s="437" t="s">
        <v>44</v>
      </c>
      <c r="E256" s="437">
        <v>69</v>
      </c>
    </row>
    <row r="257" spans="1:5" x14ac:dyDescent="0.25">
      <c r="A257" t="s">
        <v>116</v>
      </c>
      <c r="B257">
        <v>2014</v>
      </c>
      <c r="C257" t="s">
        <v>205</v>
      </c>
      <c r="D257" s="437" t="s">
        <v>397</v>
      </c>
      <c r="E257" s="437">
        <v>78</v>
      </c>
    </row>
    <row r="258" spans="1:5" x14ac:dyDescent="0.25">
      <c r="A258" t="s">
        <v>116</v>
      </c>
      <c r="B258">
        <v>2014</v>
      </c>
      <c r="C258" t="s">
        <v>205</v>
      </c>
      <c r="D258" s="437" t="s">
        <v>133</v>
      </c>
      <c r="E258" s="437">
        <v>1026</v>
      </c>
    </row>
    <row r="259" spans="1:5" x14ac:dyDescent="0.25">
      <c r="A259" t="s">
        <v>116</v>
      </c>
      <c r="B259">
        <v>2014</v>
      </c>
      <c r="C259" t="s">
        <v>205</v>
      </c>
      <c r="D259" s="437" t="s">
        <v>597</v>
      </c>
      <c r="E259" s="437">
        <v>755</v>
      </c>
    </row>
    <row r="260" spans="1:5" x14ac:dyDescent="0.25">
      <c r="A260" t="s">
        <v>116</v>
      </c>
      <c r="B260">
        <v>2014</v>
      </c>
      <c r="C260" t="s">
        <v>205</v>
      </c>
      <c r="D260" s="437" t="s">
        <v>596</v>
      </c>
      <c r="E260" s="437">
        <v>1835</v>
      </c>
    </row>
    <row r="261" spans="1:5" x14ac:dyDescent="0.25">
      <c r="A261" t="s">
        <v>116</v>
      </c>
      <c r="B261">
        <v>2014</v>
      </c>
      <c r="C261" t="s">
        <v>205</v>
      </c>
      <c r="D261" s="437" t="s">
        <v>413</v>
      </c>
      <c r="E261" s="437">
        <v>10</v>
      </c>
    </row>
    <row r="262" spans="1:5" x14ac:dyDescent="0.25">
      <c r="A262" t="s">
        <v>117</v>
      </c>
      <c r="B262">
        <v>2014</v>
      </c>
      <c r="C262" t="s">
        <v>205</v>
      </c>
      <c r="D262" s="437" t="s">
        <v>57</v>
      </c>
      <c r="E262" s="437">
        <v>0</v>
      </c>
    </row>
    <row r="263" spans="1:5" x14ac:dyDescent="0.25">
      <c r="A263" t="s">
        <v>117</v>
      </c>
      <c r="B263">
        <v>2014</v>
      </c>
      <c r="C263" t="s">
        <v>205</v>
      </c>
      <c r="D263" s="437" t="s">
        <v>348</v>
      </c>
      <c r="E263" s="437">
        <v>0</v>
      </c>
    </row>
    <row r="264" spans="1:5" x14ac:dyDescent="0.25">
      <c r="A264" t="s">
        <v>117</v>
      </c>
      <c r="B264">
        <v>2014</v>
      </c>
      <c r="C264" t="s">
        <v>205</v>
      </c>
      <c r="D264" s="437" t="s">
        <v>349</v>
      </c>
      <c r="E264" s="437">
        <v>0</v>
      </c>
    </row>
    <row r="265" spans="1:5" x14ac:dyDescent="0.25">
      <c r="A265" t="s">
        <v>117</v>
      </c>
      <c r="B265">
        <v>2014</v>
      </c>
      <c r="C265" t="s">
        <v>205</v>
      </c>
      <c r="D265" s="437" t="s">
        <v>595</v>
      </c>
      <c r="E265" s="437">
        <v>495</v>
      </c>
    </row>
    <row r="266" spans="1:5" x14ac:dyDescent="0.25">
      <c r="A266" t="s">
        <v>117</v>
      </c>
      <c r="B266">
        <v>2014</v>
      </c>
      <c r="C266" t="s">
        <v>205</v>
      </c>
      <c r="D266" s="437" t="s">
        <v>352</v>
      </c>
      <c r="E266" s="437">
        <v>0</v>
      </c>
    </row>
    <row r="267" spans="1:5" x14ac:dyDescent="0.25">
      <c r="A267" t="s">
        <v>117</v>
      </c>
      <c r="B267">
        <v>2014</v>
      </c>
      <c r="C267" t="s">
        <v>205</v>
      </c>
      <c r="D267" s="437" t="s">
        <v>43</v>
      </c>
      <c r="E267" s="437">
        <v>57</v>
      </c>
    </row>
    <row r="268" spans="1:5" x14ac:dyDescent="0.25">
      <c r="A268" t="s">
        <v>117</v>
      </c>
      <c r="B268">
        <v>2014</v>
      </c>
      <c r="C268" t="s">
        <v>205</v>
      </c>
      <c r="D268" s="437" t="s">
        <v>42</v>
      </c>
      <c r="E268" s="437">
        <v>0</v>
      </c>
    </row>
    <row r="269" spans="1:5" x14ac:dyDescent="0.25">
      <c r="A269" t="s">
        <v>117</v>
      </c>
      <c r="B269">
        <v>2014</v>
      </c>
      <c r="C269" t="s">
        <v>205</v>
      </c>
      <c r="D269" s="437" t="s">
        <v>44</v>
      </c>
      <c r="E269" s="437">
        <v>109</v>
      </c>
    </row>
    <row r="270" spans="1:5" x14ac:dyDescent="0.25">
      <c r="A270" t="s">
        <v>117</v>
      </c>
      <c r="B270">
        <v>2014</v>
      </c>
      <c r="C270" t="s">
        <v>205</v>
      </c>
      <c r="D270" s="437" t="s">
        <v>397</v>
      </c>
      <c r="E270" s="437">
        <v>11</v>
      </c>
    </row>
    <row r="271" spans="1:5" x14ac:dyDescent="0.25">
      <c r="A271" t="s">
        <v>117</v>
      </c>
      <c r="B271">
        <v>2014</v>
      </c>
      <c r="C271" t="s">
        <v>205</v>
      </c>
      <c r="D271" s="437" t="s">
        <v>133</v>
      </c>
      <c r="E271" s="437">
        <v>1334</v>
      </c>
    </row>
    <row r="272" spans="1:5" x14ac:dyDescent="0.25">
      <c r="A272" t="s">
        <v>117</v>
      </c>
      <c r="B272">
        <v>2014</v>
      </c>
      <c r="C272" t="s">
        <v>205</v>
      </c>
      <c r="D272" s="437" t="s">
        <v>597</v>
      </c>
      <c r="E272" s="437">
        <v>368</v>
      </c>
    </row>
    <row r="273" spans="1:5" x14ac:dyDescent="0.25">
      <c r="A273" t="s">
        <v>117</v>
      </c>
      <c r="B273">
        <v>2014</v>
      </c>
      <c r="C273" t="s">
        <v>205</v>
      </c>
      <c r="D273" s="437" t="s">
        <v>596</v>
      </c>
      <c r="E273" s="437">
        <v>878</v>
      </c>
    </row>
    <row r="274" spans="1:5" x14ac:dyDescent="0.25">
      <c r="A274" t="s">
        <v>117</v>
      </c>
      <c r="B274">
        <v>2014</v>
      </c>
      <c r="C274" t="s">
        <v>205</v>
      </c>
      <c r="D274" s="437" t="s">
        <v>413</v>
      </c>
      <c r="E274" s="437">
        <v>21</v>
      </c>
    </row>
    <row r="275" spans="1:5" x14ac:dyDescent="0.25">
      <c r="A275" t="s">
        <v>201</v>
      </c>
      <c r="B275">
        <v>2014</v>
      </c>
      <c r="C275" t="s">
        <v>205</v>
      </c>
      <c r="D275" s="437" t="s">
        <v>57</v>
      </c>
      <c r="E275" s="437">
        <v>0</v>
      </c>
    </row>
    <row r="276" spans="1:5" x14ac:dyDescent="0.25">
      <c r="A276" t="s">
        <v>201</v>
      </c>
      <c r="B276">
        <v>2014</v>
      </c>
      <c r="C276" t="s">
        <v>205</v>
      </c>
      <c r="D276" s="437" t="s">
        <v>348</v>
      </c>
      <c r="E276" s="437">
        <v>0</v>
      </c>
    </row>
    <row r="277" spans="1:5" x14ac:dyDescent="0.25">
      <c r="A277" t="s">
        <v>201</v>
      </c>
      <c r="B277">
        <v>2014</v>
      </c>
      <c r="C277" t="s">
        <v>205</v>
      </c>
      <c r="D277" s="437" t="s">
        <v>349</v>
      </c>
      <c r="E277" s="437">
        <v>0</v>
      </c>
    </row>
    <row r="278" spans="1:5" x14ac:dyDescent="0.25">
      <c r="A278" t="s">
        <v>201</v>
      </c>
      <c r="B278">
        <v>2014</v>
      </c>
      <c r="C278" t="s">
        <v>205</v>
      </c>
      <c r="D278" s="437" t="s">
        <v>595</v>
      </c>
      <c r="E278" s="437">
        <v>820</v>
      </c>
    </row>
    <row r="279" spans="1:5" x14ac:dyDescent="0.25">
      <c r="A279" t="s">
        <v>201</v>
      </c>
      <c r="B279">
        <v>2014</v>
      </c>
      <c r="C279" t="s">
        <v>205</v>
      </c>
      <c r="D279" s="437" t="s">
        <v>352</v>
      </c>
      <c r="E279" s="437">
        <v>85</v>
      </c>
    </row>
    <row r="280" spans="1:5" x14ac:dyDescent="0.25">
      <c r="A280" t="s">
        <v>201</v>
      </c>
      <c r="B280">
        <v>2014</v>
      </c>
      <c r="C280" t="s">
        <v>205</v>
      </c>
      <c r="D280" s="437" t="s">
        <v>43</v>
      </c>
      <c r="E280" s="437">
        <v>58</v>
      </c>
    </row>
    <row r="281" spans="1:5" x14ac:dyDescent="0.25">
      <c r="A281" t="s">
        <v>201</v>
      </c>
      <c r="B281">
        <v>2014</v>
      </c>
      <c r="C281" t="s">
        <v>205</v>
      </c>
      <c r="D281" s="437" t="s">
        <v>42</v>
      </c>
      <c r="E281" s="437">
        <v>0</v>
      </c>
    </row>
    <row r="282" spans="1:5" x14ac:dyDescent="0.25">
      <c r="A282" t="s">
        <v>201</v>
      </c>
      <c r="B282">
        <v>2014</v>
      </c>
      <c r="C282" t="s">
        <v>205</v>
      </c>
      <c r="D282" s="437" t="s">
        <v>44</v>
      </c>
      <c r="E282" s="437">
        <v>0</v>
      </c>
    </row>
    <row r="283" spans="1:5" x14ac:dyDescent="0.25">
      <c r="A283" t="s">
        <v>201</v>
      </c>
      <c r="B283">
        <v>2014</v>
      </c>
      <c r="C283" t="s">
        <v>205</v>
      </c>
      <c r="D283" s="437" t="s">
        <v>397</v>
      </c>
      <c r="E283" s="437">
        <v>82</v>
      </c>
    </row>
    <row r="284" spans="1:5" x14ac:dyDescent="0.25">
      <c r="A284" t="s">
        <v>201</v>
      </c>
      <c r="B284">
        <v>2014</v>
      </c>
      <c r="C284" t="s">
        <v>205</v>
      </c>
      <c r="D284" s="437" t="s">
        <v>133</v>
      </c>
      <c r="E284" s="437">
        <v>1578</v>
      </c>
    </row>
    <row r="285" spans="1:5" x14ac:dyDescent="0.25">
      <c r="A285" t="s">
        <v>201</v>
      </c>
      <c r="B285">
        <v>2014</v>
      </c>
      <c r="C285" t="s">
        <v>205</v>
      </c>
      <c r="D285" s="437" t="s">
        <v>597</v>
      </c>
      <c r="E285" s="437">
        <v>453</v>
      </c>
    </row>
    <row r="286" spans="1:5" x14ac:dyDescent="0.25">
      <c r="A286" t="s">
        <v>201</v>
      </c>
      <c r="B286">
        <v>2014</v>
      </c>
      <c r="C286" t="s">
        <v>205</v>
      </c>
      <c r="D286" s="437" t="s">
        <v>596</v>
      </c>
      <c r="E286" s="437">
        <v>1331</v>
      </c>
    </row>
    <row r="287" spans="1:5" x14ac:dyDescent="0.25">
      <c r="A287" t="s">
        <v>201</v>
      </c>
      <c r="B287">
        <v>2014</v>
      </c>
      <c r="C287" t="s">
        <v>205</v>
      </c>
      <c r="D287" s="437" t="s">
        <v>413</v>
      </c>
      <c r="E287" s="437">
        <v>0</v>
      </c>
    </row>
    <row r="288" spans="1:5" x14ac:dyDescent="0.25">
      <c r="A288" t="s">
        <v>583</v>
      </c>
      <c r="B288">
        <v>2014</v>
      </c>
      <c r="C288" t="s">
        <v>205</v>
      </c>
      <c r="D288" s="437" t="s">
        <v>57</v>
      </c>
      <c r="E288" s="437">
        <v>0</v>
      </c>
    </row>
    <row r="289" spans="1:5" x14ac:dyDescent="0.25">
      <c r="A289" t="s">
        <v>583</v>
      </c>
      <c r="B289">
        <v>2014</v>
      </c>
      <c r="C289" t="s">
        <v>205</v>
      </c>
      <c r="D289" s="437" t="s">
        <v>348</v>
      </c>
      <c r="E289" s="437">
        <v>0</v>
      </c>
    </row>
    <row r="290" spans="1:5" x14ac:dyDescent="0.25">
      <c r="A290" t="s">
        <v>583</v>
      </c>
      <c r="B290">
        <v>2014</v>
      </c>
      <c r="C290" t="s">
        <v>205</v>
      </c>
      <c r="D290" s="437" t="s">
        <v>349</v>
      </c>
      <c r="E290" s="437">
        <v>3836</v>
      </c>
    </row>
    <row r="291" spans="1:5" x14ac:dyDescent="0.25">
      <c r="A291" t="s">
        <v>583</v>
      </c>
      <c r="B291">
        <v>2014</v>
      </c>
      <c r="C291" t="s">
        <v>205</v>
      </c>
      <c r="D291" s="437" t="s">
        <v>595</v>
      </c>
      <c r="E291" s="437">
        <v>2064</v>
      </c>
    </row>
    <row r="292" spans="1:5" x14ac:dyDescent="0.25">
      <c r="A292" t="s">
        <v>583</v>
      </c>
      <c r="B292">
        <v>2014</v>
      </c>
      <c r="C292" t="s">
        <v>205</v>
      </c>
      <c r="D292" s="437" t="s">
        <v>352</v>
      </c>
      <c r="E292" s="437">
        <v>4</v>
      </c>
    </row>
    <row r="293" spans="1:5" x14ac:dyDescent="0.25">
      <c r="A293" t="s">
        <v>583</v>
      </c>
      <c r="B293">
        <v>2014</v>
      </c>
      <c r="C293" t="s">
        <v>205</v>
      </c>
      <c r="D293" s="437" t="s">
        <v>43</v>
      </c>
      <c r="E293" s="437">
        <v>1447</v>
      </c>
    </row>
    <row r="294" spans="1:5" x14ac:dyDescent="0.25">
      <c r="A294" t="s">
        <v>583</v>
      </c>
      <c r="B294">
        <v>2014</v>
      </c>
      <c r="C294" t="s">
        <v>205</v>
      </c>
      <c r="D294" s="437" t="s">
        <v>42</v>
      </c>
      <c r="E294" s="437">
        <v>0</v>
      </c>
    </row>
    <row r="295" spans="1:5" x14ac:dyDescent="0.25">
      <c r="A295" t="s">
        <v>583</v>
      </c>
      <c r="B295">
        <v>2014</v>
      </c>
      <c r="C295" t="s">
        <v>205</v>
      </c>
      <c r="D295" s="437" t="s">
        <v>44</v>
      </c>
      <c r="E295" s="437">
        <v>0</v>
      </c>
    </row>
    <row r="296" spans="1:5" x14ac:dyDescent="0.25">
      <c r="A296" t="s">
        <v>583</v>
      </c>
      <c r="B296">
        <v>2014</v>
      </c>
      <c r="C296" t="s">
        <v>205</v>
      </c>
      <c r="D296" s="437" t="s">
        <v>397</v>
      </c>
      <c r="E296" s="437">
        <v>43</v>
      </c>
    </row>
    <row r="297" spans="1:5" x14ac:dyDescent="0.25">
      <c r="A297" t="s">
        <v>583</v>
      </c>
      <c r="B297">
        <v>2014</v>
      </c>
      <c r="C297" t="s">
        <v>205</v>
      </c>
      <c r="D297" s="437" t="s">
        <v>133</v>
      </c>
      <c r="E297" s="437">
        <v>12</v>
      </c>
    </row>
    <row r="298" spans="1:5" x14ac:dyDescent="0.25">
      <c r="A298" t="s">
        <v>583</v>
      </c>
      <c r="B298">
        <v>2014</v>
      </c>
      <c r="C298" t="s">
        <v>205</v>
      </c>
      <c r="D298" s="437" t="s">
        <v>597</v>
      </c>
      <c r="E298" s="437">
        <v>500</v>
      </c>
    </row>
    <row r="299" spans="1:5" x14ac:dyDescent="0.25">
      <c r="A299" t="s">
        <v>583</v>
      </c>
      <c r="B299">
        <v>2014</v>
      </c>
      <c r="C299" t="s">
        <v>205</v>
      </c>
      <c r="D299" s="437" t="s">
        <v>596</v>
      </c>
      <c r="E299" s="437">
        <v>1745</v>
      </c>
    </row>
    <row r="300" spans="1:5" x14ac:dyDescent="0.25">
      <c r="A300" t="s">
        <v>583</v>
      </c>
      <c r="B300">
        <v>2014</v>
      </c>
      <c r="C300" t="s">
        <v>205</v>
      </c>
      <c r="D300" s="437" t="s">
        <v>413</v>
      </c>
      <c r="E300" s="437">
        <v>60</v>
      </c>
    </row>
    <row r="301" spans="1:5" x14ac:dyDescent="0.25">
      <c r="A301" t="s">
        <v>120</v>
      </c>
      <c r="B301">
        <v>2014</v>
      </c>
      <c r="C301" t="s">
        <v>205</v>
      </c>
      <c r="D301" s="437" t="s">
        <v>57</v>
      </c>
      <c r="E301" s="437">
        <v>492</v>
      </c>
    </row>
    <row r="302" spans="1:5" x14ac:dyDescent="0.25">
      <c r="A302" t="s">
        <v>120</v>
      </c>
      <c r="B302">
        <v>2014</v>
      </c>
      <c r="C302" t="s">
        <v>205</v>
      </c>
      <c r="D302" s="437" t="s">
        <v>348</v>
      </c>
      <c r="E302" s="437">
        <v>0</v>
      </c>
    </row>
    <row r="303" spans="1:5" x14ac:dyDescent="0.25">
      <c r="A303" t="s">
        <v>120</v>
      </c>
      <c r="B303">
        <v>2014</v>
      </c>
      <c r="C303" t="s">
        <v>205</v>
      </c>
      <c r="D303" s="437" t="s">
        <v>349</v>
      </c>
      <c r="E303" s="437">
        <v>7270</v>
      </c>
    </row>
    <row r="304" spans="1:5" x14ac:dyDescent="0.25">
      <c r="A304" t="s">
        <v>120</v>
      </c>
      <c r="B304">
        <v>2014</v>
      </c>
      <c r="C304" t="s">
        <v>205</v>
      </c>
      <c r="D304" s="437" t="s">
        <v>595</v>
      </c>
      <c r="E304" s="437">
        <v>19590</v>
      </c>
    </row>
    <row r="305" spans="1:5" x14ac:dyDescent="0.25">
      <c r="A305" t="s">
        <v>120</v>
      </c>
      <c r="B305">
        <v>2014</v>
      </c>
      <c r="C305" t="s">
        <v>205</v>
      </c>
      <c r="D305" s="437" t="s">
        <v>352</v>
      </c>
      <c r="E305" s="437">
        <v>869</v>
      </c>
    </row>
    <row r="306" spans="1:5" x14ac:dyDescent="0.25">
      <c r="A306" t="s">
        <v>120</v>
      </c>
      <c r="B306">
        <v>2014</v>
      </c>
      <c r="C306" t="s">
        <v>205</v>
      </c>
      <c r="D306" s="437" t="s">
        <v>43</v>
      </c>
      <c r="E306" s="437">
        <v>2874</v>
      </c>
    </row>
    <row r="307" spans="1:5" x14ac:dyDescent="0.25">
      <c r="A307" t="s">
        <v>120</v>
      </c>
      <c r="B307">
        <v>2014</v>
      </c>
      <c r="C307" t="s">
        <v>205</v>
      </c>
      <c r="D307" s="437" t="s">
        <v>42</v>
      </c>
      <c r="E307" s="437">
        <v>0</v>
      </c>
    </row>
    <row r="308" spans="1:5" x14ac:dyDescent="0.25">
      <c r="A308" t="s">
        <v>120</v>
      </c>
      <c r="B308">
        <v>2014</v>
      </c>
      <c r="C308" t="s">
        <v>205</v>
      </c>
      <c r="D308" s="437" t="s">
        <v>44</v>
      </c>
      <c r="E308" s="437">
        <v>1000</v>
      </c>
    </row>
    <row r="309" spans="1:5" x14ac:dyDescent="0.25">
      <c r="A309" t="s">
        <v>120</v>
      </c>
      <c r="B309">
        <v>2014</v>
      </c>
      <c r="C309" t="s">
        <v>205</v>
      </c>
      <c r="D309" s="437" t="s">
        <v>397</v>
      </c>
      <c r="E309" s="437">
        <v>400</v>
      </c>
    </row>
    <row r="310" spans="1:5" x14ac:dyDescent="0.25">
      <c r="A310" t="s">
        <v>120</v>
      </c>
      <c r="B310">
        <v>2014</v>
      </c>
      <c r="C310" t="s">
        <v>205</v>
      </c>
      <c r="D310" s="437" t="s">
        <v>133</v>
      </c>
      <c r="E310" s="437">
        <v>38</v>
      </c>
    </row>
    <row r="311" spans="1:5" x14ac:dyDescent="0.25">
      <c r="A311" t="s">
        <v>120</v>
      </c>
      <c r="B311">
        <v>2014</v>
      </c>
      <c r="C311" t="s">
        <v>205</v>
      </c>
      <c r="D311" s="437" t="s">
        <v>597</v>
      </c>
      <c r="E311" s="437">
        <v>6233</v>
      </c>
    </row>
    <row r="312" spans="1:5" x14ac:dyDescent="0.25">
      <c r="A312" t="s">
        <v>120</v>
      </c>
      <c r="B312">
        <v>2014</v>
      </c>
      <c r="C312" t="s">
        <v>205</v>
      </c>
      <c r="D312" s="437" t="s">
        <v>596</v>
      </c>
      <c r="E312" s="437">
        <v>18460</v>
      </c>
    </row>
    <row r="313" spans="1:5" x14ac:dyDescent="0.25">
      <c r="A313" t="s">
        <v>120</v>
      </c>
      <c r="B313">
        <v>2014</v>
      </c>
      <c r="C313" t="s">
        <v>205</v>
      </c>
      <c r="D313" s="437" t="s">
        <v>413</v>
      </c>
      <c r="E313" s="437">
        <v>680</v>
      </c>
    </row>
    <row r="314" spans="1:5" x14ac:dyDescent="0.25">
      <c r="A314" t="s">
        <v>121</v>
      </c>
      <c r="B314">
        <v>2014</v>
      </c>
      <c r="C314" t="s">
        <v>205</v>
      </c>
      <c r="D314" s="437" t="s">
        <v>57</v>
      </c>
      <c r="E314" s="437">
        <v>0</v>
      </c>
    </row>
    <row r="315" spans="1:5" x14ac:dyDescent="0.25">
      <c r="A315" t="s">
        <v>121</v>
      </c>
      <c r="B315">
        <v>2014</v>
      </c>
      <c r="C315" t="s">
        <v>205</v>
      </c>
      <c r="D315" s="437" t="s">
        <v>348</v>
      </c>
      <c r="E315" s="437">
        <v>0</v>
      </c>
    </row>
    <row r="316" spans="1:5" x14ac:dyDescent="0.25">
      <c r="A316" t="s">
        <v>121</v>
      </c>
      <c r="B316">
        <v>2014</v>
      </c>
      <c r="C316" t="s">
        <v>205</v>
      </c>
      <c r="D316" s="437" t="s">
        <v>349</v>
      </c>
      <c r="E316" s="437">
        <v>0</v>
      </c>
    </row>
    <row r="317" spans="1:5" x14ac:dyDescent="0.25">
      <c r="A317" t="s">
        <v>121</v>
      </c>
      <c r="B317">
        <v>2014</v>
      </c>
      <c r="C317" t="s">
        <v>205</v>
      </c>
      <c r="D317" s="437" t="s">
        <v>595</v>
      </c>
      <c r="E317" s="437">
        <v>1090</v>
      </c>
    </row>
    <row r="318" spans="1:5" x14ac:dyDescent="0.25">
      <c r="A318" t="s">
        <v>121</v>
      </c>
      <c r="B318">
        <v>2014</v>
      </c>
      <c r="C318" t="s">
        <v>205</v>
      </c>
      <c r="D318" s="437" t="s">
        <v>352</v>
      </c>
      <c r="E318" s="437">
        <v>0</v>
      </c>
    </row>
    <row r="319" spans="1:5" x14ac:dyDescent="0.25">
      <c r="A319" t="s">
        <v>121</v>
      </c>
      <c r="B319">
        <v>2014</v>
      </c>
      <c r="C319" t="s">
        <v>205</v>
      </c>
      <c r="D319" s="437" t="s">
        <v>43</v>
      </c>
      <c r="E319" s="437">
        <v>814</v>
      </c>
    </row>
    <row r="320" spans="1:5" x14ac:dyDescent="0.25">
      <c r="A320" t="s">
        <v>121</v>
      </c>
      <c r="B320">
        <v>2014</v>
      </c>
      <c r="C320" t="s">
        <v>205</v>
      </c>
      <c r="D320" s="437" t="s">
        <v>42</v>
      </c>
      <c r="E320" s="437">
        <v>0</v>
      </c>
    </row>
    <row r="321" spans="1:5" x14ac:dyDescent="0.25">
      <c r="A321" t="s">
        <v>121</v>
      </c>
      <c r="B321">
        <v>2014</v>
      </c>
      <c r="C321" t="s">
        <v>205</v>
      </c>
      <c r="D321" s="437" t="s">
        <v>44</v>
      </c>
      <c r="E321" s="437">
        <v>0</v>
      </c>
    </row>
    <row r="322" spans="1:5" x14ac:dyDescent="0.25">
      <c r="A322" t="s">
        <v>121</v>
      </c>
      <c r="B322">
        <v>2014</v>
      </c>
      <c r="C322" t="s">
        <v>205</v>
      </c>
      <c r="D322" s="437" t="s">
        <v>397</v>
      </c>
      <c r="E322" s="437">
        <v>0</v>
      </c>
    </row>
    <row r="323" spans="1:5" x14ac:dyDescent="0.25">
      <c r="A323" t="s">
        <v>121</v>
      </c>
      <c r="B323">
        <v>2014</v>
      </c>
      <c r="C323" t="s">
        <v>205</v>
      </c>
      <c r="D323" s="437" t="s">
        <v>133</v>
      </c>
      <c r="E323" s="437">
        <v>31062</v>
      </c>
    </row>
    <row r="324" spans="1:5" x14ac:dyDescent="0.25">
      <c r="A324" t="s">
        <v>121</v>
      </c>
      <c r="B324">
        <v>2014</v>
      </c>
      <c r="C324" t="s">
        <v>205</v>
      </c>
      <c r="D324" s="437" t="s">
        <v>597</v>
      </c>
      <c r="E324" s="437">
        <v>8633</v>
      </c>
    </row>
    <row r="325" spans="1:5" x14ac:dyDescent="0.25">
      <c r="A325" t="s">
        <v>121</v>
      </c>
      <c r="B325">
        <v>2014</v>
      </c>
      <c r="C325" t="s">
        <v>205</v>
      </c>
      <c r="D325" s="437" t="s">
        <v>596</v>
      </c>
      <c r="E325" s="437">
        <v>22957</v>
      </c>
    </row>
    <row r="326" spans="1:5" x14ac:dyDescent="0.25">
      <c r="A326" t="s">
        <v>121</v>
      </c>
      <c r="B326">
        <v>2014</v>
      </c>
      <c r="C326" t="s">
        <v>205</v>
      </c>
      <c r="D326" s="437" t="s">
        <v>413</v>
      </c>
      <c r="E326" s="437">
        <v>0</v>
      </c>
    </row>
    <row r="327" spans="1:5" x14ac:dyDescent="0.25">
      <c r="A327" t="s">
        <v>122</v>
      </c>
      <c r="B327">
        <v>2014</v>
      </c>
      <c r="C327" t="s">
        <v>205</v>
      </c>
      <c r="D327" s="437" t="s">
        <v>57</v>
      </c>
      <c r="E327" s="437">
        <v>0</v>
      </c>
    </row>
    <row r="328" spans="1:5" x14ac:dyDescent="0.25">
      <c r="A328" t="s">
        <v>122</v>
      </c>
      <c r="B328">
        <v>2014</v>
      </c>
      <c r="C328" t="s">
        <v>205</v>
      </c>
      <c r="D328" s="437" t="s">
        <v>348</v>
      </c>
      <c r="E328" s="437">
        <v>8519</v>
      </c>
    </row>
    <row r="329" spans="1:5" x14ac:dyDescent="0.25">
      <c r="A329" t="s">
        <v>122</v>
      </c>
      <c r="B329">
        <v>2014</v>
      </c>
      <c r="C329" t="s">
        <v>205</v>
      </c>
      <c r="D329" s="437" t="s">
        <v>349</v>
      </c>
      <c r="E329" s="437">
        <v>17309</v>
      </c>
    </row>
    <row r="330" spans="1:5" x14ac:dyDescent="0.25">
      <c r="A330" t="s">
        <v>122</v>
      </c>
      <c r="B330">
        <v>2014</v>
      </c>
      <c r="C330" t="s">
        <v>205</v>
      </c>
      <c r="D330" s="437" t="s">
        <v>595</v>
      </c>
      <c r="E330" s="437">
        <v>944</v>
      </c>
    </row>
    <row r="331" spans="1:5" x14ac:dyDescent="0.25">
      <c r="A331" t="s">
        <v>122</v>
      </c>
      <c r="B331">
        <v>2014</v>
      </c>
      <c r="C331" t="s">
        <v>205</v>
      </c>
      <c r="D331" s="437" t="s">
        <v>352</v>
      </c>
      <c r="E331" s="437">
        <v>2326</v>
      </c>
    </row>
    <row r="332" spans="1:5" x14ac:dyDescent="0.25">
      <c r="A332" t="s">
        <v>122</v>
      </c>
      <c r="B332">
        <v>2014</v>
      </c>
      <c r="C332" t="s">
        <v>205</v>
      </c>
      <c r="D332" s="437" t="s">
        <v>43</v>
      </c>
      <c r="E332" s="437">
        <v>3753</v>
      </c>
    </row>
    <row r="333" spans="1:5" x14ac:dyDescent="0.25">
      <c r="A333" t="s">
        <v>122</v>
      </c>
      <c r="B333">
        <v>2014</v>
      </c>
      <c r="C333" t="s">
        <v>205</v>
      </c>
      <c r="D333" s="437" t="s">
        <v>42</v>
      </c>
      <c r="E333" s="437">
        <v>0</v>
      </c>
    </row>
    <row r="334" spans="1:5" x14ac:dyDescent="0.25">
      <c r="A334" t="s">
        <v>122</v>
      </c>
      <c r="B334">
        <v>2014</v>
      </c>
      <c r="C334" t="s">
        <v>205</v>
      </c>
      <c r="D334" s="437" t="s">
        <v>44</v>
      </c>
      <c r="E334" s="437">
        <v>23</v>
      </c>
    </row>
    <row r="335" spans="1:5" x14ac:dyDescent="0.25">
      <c r="A335" t="s">
        <v>122</v>
      </c>
      <c r="B335">
        <v>2014</v>
      </c>
      <c r="C335" t="s">
        <v>205</v>
      </c>
      <c r="D335" s="437" t="s">
        <v>397</v>
      </c>
      <c r="E335" s="437">
        <v>772</v>
      </c>
    </row>
    <row r="336" spans="1:5" x14ac:dyDescent="0.25">
      <c r="A336" t="s">
        <v>122</v>
      </c>
      <c r="B336">
        <v>2014</v>
      </c>
      <c r="C336" t="s">
        <v>205</v>
      </c>
      <c r="D336" s="437" t="s">
        <v>133</v>
      </c>
      <c r="E336" s="437">
        <v>2354</v>
      </c>
    </row>
    <row r="337" spans="1:5" x14ac:dyDescent="0.25">
      <c r="A337" t="s">
        <v>122</v>
      </c>
      <c r="B337">
        <v>2014</v>
      </c>
      <c r="C337" t="s">
        <v>205</v>
      </c>
      <c r="D337" s="437" t="s">
        <v>597</v>
      </c>
      <c r="E337" s="437">
        <v>9761</v>
      </c>
    </row>
    <row r="338" spans="1:5" x14ac:dyDescent="0.25">
      <c r="A338" t="s">
        <v>122</v>
      </c>
      <c r="B338">
        <v>2014</v>
      </c>
      <c r="C338" t="s">
        <v>205</v>
      </c>
      <c r="D338" s="437" t="s">
        <v>596</v>
      </c>
      <c r="E338" s="437">
        <v>23715</v>
      </c>
    </row>
    <row r="339" spans="1:5" x14ac:dyDescent="0.25">
      <c r="A339" t="s">
        <v>122</v>
      </c>
      <c r="B339">
        <v>2014</v>
      </c>
      <c r="C339" t="s">
        <v>205</v>
      </c>
      <c r="D339" s="437" t="s">
        <v>413</v>
      </c>
      <c r="E339" s="437">
        <v>0</v>
      </c>
    </row>
    <row r="340" spans="1:5" x14ac:dyDescent="0.25">
      <c r="A340" t="s">
        <v>123</v>
      </c>
      <c r="B340">
        <v>2014</v>
      </c>
      <c r="C340" t="s">
        <v>205</v>
      </c>
      <c r="D340" s="437" t="s">
        <v>57</v>
      </c>
      <c r="E340" s="437">
        <v>0</v>
      </c>
    </row>
    <row r="341" spans="1:5" x14ac:dyDescent="0.25">
      <c r="A341" t="s">
        <v>123</v>
      </c>
      <c r="B341">
        <v>2014</v>
      </c>
      <c r="C341" t="s">
        <v>205</v>
      </c>
      <c r="D341" s="437" t="s">
        <v>348</v>
      </c>
      <c r="E341" s="437">
        <v>0</v>
      </c>
    </row>
    <row r="342" spans="1:5" x14ac:dyDescent="0.25">
      <c r="A342" t="s">
        <v>123</v>
      </c>
      <c r="B342">
        <v>2014</v>
      </c>
      <c r="C342" t="s">
        <v>205</v>
      </c>
      <c r="D342" s="437" t="s">
        <v>349</v>
      </c>
      <c r="E342" s="437">
        <v>1756</v>
      </c>
    </row>
    <row r="343" spans="1:5" x14ac:dyDescent="0.25">
      <c r="A343" t="s">
        <v>123</v>
      </c>
      <c r="B343">
        <v>2014</v>
      </c>
      <c r="C343" t="s">
        <v>205</v>
      </c>
      <c r="D343" s="437" t="s">
        <v>595</v>
      </c>
      <c r="E343" s="437">
        <v>4717</v>
      </c>
    </row>
    <row r="344" spans="1:5" x14ac:dyDescent="0.25">
      <c r="A344" t="s">
        <v>123</v>
      </c>
      <c r="B344">
        <v>2014</v>
      </c>
      <c r="C344" t="s">
        <v>205</v>
      </c>
      <c r="D344" s="437" t="s">
        <v>352</v>
      </c>
      <c r="E344" s="437">
        <v>552</v>
      </c>
    </row>
    <row r="345" spans="1:5" x14ac:dyDescent="0.25">
      <c r="A345" t="s">
        <v>123</v>
      </c>
      <c r="B345">
        <v>2014</v>
      </c>
      <c r="C345" t="s">
        <v>205</v>
      </c>
      <c r="D345" s="437" t="s">
        <v>43</v>
      </c>
      <c r="E345" s="437">
        <v>4540</v>
      </c>
    </row>
    <row r="346" spans="1:5" x14ac:dyDescent="0.25">
      <c r="A346" t="s">
        <v>123</v>
      </c>
      <c r="B346">
        <v>2014</v>
      </c>
      <c r="C346" t="s">
        <v>205</v>
      </c>
      <c r="D346" s="437" t="s">
        <v>42</v>
      </c>
      <c r="E346" s="437">
        <v>0</v>
      </c>
    </row>
    <row r="347" spans="1:5" x14ac:dyDescent="0.25">
      <c r="A347" t="s">
        <v>123</v>
      </c>
      <c r="B347">
        <v>2014</v>
      </c>
      <c r="C347" t="s">
        <v>205</v>
      </c>
      <c r="D347" s="437" t="s">
        <v>44</v>
      </c>
      <c r="E347" s="437">
        <v>396</v>
      </c>
    </row>
    <row r="348" spans="1:5" x14ac:dyDescent="0.25">
      <c r="A348" t="s">
        <v>123</v>
      </c>
      <c r="B348">
        <v>2014</v>
      </c>
      <c r="C348" t="s">
        <v>205</v>
      </c>
      <c r="D348" s="437" t="s">
        <v>397</v>
      </c>
      <c r="E348" s="437">
        <v>187</v>
      </c>
    </row>
    <row r="349" spans="1:5" x14ac:dyDescent="0.25">
      <c r="A349" t="s">
        <v>123</v>
      </c>
      <c r="B349">
        <v>2014</v>
      </c>
      <c r="C349" t="s">
        <v>205</v>
      </c>
      <c r="D349" s="437" t="s">
        <v>133</v>
      </c>
      <c r="E349" s="437">
        <v>5684</v>
      </c>
    </row>
    <row r="350" spans="1:5" x14ac:dyDescent="0.25">
      <c r="A350" t="s">
        <v>123</v>
      </c>
      <c r="B350">
        <v>2014</v>
      </c>
      <c r="C350" t="s">
        <v>205</v>
      </c>
      <c r="D350" s="437" t="s">
        <v>597</v>
      </c>
      <c r="E350" s="437">
        <v>3317</v>
      </c>
    </row>
    <row r="351" spans="1:5" x14ac:dyDescent="0.25">
      <c r="A351" t="s">
        <v>123</v>
      </c>
      <c r="B351">
        <v>2014</v>
      </c>
      <c r="C351" t="s">
        <v>205</v>
      </c>
      <c r="D351" s="437" t="s">
        <v>596</v>
      </c>
      <c r="E351" s="437">
        <v>8295</v>
      </c>
    </row>
    <row r="352" spans="1:5" x14ac:dyDescent="0.25">
      <c r="A352" t="s">
        <v>123</v>
      </c>
      <c r="B352">
        <v>2014</v>
      </c>
      <c r="C352" t="s">
        <v>205</v>
      </c>
      <c r="D352" s="437" t="s">
        <v>413</v>
      </c>
      <c r="E352" s="437">
        <v>62</v>
      </c>
    </row>
    <row r="353" spans="1:5" x14ac:dyDescent="0.25">
      <c r="A353" t="s">
        <v>124</v>
      </c>
      <c r="B353">
        <v>2014</v>
      </c>
      <c r="C353" t="s">
        <v>205</v>
      </c>
      <c r="D353" s="437" t="s">
        <v>57</v>
      </c>
      <c r="E353" s="437">
        <v>1300</v>
      </c>
    </row>
    <row r="354" spans="1:5" x14ac:dyDescent="0.25">
      <c r="A354" t="s">
        <v>124</v>
      </c>
      <c r="B354">
        <v>2014</v>
      </c>
      <c r="C354" t="s">
        <v>205</v>
      </c>
      <c r="D354" s="437" t="s">
        <v>348</v>
      </c>
      <c r="E354" s="437">
        <v>4094</v>
      </c>
    </row>
    <row r="355" spans="1:5" x14ac:dyDescent="0.25">
      <c r="A355" t="s">
        <v>124</v>
      </c>
      <c r="B355">
        <v>2014</v>
      </c>
      <c r="C355" t="s">
        <v>205</v>
      </c>
      <c r="D355" s="437" t="s">
        <v>349</v>
      </c>
      <c r="E355" s="437">
        <v>1148</v>
      </c>
    </row>
    <row r="356" spans="1:5" x14ac:dyDescent="0.25">
      <c r="A356" t="s">
        <v>124</v>
      </c>
      <c r="B356">
        <v>2014</v>
      </c>
      <c r="C356" t="s">
        <v>205</v>
      </c>
      <c r="D356" s="437" t="s">
        <v>595</v>
      </c>
      <c r="E356" s="437">
        <v>2390</v>
      </c>
    </row>
    <row r="357" spans="1:5" x14ac:dyDescent="0.25">
      <c r="A357" t="s">
        <v>124</v>
      </c>
      <c r="B357">
        <v>2014</v>
      </c>
      <c r="C357" t="s">
        <v>205</v>
      </c>
      <c r="D357" s="437" t="s">
        <v>352</v>
      </c>
      <c r="E357" s="437">
        <v>1723</v>
      </c>
    </row>
    <row r="358" spans="1:5" x14ac:dyDescent="0.25">
      <c r="A358" t="s">
        <v>124</v>
      </c>
      <c r="B358">
        <v>2014</v>
      </c>
      <c r="C358" t="s">
        <v>205</v>
      </c>
      <c r="D358" s="437" t="s">
        <v>43</v>
      </c>
      <c r="E358" s="437">
        <v>2894</v>
      </c>
    </row>
    <row r="359" spans="1:5" x14ac:dyDescent="0.25">
      <c r="A359" t="s">
        <v>124</v>
      </c>
      <c r="B359">
        <v>2014</v>
      </c>
      <c r="C359" t="s">
        <v>205</v>
      </c>
      <c r="D359" s="437" t="s">
        <v>42</v>
      </c>
      <c r="E359" s="437">
        <v>0</v>
      </c>
    </row>
    <row r="360" spans="1:5" x14ac:dyDescent="0.25">
      <c r="A360" t="s">
        <v>124</v>
      </c>
      <c r="B360">
        <v>2014</v>
      </c>
      <c r="C360" t="s">
        <v>205</v>
      </c>
      <c r="D360" s="437" t="s">
        <v>44</v>
      </c>
      <c r="E360" s="437">
        <v>1162</v>
      </c>
    </row>
    <row r="361" spans="1:5" x14ac:dyDescent="0.25">
      <c r="A361" t="s">
        <v>124</v>
      </c>
      <c r="B361">
        <v>2014</v>
      </c>
      <c r="C361" t="s">
        <v>205</v>
      </c>
      <c r="D361" s="437" t="s">
        <v>397</v>
      </c>
      <c r="E361" s="437">
        <v>94</v>
      </c>
    </row>
    <row r="362" spans="1:5" x14ac:dyDescent="0.25">
      <c r="A362" t="s">
        <v>124</v>
      </c>
      <c r="B362">
        <v>2014</v>
      </c>
      <c r="C362" t="s">
        <v>205</v>
      </c>
      <c r="D362" s="437" t="s">
        <v>133</v>
      </c>
      <c r="E362" s="437">
        <v>6332</v>
      </c>
    </row>
    <row r="363" spans="1:5" x14ac:dyDescent="0.25">
      <c r="A363" t="s">
        <v>124</v>
      </c>
      <c r="B363">
        <v>2014</v>
      </c>
      <c r="C363" t="s">
        <v>205</v>
      </c>
      <c r="D363" s="437" t="s">
        <v>597</v>
      </c>
      <c r="E363" s="437">
        <v>3704</v>
      </c>
    </row>
    <row r="364" spans="1:5" x14ac:dyDescent="0.25">
      <c r="A364" t="s">
        <v>124</v>
      </c>
      <c r="B364">
        <v>2014</v>
      </c>
      <c r="C364" t="s">
        <v>205</v>
      </c>
      <c r="D364" s="437" t="s">
        <v>596</v>
      </c>
      <c r="E364" s="437">
        <v>8522</v>
      </c>
    </row>
    <row r="365" spans="1:5" x14ac:dyDescent="0.25">
      <c r="A365" t="s">
        <v>124</v>
      </c>
      <c r="B365">
        <v>2014</v>
      </c>
      <c r="C365" t="s">
        <v>205</v>
      </c>
      <c r="D365" s="437" t="s">
        <v>413</v>
      </c>
      <c r="E365" s="437">
        <v>0.05</v>
      </c>
    </row>
    <row r="366" spans="1:5" x14ac:dyDescent="0.25">
      <c r="A366" t="s">
        <v>126</v>
      </c>
      <c r="B366">
        <v>2014</v>
      </c>
      <c r="C366" t="s">
        <v>205</v>
      </c>
      <c r="D366" s="437" t="s">
        <v>57</v>
      </c>
      <c r="E366" s="437">
        <v>9528</v>
      </c>
    </row>
    <row r="367" spans="1:5" x14ac:dyDescent="0.25">
      <c r="A367" t="s">
        <v>126</v>
      </c>
      <c r="B367">
        <v>2014</v>
      </c>
      <c r="C367" t="s">
        <v>205</v>
      </c>
      <c r="D367" s="437" t="s">
        <v>348</v>
      </c>
      <c r="E367" s="437">
        <v>0</v>
      </c>
    </row>
    <row r="368" spans="1:5" x14ac:dyDescent="0.25">
      <c r="A368" t="s">
        <v>126</v>
      </c>
      <c r="B368">
        <v>2014</v>
      </c>
      <c r="C368" t="s">
        <v>205</v>
      </c>
      <c r="D368" s="437" t="s">
        <v>349</v>
      </c>
      <c r="E368" s="437">
        <v>225</v>
      </c>
    </row>
    <row r="369" spans="1:5" x14ac:dyDescent="0.25">
      <c r="A369" t="s">
        <v>126</v>
      </c>
      <c r="B369">
        <v>2014</v>
      </c>
      <c r="C369" t="s">
        <v>205</v>
      </c>
      <c r="D369" s="437" t="s">
        <v>595</v>
      </c>
      <c r="E369" s="437">
        <v>879</v>
      </c>
    </row>
    <row r="370" spans="1:5" x14ac:dyDescent="0.25">
      <c r="A370" t="s">
        <v>126</v>
      </c>
      <c r="B370">
        <v>2014</v>
      </c>
      <c r="C370" t="s">
        <v>205</v>
      </c>
      <c r="D370" s="437" t="s">
        <v>352</v>
      </c>
      <c r="E370" s="437">
        <v>4181</v>
      </c>
    </row>
    <row r="371" spans="1:5" x14ac:dyDescent="0.25">
      <c r="A371" t="s">
        <v>126</v>
      </c>
      <c r="B371">
        <v>2014</v>
      </c>
      <c r="C371" t="s">
        <v>205</v>
      </c>
      <c r="D371" s="437" t="s">
        <v>43</v>
      </c>
      <c r="E371" s="437">
        <v>5420</v>
      </c>
    </row>
    <row r="372" spans="1:5" x14ac:dyDescent="0.25">
      <c r="A372" t="s">
        <v>126</v>
      </c>
      <c r="B372">
        <v>2014</v>
      </c>
      <c r="C372" t="s">
        <v>205</v>
      </c>
      <c r="D372" s="437" t="s">
        <v>42</v>
      </c>
      <c r="E372" s="437">
        <v>0</v>
      </c>
    </row>
    <row r="373" spans="1:5" x14ac:dyDescent="0.25">
      <c r="A373" t="s">
        <v>126</v>
      </c>
      <c r="B373">
        <v>2014</v>
      </c>
      <c r="C373" t="s">
        <v>205</v>
      </c>
      <c r="D373" s="437" t="s">
        <v>44</v>
      </c>
      <c r="E373" s="437">
        <v>79</v>
      </c>
    </row>
    <row r="374" spans="1:5" x14ac:dyDescent="0.25">
      <c r="A374" t="s">
        <v>126</v>
      </c>
      <c r="B374">
        <v>2014</v>
      </c>
      <c r="C374" t="s">
        <v>205</v>
      </c>
      <c r="D374" s="437" t="s">
        <v>397</v>
      </c>
      <c r="E374" s="437">
        <v>3082</v>
      </c>
    </row>
    <row r="375" spans="1:5" x14ac:dyDescent="0.25">
      <c r="A375" t="s">
        <v>126</v>
      </c>
      <c r="B375">
        <v>2014</v>
      </c>
      <c r="C375" t="s">
        <v>205</v>
      </c>
      <c r="D375" s="437" t="s">
        <v>133</v>
      </c>
      <c r="E375" s="437">
        <v>16155</v>
      </c>
    </row>
    <row r="376" spans="1:5" x14ac:dyDescent="0.25">
      <c r="A376" t="s">
        <v>126</v>
      </c>
      <c r="B376">
        <v>2014</v>
      </c>
      <c r="C376" t="s">
        <v>205</v>
      </c>
      <c r="D376" s="437" t="s">
        <v>597</v>
      </c>
      <c r="E376" s="437">
        <v>8754</v>
      </c>
    </row>
    <row r="377" spans="1:5" x14ac:dyDescent="0.25">
      <c r="A377" t="s">
        <v>126</v>
      </c>
      <c r="B377">
        <v>2014</v>
      </c>
      <c r="C377" t="s">
        <v>205</v>
      </c>
      <c r="D377" s="437" t="s">
        <v>596</v>
      </c>
      <c r="E377" s="437">
        <v>24872</v>
      </c>
    </row>
    <row r="378" spans="1:5" x14ac:dyDescent="0.25">
      <c r="A378" t="s">
        <v>126</v>
      </c>
      <c r="B378">
        <v>2014</v>
      </c>
      <c r="C378" t="s">
        <v>205</v>
      </c>
      <c r="D378" s="437" t="s">
        <v>413</v>
      </c>
      <c r="E378" s="437">
        <v>0</v>
      </c>
    </row>
    <row r="379" spans="1:5" x14ac:dyDescent="0.25">
      <c r="A379" t="s">
        <v>127</v>
      </c>
      <c r="B379">
        <v>2014</v>
      </c>
      <c r="C379" t="s">
        <v>205</v>
      </c>
      <c r="D379" s="437" t="s">
        <v>57</v>
      </c>
      <c r="E379" s="437">
        <v>696</v>
      </c>
    </row>
    <row r="380" spans="1:5" x14ac:dyDescent="0.25">
      <c r="A380" t="s">
        <v>127</v>
      </c>
      <c r="B380">
        <v>2014</v>
      </c>
      <c r="C380" t="s">
        <v>205</v>
      </c>
      <c r="D380" s="437" t="s">
        <v>348</v>
      </c>
      <c r="E380" s="437">
        <v>553</v>
      </c>
    </row>
    <row r="381" spans="1:5" x14ac:dyDescent="0.25">
      <c r="A381" t="s">
        <v>127</v>
      </c>
      <c r="B381">
        <v>2014</v>
      </c>
      <c r="C381" t="s">
        <v>205</v>
      </c>
      <c r="D381" s="437" t="s">
        <v>349</v>
      </c>
      <c r="E381" s="437">
        <v>222</v>
      </c>
    </row>
    <row r="382" spans="1:5" x14ac:dyDescent="0.25">
      <c r="A382" t="s">
        <v>127</v>
      </c>
      <c r="B382">
        <v>2014</v>
      </c>
      <c r="C382" t="s">
        <v>205</v>
      </c>
      <c r="D382" s="437" t="s">
        <v>595</v>
      </c>
      <c r="E382" s="437">
        <v>84</v>
      </c>
    </row>
    <row r="383" spans="1:5" x14ac:dyDescent="0.25">
      <c r="A383" t="s">
        <v>127</v>
      </c>
      <c r="B383">
        <v>2014</v>
      </c>
      <c r="C383" t="s">
        <v>205</v>
      </c>
      <c r="D383" s="437" t="s">
        <v>352</v>
      </c>
      <c r="E383" s="437">
        <v>355</v>
      </c>
    </row>
    <row r="384" spans="1:5" x14ac:dyDescent="0.25">
      <c r="A384" t="s">
        <v>127</v>
      </c>
      <c r="B384">
        <v>2014</v>
      </c>
      <c r="C384" t="s">
        <v>205</v>
      </c>
      <c r="D384" s="437" t="s">
        <v>43</v>
      </c>
      <c r="E384" s="437">
        <v>2</v>
      </c>
    </row>
    <row r="385" spans="1:5" x14ac:dyDescent="0.25">
      <c r="A385" t="s">
        <v>127</v>
      </c>
      <c r="B385">
        <v>2014</v>
      </c>
      <c r="C385" t="s">
        <v>205</v>
      </c>
      <c r="D385" s="437" t="s">
        <v>42</v>
      </c>
      <c r="E385" s="437">
        <v>0</v>
      </c>
    </row>
    <row r="386" spans="1:5" x14ac:dyDescent="0.25">
      <c r="A386" t="s">
        <v>127</v>
      </c>
      <c r="B386">
        <v>2014</v>
      </c>
      <c r="C386" t="s">
        <v>205</v>
      </c>
      <c r="D386" s="437" t="s">
        <v>44</v>
      </c>
      <c r="E386" s="437">
        <v>260</v>
      </c>
    </row>
    <row r="387" spans="1:5" x14ac:dyDescent="0.25">
      <c r="A387" t="s">
        <v>127</v>
      </c>
      <c r="B387">
        <v>2014</v>
      </c>
      <c r="C387" t="s">
        <v>205</v>
      </c>
      <c r="D387" s="437" t="s">
        <v>397</v>
      </c>
      <c r="E387" s="437">
        <v>40</v>
      </c>
    </row>
    <row r="388" spans="1:5" x14ac:dyDescent="0.25">
      <c r="A388" t="s">
        <v>127</v>
      </c>
      <c r="B388">
        <v>2014</v>
      </c>
      <c r="C388" t="s">
        <v>205</v>
      </c>
      <c r="D388" s="437" t="s">
        <v>133</v>
      </c>
      <c r="E388" s="437">
        <v>1245</v>
      </c>
    </row>
    <row r="389" spans="1:5" x14ac:dyDescent="0.25">
      <c r="A389" t="s">
        <v>127</v>
      </c>
      <c r="B389">
        <v>2014</v>
      </c>
      <c r="C389" t="s">
        <v>205</v>
      </c>
      <c r="D389" s="437" t="s">
        <v>597</v>
      </c>
      <c r="E389" s="437">
        <v>965</v>
      </c>
    </row>
    <row r="390" spans="1:5" x14ac:dyDescent="0.25">
      <c r="A390" t="s">
        <v>127</v>
      </c>
      <c r="B390">
        <v>2014</v>
      </c>
      <c r="C390" t="s">
        <v>205</v>
      </c>
      <c r="D390" s="437" t="s">
        <v>596</v>
      </c>
      <c r="E390" s="437">
        <v>2233</v>
      </c>
    </row>
    <row r="391" spans="1:5" x14ac:dyDescent="0.25">
      <c r="A391" t="s">
        <v>127</v>
      </c>
      <c r="B391">
        <v>2014</v>
      </c>
      <c r="C391" t="s">
        <v>205</v>
      </c>
      <c r="D391" s="437" t="s">
        <v>413</v>
      </c>
      <c r="E391" s="437">
        <v>0</v>
      </c>
    </row>
    <row r="392" spans="1:5" x14ac:dyDescent="0.25">
      <c r="A392" t="s">
        <v>128</v>
      </c>
      <c r="B392">
        <v>2014</v>
      </c>
      <c r="C392" t="s">
        <v>205</v>
      </c>
      <c r="D392" s="437" t="s">
        <v>57</v>
      </c>
      <c r="E392" s="437">
        <v>1940</v>
      </c>
    </row>
    <row r="393" spans="1:5" x14ac:dyDescent="0.25">
      <c r="A393" t="s">
        <v>128</v>
      </c>
      <c r="B393">
        <v>2014</v>
      </c>
      <c r="C393" t="s">
        <v>205</v>
      </c>
      <c r="D393" s="437" t="s">
        <v>348</v>
      </c>
      <c r="E393" s="437">
        <v>568</v>
      </c>
    </row>
    <row r="394" spans="1:5" x14ac:dyDescent="0.25">
      <c r="A394" t="s">
        <v>128</v>
      </c>
      <c r="B394">
        <v>2014</v>
      </c>
      <c r="C394" t="s">
        <v>205</v>
      </c>
      <c r="D394" s="437" t="s">
        <v>349</v>
      </c>
      <c r="E394" s="437">
        <v>440</v>
      </c>
    </row>
    <row r="395" spans="1:5" x14ac:dyDescent="0.25">
      <c r="A395" t="s">
        <v>128</v>
      </c>
      <c r="B395">
        <v>2014</v>
      </c>
      <c r="C395" t="s">
        <v>205</v>
      </c>
      <c r="D395" s="437" t="s">
        <v>595</v>
      </c>
      <c r="E395" s="437">
        <v>1076</v>
      </c>
    </row>
    <row r="396" spans="1:5" x14ac:dyDescent="0.25">
      <c r="A396" t="s">
        <v>128</v>
      </c>
      <c r="B396">
        <v>2014</v>
      </c>
      <c r="C396" t="s">
        <v>205</v>
      </c>
      <c r="D396" s="437" t="s">
        <v>352</v>
      </c>
      <c r="E396" s="437">
        <v>608</v>
      </c>
    </row>
    <row r="397" spans="1:5" x14ac:dyDescent="0.25">
      <c r="A397" t="s">
        <v>128</v>
      </c>
      <c r="B397">
        <v>2014</v>
      </c>
      <c r="C397" t="s">
        <v>205</v>
      </c>
      <c r="D397" s="437" t="s">
        <v>43</v>
      </c>
      <c r="E397" s="437">
        <v>3</v>
      </c>
    </row>
    <row r="398" spans="1:5" x14ac:dyDescent="0.25">
      <c r="A398" t="s">
        <v>128</v>
      </c>
      <c r="B398">
        <v>2014</v>
      </c>
      <c r="C398" t="s">
        <v>205</v>
      </c>
      <c r="D398" s="437" t="s">
        <v>42</v>
      </c>
      <c r="E398" s="437">
        <v>0</v>
      </c>
    </row>
    <row r="399" spans="1:5" x14ac:dyDescent="0.25">
      <c r="A399" t="s">
        <v>128</v>
      </c>
      <c r="B399">
        <v>2014</v>
      </c>
      <c r="C399" t="s">
        <v>205</v>
      </c>
      <c r="D399" s="437" t="s">
        <v>44</v>
      </c>
      <c r="E399" s="437">
        <v>531</v>
      </c>
    </row>
    <row r="400" spans="1:5" x14ac:dyDescent="0.25">
      <c r="A400" t="s">
        <v>128</v>
      </c>
      <c r="B400">
        <v>2014</v>
      </c>
      <c r="C400" t="s">
        <v>205</v>
      </c>
      <c r="D400" s="437" t="s">
        <v>397</v>
      </c>
      <c r="E400" s="437">
        <v>254</v>
      </c>
    </row>
    <row r="401" spans="1:5" x14ac:dyDescent="0.25">
      <c r="A401" t="s">
        <v>128</v>
      </c>
      <c r="B401">
        <v>2014</v>
      </c>
      <c r="C401" t="s">
        <v>205</v>
      </c>
      <c r="D401" s="437" t="s">
        <v>133</v>
      </c>
      <c r="E401" s="437">
        <v>2536</v>
      </c>
    </row>
    <row r="402" spans="1:5" x14ac:dyDescent="0.25">
      <c r="A402" t="s">
        <v>128</v>
      </c>
      <c r="B402">
        <v>2014</v>
      </c>
      <c r="C402" t="s">
        <v>205</v>
      </c>
      <c r="D402" s="437" t="s">
        <v>597</v>
      </c>
      <c r="E402" s="437">
        <v>2119</v>
      </c>
    </row>
    <row r="403" spans="1:5" x14ac:dyDescent="0.25">
      <c r="A403" t="s">
        <v>128</v>
      </c>
      <c r="B403">
        <v>2014</v>
      </c>
      <c r="C403" t="s">
        <v>205</v>
      </c>
      <c r="D403" s="437" t="s">
        <v>596</v>
      </c>
      <c r="E403" s="437">
        <v>4119</v>
      </c>
    </row>
    <row r="404" spans="1:5" x14ac:dyDescent="0.25">
      <c r="A404" t="s">
        <v>128</v>
      </c>
      <c r="B404">
        <v>2014</v>
      </c>
      <c r="C404" t="s">
        <v>205</v>
      </c>
      <c r="D404" s="437" t="s">
        <v>413</v>
      </c>
      <c r="E404" s="437">
        <v>120</v>
      </c>
    </row>
    <row r="405" spans="1:5" x14ac:dyDescent="0.25">
      <c r="A405" t="s">
        <v>100</v>
      </c>
      <c r="B405">
        <v>2014</v>
      </c>
      <c r="C405" t="s">
        <v>205</v>
      </c>
      <c r="D405" s="437" t="s">
        <v>57</v>
      </c>
      <c r="E405" s="437">
        <v>0</v>
      </c>
    </row>
    <row r="406" spans="1:5" x14ac:dyDescent="0.25">
      <c r="A406" t="s">
        <v>100</v>
      </c>
      <c r="B406">
        <v>2014</v>
      </c>
      <c r="C406" t="s">
        <v>205</v>
      </c>
      <c r="D406" s="437" t="s">
        <v>348</v>
      </c>
      <c r="E406" s="437">
        <v>1578</v>
      </c>
    </row>
    <row r="407" spans="1:5" x14ac:dyDescent="0.25">
      <c r="A407" t="s">
        <v>100</v>
      </c>
      <c r="B407">
        <v>2014</v>
      </c>
      <c r="C407" t="s">
        <v>205</v>
      </c>
      <c r="D407" s="437" t="s">
        <v>349</v>
      </c>
      <c r="E407" s="437">
        <v>0</v>
      </c>
    </row>
    <row r="408" spans="1:5" x14ac:dyDescent="0.25">
      <c r="A408" t="s">
        <v>100</v>
      </c>
      <c r="B408">
        <v>2014</v>
      </c>
      <c r="C408" t="s">
        <v>205</v>
      </c>
      <c r="D408" s="437" t="s">
        <v>595</v>
      </c>
      <c r="E408" s="437">
        <v>0</v>
      </c>
    </row>
    <row r="409" spans="1:5" x14ac:dyDescent="0.25">
      <c r="A409" t="s">
        <v>100</v>
      </c>
      <c r="B409">
        <v>2014</v>
      </c>
      <c r="C409" t="s">
        <v>205</v>
      </c>
      <c r="D409" s="437" t="s">
        <v>352</v>
      </c>
      <c r="E409" s="437">
        <v>0</v>
      </c>
    </row>
    <row r="410" spans="1:5" x14ac:dyDescent="0.25">
      <c r="A410" t="s">
        <v>100</v>
      </c>
      <c r="B410">
        <v>2014</v>
      </c>
      <c r="C410" t="s">
        <v>205</v>
      </c>
      <c r="D410" s="437" t="s">
        <v>43</v>
      </c>
      <c r="E410" s="437">
        <v>0</v>
      </c>
    </row>
    <row r="411" spans="1:5" x14ac:dyDescent="0.25">
      <c r="A411" t="s">
        <v>100</v>
      </c>
      <c r="B411">
        <v>2014</v>
      </c>
      <c r="C411" t="s">
        <v>205</v>
      </c>
      <c r="D411" s="437" t="s">
        <v>42</v>
      </c>
      <c r="E411" s="437">
        <v>0</v>
      </c>
    </row>
    <row r="412" spans="1:5" x14ac:dyDescent="0.25">
      <c r="A412" t="s">
        <v>100</v>
      </c>
      <c r="B412">
        <v>2014</v>
      </c>
      <c r="C412" t="s">
        <v>205</v>
      </c>
      <c r="D412" s="437" t="s">
        <v>44</v>
      </c>
      <c r="E412" s="437">
        <v>0</v>
      </c>
    </row>
    <row r="413" spans="1:5" x14ac:dyDescent="0.25">
      <c r="A413" t="s">
        <v>100</v>
      </c>
      <c r="B413">
        <v>2014</v>
      </c>
      <c r="C413" t="s">
        <v>205</v>
      </c>
      <c r="D413" s="437" t="s">
        <v>397</v>
      </c>
      <c r="E413" s="437">
        <v>0</v>
      </c>
    </row>
    <row r="414" spans="1:5" x14ac:dyDescent="0.25">
      <c r="A414" t="s">
        <v>100</v>
      </c>
      <c r="B414">
        <v>2014</v>
      </c>
      <c r="C414" t="s">
        <v>205</v>
      </c>
      <c r="D414" s="437" t="s">
        <v>133</v>
      </c>
      <c r="E414" s="437">
        <v>2060</v>
      </c>
    </row>
    <row r="415" spans="1:5" x14ac:dyDescent="0.25">
      <c r="A415" t="s">
        <v>100</v>
      </c>
      <c r="B415">
        <v>2014</v>
      </c>
      <c r="C415" t="s">
        <v>205</v>
      </c>
      <c r="D415" s="437" t="s">
        <v>597</v>
      </c>
      <c r="E415" s="437">
        <v>833</v>
      </c>
    </row>
    <row r="416" spans="1:5" x14ac:dyDescent="0.25">
      <c r="A416" t="s">
        <v>100</v>
      </c>
      <c r="B416">
        <v>2014</v>
      </c>
      <c r="C416" t="s">
        <v>205</v>
      </c>
      <c r="D416" s="437" t="s">
        <v>596</v>
      </c>
      <c r="E416" s="437">
        <v>2207</v>
      </c>
    </row>
    <row r="417" spans="1:5" x14ac:dyDescent="0.25">
      <c r="A417" t="s">
        <v>100</v>
      </c>
      <c r="B417">
        <v>2014</v>
      </c>
      <c r="C417" t="s">
        <v>205</v>
      </c>
      <c r="D417" s="437" t="s">
        <v>413</v>
      </c>
      <c r="E417" s="437">
        <v>0</v>
      </c>
    </row>
    <row r="418" spans="1:5" x14ac:dyDescent="0.25">
      <c r="A418" t="s">
        <v>118</v>
      </c>
      <c r="B418">
        <v>2014</v>
      </c>
      <c r="C418" t="s">
        <v>205</v>
      </c>
      <c r="D418" s="437" t="s">
        <v>57</v>
      </c>
      <c r="E418" s="437">
        <v>0</v>
      </c>
    </row>
    <row r="419" spans="1:5" x14ac:dyDescent="0.25">
      <c r="A419" t="s">
        <v>118</v>
      </c>
      <c r="B419">
        <v>2014</v>
      </c>
      <c r="C419" t="s">
        <v>205</v>
      </c>
      <c r="D419" s="437" t="s">
        <v>348</v>
      </c>
      <c r="E419" s="437">
        <v>220</v>
      </c>
    </row>
    <row r="420" spans="1:5" x14ac:dyDescent="0.25">
      <c r="A420" t="s">
        <v>118</v>
      </c>
      <c r="B420">
        <v>2014</v>
      </c>
      <c r="C420" t="s">
        <v>205</v>
      </c>
      <c r="D420" s="437" t="s">
        <v>349</v>
      </c>
      <c r="E420" s="437">
        <v>0</v>
      </c>
    </row>
    <row r="421" spans="1:5" x14ac:dyDescent="0.25">
      <c r="A421" t="s">
        <v>118</v>
      </c>
      <c r="B421">
        <v>2014</v>
      </c>
      <c r="C421" t="s">
        <v>205</v>
      </c>
      <c r="D421" s="437" t="s">
        <v>595</v>
      </c>
      <c r="E421" s="437">
        <v>0</v>
      </c>
    </row>
    <row r="422" spans="1:5" x14ac:dyDescent="0.25">
      <c r="A422" t="s">
        <v>118</v>
      </c>
      <c r="B422">
        <v>2014</v>
      </c>
      <c r="C422" t="s">
        <v>205</v>
      </c>
      <c r="D422" s="437" t="s">
        <v>352</v>
      </c>
      <c r="E422" s="437">
        <v>0</v>
      </c>
    </row>
    <row r="423" spans="1:5" x14ac:dyDescent="0.25">
      <c r="A423" t="s">
        <v>118</v>
      </c>
      <c r="B423">
        <v>2014</v>
      </c>
      <c r="C423" t="s">
        <v>205</v>
      </c>
      <c r="D423" s="437" t="s">
        <v>43</v>
      </c>
      <c r="E423" s="437">
        <v>0</v>
      </c>
    </row>
    <row r="424" spans="1:5" x14ac:dyDescent="0.25">
      <c r="A424" t="s">
        <v>118</v>
      </c>
      <c r="B424">
        <v>2014</v>
      </c>
      <c r="C424" t="s">
        <v>205</v>
      </c>
      <c r="D424" s="437" t="s">
        <v>42</v>
      </c>
      <c r="E424" s="437">
        <v>0</v>
      </c>
    </row>
    <row r="425" spans="1:5" x14ac:dyDescent="0.25">
      <c r="A425" t="s">
        <v>118</v>
      </c>
      <c r="B425">
        <v>2014</v>
      </c>
      <c r="C425" t="s">
        <v>205</v>
      </c>
      <c r="D425" s="437" t="s">
        <v>44</v>
      </c>
      <c r="E425" s="437">
        <v>0</v>
      </c>
    </row>
    <row r="426" spans="1:5" x14ac:dyDescent="0.25">
      <c r="A426" t="s">
        <v>118</v>
      </c>
      <c r="B426">
        <v>2014</v>
      </c>
      <c r="C426" t="s">
        <v>205</v>
      </c>
      <c r="D426" s="437" t="s">
        <v>397</v>
      </c>
      <c r="E426" s="437">
        <v>0</v>
      </c>
    </row>
    <row r="427" spans="1:5" x14ac:dyDescent="0.25">
      <c r="A427" t="s">
        <v>118</v>
      </c>
      <c r="B427">
        <v>2014</v>
      </c>
      <c r="C427" t="s">
        <v>205</v>
      </c>
      <c r="D427" s="437" t="s">
        <v>133</v>
      </c>
      <c r="E427" s="437">
        <v>660</v>
      </c>
    </row>
    <row r="428" spans="1:5" x14ac:dyDescent="0.25">
      <c r="A428" t="s">
        <v>118</v>
      </c>
      <c r="B428">
        <v>2014</v>
      </c>
      <c r="C428" t="s">
        <v>205</v>
      </c>
      <c r="D428" s="437" t="s">
        <v>597</v>
      </c>
      <c r="E428" s="437">
        <v>217</v>
      </c>
    </row>
    <row r="429" spans="1:5" x14ac:dyDescent="0.25">
      <c r="A429" t="s">
        <v>118</v>
      </c>
      <c r="B429">
        <v>2014</v>
      </c>
      <c r="C429" t="s">
        <v>205</v>
      </c>
      <c r="D429" s="437" t="s">
        <v>596</v>
      </c>
      <c r="E429" s="437">
        <v>638</v>
      </c>
    </row>
    <row r="430" spans="1:5" x14ac:dyDescent="0.25">
      <c r="A430" t="s">
        <v>118</v>
      </c>
      <c r="B430">
        <v>2014</v>
      </c>
      <c r="C430" t="s">
        <v>205</v>
      </c>
      <c r="D430" s="437" t="s">
        <v>413</v>
      </c>
      <c r="E430" s="437">
        <v>0</v>
      </c>
    </row>
    <row r="431" spans="1:5" x14ac:dyDescent="0.25">
      <c r="A431" t="s">
        <v>119</v>
      </c>
      <c r="B431">
        <v>2014</v>
      </c>
      <c r="C431" t="s">
        <v>205</v>
      </c>
      <c r="D431" s="437" t="s">
        <v>57</v>
      </c>
      <c r="E431" s="437">
        <v>0</v>
      </c>
    </row>
    <row r="432" spans="1:5" x14ac:dyDescent="0.25">
      <c r="A432" t="s">
        <v>119</v>
      </c>
      <c r="B432">
        <v>2014</v>
      </c>
      <c r="C432" t="s">
        <v>205</v>
      </c>
      <c r="D432" s="437" t="s">
        <v>348</v>
      </c>
      <c r="E432" s="437">
        <v>718</v>
      </c>
    </row>
    <row r="433" spans="1:5" x14ac:dyDescent="0.25">
      <c r="A433" t="s">
        <v>119</v>
      </c>
      <c r="B433">
        <v>2014</v>
      </c>
      <c r="C433" t="s">
        <v>205</v>
      </c>
      <c r="D433" s="437" t="s">
        <v>349</v>
      </c>
      <c r="E433" s="437">
        <v>0</v>
      </c>
    </row>
    <row r="434" spans="1:5" x14ac:dyDescent="0.25">
      <c r="A434" t="s">
        <v>119</v>
      </c>
      <c r="B434">
        <v>2014</v>
      </c>
      <c r="C434" t="s">
        <v>205</v>
      </c>
      <c r="D434" s="437" t="s">
        <v>595</v>
      </c>
      <c r="E434" s="437">
        <v>250</v>
      </c>
    </row>
    <row r="435" spans="1:5" x14ac:dyDescent="0.25">
      <c r="A435" t="s">
        <v>119</v>
      </c>
      <c r="B435">
        <v>2014</v>
      </c>
      <c r="C435" t="s">
        <v>205</v>
      </c>
      <c r="D435" s="437" t="s">
        <v>352</v>
      </c>
      <c r="E435" s="437">
        <v>189</v>
      </c>
    </row>
    <row r="436" spans="1:5" x14ac:dyDescent="0.25">
      <c r="A436" t="s">
        <v>119</v>
      </c>
      <c r="B436">
        <v>2014</v>
      </c>
      <c r="C436" t="s">
        <v>205</v>
      </c>
      <c r="D436" s="437" t="s">
        <v>43</v>
      </c>
      <c r="E436" s="437">
        <v>36</v>
      </c>
    </row>
    <row r="437" spans="1:5" x14ac:dyDescent="0.25">
      <c r="A437" t="s">
        <v>119</v>
      </c>
      <c r="B437">
        <v>2014</v>
      </c>
      <c r="C437" t="s">
        <v>205</v>
      </c>
      <c r="D437" s="437" t="s">
        <v>42</v>
      </c>
      <c r="E437" s="437">
        <v>0</v>
      </c>
    </row>
    <row r="438" spans="1:5" x14ac:dyDescent="0.25">
      <c r="A438" t="s">
        <v>119</v>
      </c>
      <c r="B438">
        <v>2014</v>
      </c>
      <c r="C438" t="s">
        <v>205</v>
      </c>
      <c r="D438" s="437" t="s">
        <v>44</v>
      </c>
      <c r="E438" s="437">
        <v>0</v>
      </c>
    </row>
    <row r="439" spans="1:5" x14ac:dyDescent="0.25">
      <c r="A439" t="s">
        <v>119</v>
      </c>
      <c r="B439">
        <v>2014</v>
      </c>
      <c r="C439" t="s">
        <v>205</v>
      </c>
      <c r="D439" s="437" t="s">
        <v>397</v>
      </c>
      <c r="E439" s="437">
        <v>0</v>
      </c>
    </row>
    <row r="440" spans="1:5" x14ac:dyDescent="0.25">
      <c r="A440" t="s">
        <v>119</v>
      </c>
      <c r="B440">
        <v>2014</v>
      </c>
      <c r="C440" t="s">
        <v>205</v>
      </c>
      <c r="D440" s="437" t="s">
        <v>133</v>
      </c>
      <c r="E440" s="437">
        <v>539</v>
      </c>
    </row>
    <row r="441" spans="1:5" x14ac:dyDescent="0.25">
      <c r="A441" t="s">
        <v>119</v>
      </c>
      <c r="B441">
        <v>2014</v>
      </c>
      <c r="C441" t="s">
        <v>205</v>
      </c>
      <c r="D441" s="437" t="s">
        <v>597</v>
      </c>
      <c r="E441" s="437">
        <v>555</v>
      </c>
    </row>
    <row r="442" spans="1:5" x14ac:dyDescent="0.25">
      <c r="A442" t="s">
        <v>119</v>
      </c>
      <c r="B442">
        <v>2014</v>
      </c>
      <c r="C442" t="s">
        <v>205</v>
      </c>
      <c r="D442" s="437" t="s">
        <v>596</v>
      </c>
      <c r="E442" s="437">
        <v>1507</v>
      </c>
    </row>
    <row r="443" spans="1:5" x14ac:dyDescent="0.25">
      <c r="A443" t="s">
        <v>119</v>
      </c>
      <c r="B443">
        <v>2014</v>
      </c>
      <c r="C443" t="s">
        <v>205</v>
      </c>
      <c r="D443" s="437" t="s">
        <v>413</v>
      </c>
      <c r="E443" s="437">
        <v>0</v>
      </c>
    </row>
    <row r="444" spans="1:5" x14ac:dyDescent="0.25">
      <c r="A444" t="s">
        <v>125</v>
      </c>
      <c r="B444">
        <v>2014</v>
      </c>
      <c r="C444" t="s">
        <v>205</v>
      </c>
      <c r="D444" s="437" t="s">
        <v>57</v>
      </c>
      <c r="E444" s="437">
        <v>0</v>
      </c>
    </row>
    <row r="445" spans="1:5" x14ac:dyDescent="0.25">
      <c r="A445" t="s">
        <v>125</v>
      </c>
      <c r="B445">
        <v>2014</v>
      </c>
      <c r="C445" t="s">
        <v>205</v>
      </c>
      <c r="D445" s="437" t="s">
        <v>348</v>
      </c>
      <c r="E445" s="437">
        <v>5263</v>
      </c>
    </row>
    <row r="446" spans="1:5" x14ac:dyDescent="0.25">
      <c r="A446" t="s">
        <v>125</v>
      </c>
      <c r="B446">
        <v>2014</v>
      </c>
      <c r="C446" t="s">
        <v>205</v>
      </c>
      <c r="D446" s="437" t="s">
        <v>349</v>
      </c>
      <c r="E446" s="437">
        <v>0</v>
      </c>
    </row>
    <row r="447" spans="1:5" x14ac:dyDescent="0.25">
      <c r="A447" t="s">
        <v>125</v>
      </c>
      <c r="B447">
        <v>2014</v>
      </c>
      <c r="C447" t="s">
        <v>205</v>
      </c>
      <c r="D447" s="437" t="s">
        <v>595</v>
      </c>
      <c r="E447" s="437">
        <v>0</v>
      </c>
    </row>
    <row r="448" spans="1:5" x14ac:dyDescent="0.25">
      <c r="A448" t="s">
        <v>125</v>
      </c>
      <c r="B448">
        <v>2014</v>
      </c>
      <c r="C448" t="s">
        <v>205</v>
      </c>
      <c r="D448" s="437" t="s">
        <v>352</v>
      </c>
      <c r="E448" s="437">
        <v>311</v>
      </c>
    </row>
    <row r="449" spans="1:5" x14ac:dyDescent="0.25">
      <c r="A449" t="s">
        <v>125</v>
      </c>
      <c r="B449">
        <v>2014</v>
      </c>
      <c r="C449" t="s">
        <v>205</v>
      </c>
      <c r="D449" s="437" t="s">
        <v>43</v>
      </c>
      <c r="E449" s="437">
        <v>0</v>
      </c>
    </row>
    <row r="450" spans="1:5" x14ac:dyDescent="0.25">
      <c r="A450" t="s">
        <v>125</v>
      </c>
      <c r="B450">
        <v>2014</v>
      </c>
      <c r="C450" t="s">
        <v>205</v>
      </c>
      <c r="D450" s="437" t="s">
        <v>42</v>
      </c>
      <c r="E450" s="437">
        <v>0</v>
      </c>
    </row>
    <row r="451" spans="1:5" x14ac:dyDescent="0.25">
      <c r="A451" t="s">
        <v>125</v>
      </c>
      <c r="B451">
        <v>2014</v>
      </c>
      <c r="C451" t="s">
        <v>205</v>
      </c>
      <c r="D451" s="437" t="s">
        <v>44</v>
      </c>
      <c r="E451" s="437">
        <v>0</v>
      </c>
    </row>
    <row r="452" spans="1:5" x14ac:dyDescent="0.25">
      <c r="A452" t="s">
        <v>125</v>
      </c>
      <c r="B452">
        <v>2014</v>
      </c>
      <c r="C452" t="s">
        <v>205</v>
      </c>
      <c r="D452" s="437" t="s">
        <v>397</v>
      </c>
      <c r="E452" s="437">
        <v>0</v>
      </c>
    </row>
    <row r="453" spans="1:5" x14ac:dyDescent="0.25">
      <c r="A453" t="s">
        <v>125</v>
      </c>
      <c r="B453">
        <v>2014</v>
      </c>
      <c r="C453" t="s">
        <v>205</v>
      </c>
      <c r="D453" s="437" t="s">
        <v>133</v>
      </c>
      <c r="E453" s="437">
        <v>2990</v>
      </c>
    </row>
    <row r="454" spans="1:5" x14ac:dyDescent="0.25">
      <c r="A454" t="s">
        <v>125</v>
      </c>
      <c r="B454">
        <v>2014</v>
      </c>
      <c r="C454" t="s">
        <v>205</v>
      </c>
      <c r="D454" s="437" t="s">
        <v>597</v>
      </c>
      <c r="E454" s="437">
        <v>2423</v>
      </c>
    </row>
    <row r="455" spans="1:5" x14ac:dyDescent="0.25">
      <c r="A455" t="s">
        <v>125</v>
      </c>
      <c r="B455">
        <v>2014</v>
      </c>
      <c r="C455" t="s">
        <v>205</v>
      </c>
      <c r="D455" s="437" t="s">
        <v>596</v>
      </c>
      <c r="E455" s="437">
        <v>7399</v>
      </c>
    </row>
    <row r="456" spans="1:5" x14ac:dyDescent="0.25">
      <c r="A456" t="s">
        <v>125</v>
      </c>
      <c r="B456">
        <v>2014</v>
      </c>
      <c r="C456" t="s">
        <v>205</v>
      </c>
      <c r="D456" s="437" t="s">
        <v>413</v>
      </c>
      <c r="E456" s="437">
        <v>0</v>
      </c>
    </row>
    <row r="457" spans="1:5" x14ac:dyDescent="0.25">
      <c r="A457" t="s">
        <v>643</v>
      </c>
      <c r="B457">
        <v>2014</v>
      </c>
      <c r="C457" t="s">
        <v>205</v>
      </c>
      <c r="D457" s="437" t="s">
        <v>57</v>
      </c>
      <c r="E457" s="437">
        <v>126685</v>
      </c>
    </row>
    <row r="458" spans="1:5" x14ac:dyDescent="0.25">
      <c r="A458" t="s">
        <v>643</v>
      </c>
      <c r="B458">
        <v>2014</v>
      </c>
      <c r="C458" t="s">
        <v>205</v>
      </c>
      <c r="D458" s="437" t="s">
        <v>348</v>
      </c>
      <c r="E458" s="437">
        <v>53526</v>
      </c>
    </row>
    <row r="459" spans="1:5" x14ac:dyDescent="0.25">
      <c r="A459" t="s">
        <v>643</v>
      </c>
      <c r="B459">
        <v>2014</v>
      </c>
      <c r="C459" t="s">
        <v>205</v>
      </c>
      <c r="D459" s="437" t="s">
        <v>349</v>
      </c>
      <c r="E459" s="437">
        <v>114730</v>
      </c>
    </row>
    <row r="460" spans="1:5" x14ac:dyDescent="0.25">
      <c r="A460" t="s">
        <v>643</v>
      </c>
      <c r="B460">
        <v>2014</v>
      </c>
      <c r="C460" t="s">
        <v>205</v>
      </c>
      <c r="D460" s="437" t="s">
        <v>595</v>
      </c>
      <c r="E460" s="437">
        <v>206148</v>
      </c>
    </row>
    <row r="461" spans="1:5" x14ac:dyDescent="0.25">
      <c r="A461" t="s">
        <v>643</v>
      </c>
      <c r="B461">
        <v>2014</v>
      </c>
      <c r="C461" t="s">
        <v>205</v>
      </c>
      <c r="D461" s="437" t="s">
        <v>352</v>
      </c>
      <c r="E461" s="437">
        <v>89035</v>
      </c>
    </row>
    <row r="462" spans="1:5" x14ac:dyDescent="0.25">
      <c r="A462" t="s">
        <v>643</v>
      </c>
      <c r="B462">
        <v>2014</v>
      </c>
      <c r="C462" t="s">
        <v>205</v>
      </c>
      <c r="D462" s="437" t="s">
        <v>43</v>
      </c>
      <c r="E462" s="437">
        <v>120576</v>
      </c>
    </row>
    <row r="463" spans="1:5" x14ac:dyDescent="0.25">
      <c r="A463" t="s">
        <v>643</v>
      </c>
      <c r="B463">
        <v>2014</v>
      </c>
      <c r="C463" t="s">
        <v>205</v>
      </c>
      <c r="D463" s="437" t="s">
        <v>44</v>
      </c>
      <c r="E463" s="437">
        <v>82349</v>
      </c>
    </row>
    <row r="464" spans="1:5" x14ac:dyDescent="0.25">
      <c r="A464" t="s">
        <v>643</v>
      </c>
      <c r="B464">
        <v>2014</v>
      </c>
      <c r="C464" t="s">
        <v>205</v>
      </c>
      <c r="D464" s="437" t="s">
        <v>397</v>
      </c>
      <c r="E464" s="437">
        <v>24091</v>
      </c>
    </row>
    <row r="465" spans="1:5" x14ac:dyDescent="0.25">
      <c r="A465" t="s">
        <v>643</v>
      </c>
      <c r="B465">
        <v>2014</v>
      </c>
      <c r="C465" t="s">
        <v>205</v>
      </c>
      <c r="D465" s="437" t="s">
        <v>133</v>
      </c>
      <c r="E465" s="437">
        <v>202208</v>
      </c>
    </row>
    <row r="466" spans="1:5" x14ac:dyDescent="0.25">
      <c r="A466" t="s">
        <v>643</v>
      </c>
      <c r="B466">
        <v>2014</v>
      </c>
      <c r="C466" t="s">
        <v>205</v>
      </c>
      <c r="D466" s="437" t="s">
        <v>597</v>
      </c>
      <c r="E466" s="437">
        <v>230343</v>
      </c>
    </row>
    <row r="467" spans="1:5" x14ac:dyDescent="0.25">
      <c r="A467" t="s">
        <v>643</v>
      </c>
      <c r="B467">
        <v>2014</v>
      </c>
      <c r="C467" t="s">
        <v>205</v>
      </c>
      <c r="D467" s="437" t="s">
        <v>596</v>
      </c>
      <c r="E467" s="437">
        <v>522043</v>
      </c>
    </row>
    <row r="468" spans="1:5" x14ac:dyDescent="0.25">
      <c r="A468" t="s">
        <v>643</v>
      </c>
      <c r="B468">
        <v>2014</v>
      </c>
      <c r="C468" t="s">
        <v>205</v>
      </c>
      <c r="D468" s="437" t="s">
        <v>413</v>
      </c>
      <c r="E468" s="437">
        <v>4173</v>
      </c>
    </row>
    <row r="469" spans="1:5" x14ac:dyDescent="0.25">
      <c r="A469" t="s">
        <v>99</v>
      </c>
      <c r="B469">
        <v>2015</v>
      </c>
      <c r="C469" t="s">
        <v>205</v>
      </c>
      <c r="D469" s="437" t="s">
        <v>57</v>
      </c>
      <c r="E469" s="437">
        <v>0</v>
      </c>
    </row>
    <row r="470" spans="1:5" x14ac:dyDescent="0.25">
      <c r="A470" t="s">
        <v>99</v>
      </c>
      <c r="B470">
        <v>2015</v>
      </c>
      <c r="C470" t="s">
        <v>205</v>
      </c>
      <c r="D470" s="437" t="s">
        <v>348</v>
      </c>
      <c r="E470" s="437">
        <v>0</v>
      </c>
    </row>
    <row r="471" spans="1:5" x14ac:dyDescent="0.25">
      <c r="A471" t="s">
        <v>99</v>
      </c>
      <c r="B471">
        <v>2015</v>
      </c>
      <c r="C471" t="s">
        <v>205</v>
      </c>
      <c r="D471" s="437" t="s">
        <v>349</v>
      </c>
      <c r="E471" s="437">
        <v>1171</v>
      </c>
    </row>
    <row r="472" spans="1:5" x14ac:dyDescent="0.25">
      <c r="A472" t="s">
        <v>99</v>
      </c>
      <c r="B472">
        <v>2015</v>
      </c>
      <c r="C472" t="s">
        <v>205</v>
      </c>
      <c r="D472" s="437" t="s">
        <v>595</v>
      </c>
      <c r="E472" s="437">
        <v>4888</v>
      </c>
    </row>
    <row r="473" spans="1:5" x14ac:dyDescent="0.25">
      <c r="A473" t="s">
        <v>99</v>
      </c>
      <c r="B473">
        <v>2015</v>
      </c>
      <c r="C473" t="s">
        <v>205</v>
      </c>
      <c r="D473" s="437" t="s">
        <v>352</v>
      </c>
      <c r="E473" s="437">
        <v>1481</v>
      </c>
    </row>
    <row r="474" spans="1:5" x14ac:dyDescent="0.25">
      <c r="A474" t="s">
        <v>99</v>
      </c>
      <c r="B474">
        <v>2015</v>
      </c>
      <c r="C474" t="s">
        <v>205</v>
      </c>
      <c r="D474" s="437" t="s">
        <v>43</v>
      </c>
      <c r="E474" s="437">
        <v>1981</v>
      </c>
    </row>
    <row r="475" spans="1:5" x14ac:dyDescent="0.25">
      <c r="A475" t="s">
        <v>99</v>
      </c>
      <c r="B475">
        <v>2015</v>
      </c>
      <c r="C475" t="s">
        <v>205</v>
      </c>
      <c r="D475" s="437" t="s">
        <v>42</v>
      </c>
      <c r="E475" s="437">
        <v>0</v>
      </c>
    </row>
    <row r="476" spans="1:5" x14ac:dyDescent="0.25">
      <c r="A476" t="s">
        <v>99</v>
      </c>
      <c r="B476">
        <v>2015</v>
      </c>
      <c r="C476" t="s">
        <v>205</v>
      </c>
      <c r="D476" s="437" t="s">
        <v>44</v>
      </c>
      <c r="E476" s="437">
        <v>404</v>
      </c>
    </row>
    <row r="477" spans="1:5" x14ac:dyDescent="0.25">
      <c r="A477" t="s">
        <v>99</v>
      </c>
      <c r="B477">
        <v>2015</v>
      </c>
      <c r="C477" t="s">
        <v>205</v>
      </c>
      <c r="D477" s="437" t="s">
        <v>397</v>
      </c>
      <c r="E477" s="437">
        <v>417</v>
      </c>
    </row>
    <row r="478" spans="1:5" x14ac:dyDescent="0.25">
      <c r="A478" t="s">
        <v>99</v>
      </c>
      <c r="B478">
        <v>2015</v>
      </c>
      <c r="C478" t="s">
        <v>205</v>
      </c>
      <c r="D478" s="437" t="s">
        <v>133</v>
      </c>
      <c r="E478" s="437">
        <v>13569</v>
      </c>
    </row>
    <row r="479" spans="1:5" x14ac:dyDescent="0.25">
      <c r="A479" t="s">
        <v>99</v>
      </c>
      <c r="B479">
        <v>2015</v>
      </c>
      <c r="C479" t="s">
        <v>205</v>
      </c>
      <c r="D479" s="437" t="s">
        <v>597</v>
      </c>
      <c r="E479" s="437">
        <v>4722</v>
      </c>
    </row>
    <row r="480" spans="1:5" x14ac:dyDescent="0.25">
      <c r="A480" t="s">
        <v>99</v>
      </c>
      <c r="B480">
        <v>2015</v>
      </c>
      <c r="C480" t="s">
        <v>205</v>
      </c>
      <c r="D480" s="437" t="s">
        <v>596</v>
      </c>
      <c r="E480" s="437">
        <v>11386</v>
      </c>
    </row>
    <row r="481" spans="1:5" x14ac:dyDescent="0.25">
      <c r="A481" t="s">
        <v>99</v>
      </c>
      <c r="B481">
        <v>2015</v>
      </c>
      <c r="C481" t="s">
        <v>205</v>
      </c>
      <c r="D481" s="437" t="s">
        <v>413</v>
      </c>
      <c r="E481" s="437">
        <v>315</v>
      </c>
    </row>
    <row r="482" spans="1:5" x14ac:dyDescent="0.25">
      <c r="A482" t="s">
        <v>101</v>
      </c>
      <c r="B482">
        <v>2015</v>
      </c>
      <c r="C482" t="s">
        <v>205</v>
      </c>
      <c r="D482" s="437" t="s">
        <v>57</v>
      </c>
      <c r="E482" s="437">
        <v>5926</v>
      </c>
    </row>
    <row r="483" spans="1:5" x14ac:dyDescent="0.25">
      <c r="A483" t="s">
        <v>101</v>
      </c>
      <c r="B483">
        <v>2015</v>
      </c>
      <c r="C483" t="s">
        <v>205</v>
      </c>
      <c r="D483" s="437" t="s">
        <v>348</v>
      </c>
      <c r="E483" s="437">
        <v>0</v>
      </c>
    </row>
    <row r="484" spans="1:5" x14ac:dyDescent="0.25">
      <c r="A484" t="s">
        <v>101</v>
      </c>
      <c r="B484">
        <v>2015</v>
      </c>
      <c r="C484" t="s">
        <v>205</v>
      </c>
      <c r="D484" s="437" t="s">
        <v>349</v>
      </c>
      <c r="E484" s="437">
        <v>470</v>
      </c>
    </row>
    <row r="485" spans="1:5" x14ac:dyDescent="0.25">
      <c r="A485" t="s">
        <v>101</v>
      </c>
      <c r="B485">
        <v>2015</v>
      </c>
      <c r="C485" t="s">
        <v>205</v>
      </c>
      <c r="D485" s="437" t="s">
        <v>595</v>
      </c>
      <c r="E485" s="437">
        <v>6865</v>
      </c>
    </row>
    <row r="486" spans="1:5" x14ac:dyDescent="0.25">
      <c r="A486" t="s">
        <v>101</v>
      </c>
      <c r="B486">
        <v>2015</v>
      </c>
      <c r="C486" t="s">
        <v>205</v>
      </c>
      <c r="D486" s="437" t="s">
        <v>352</v>
      </c>
      <c r="E486" s="437">
        <v>264</v>
      </c>
    </row>
    <row r="487" spans="1:5" x14ac:dyDescent="0.25">
      <c r="A487" t="s">
        <v>101</v>
      </c>
      <c r="B487">
        <v>2015</v>
      </c>
      <c r="C487" t="s">
        <v>205</v>
      </c>
      <c r="D487" s="437" t="s">
        <v>43</v>
      </c>
      <c r="E487" s="437">
        <v>2172</v>
      </c>
    </row>
    <row r="488" spans="1:5" x14ac:dyDescent="0.25">
      <c r="A488" t="s">
        <v>101</v>
      </c>
      <c r="B488">
        <v>2015</v>
      </c>
      <c r="C488" t="s">
        <v>205</v>
      </c>
      <c r="D488" s="437" t="s">
        <v>42</v>
      </c>
      <c r="E488" s="437">
        <v>2</v>
      </c>
    </row>
    <row r="489" spans="1:5" x14ac:dyDescent="0.25">
      <c r="A489" t="s">
        <v>101</v>
      </c>
      <c r="B489">
        <v>2015</v>
      </c>
      <c r="C489" t="s">
        <v>205</v>
      </c>
      <c r="D489" s="437" t="s">
        <v>44</v>
      </c>
      <c r="E489" s="437">
        <v>3068</v>
      </c>
    </row>
    <row r="490" spans="1:5" x14ac:dyDescent="0.25">
      <c r="A490" t="s">
        <v>101</v>
      </c>
      <c r="B490">
        <v>2015</v>
      </c>
      <c r="C490" t="s">
        <v>205</v>
      </c>
      <c r="D490" s="437" t="s">
        <v>397</v>
      </c>
      <c r="E490" s="437">
        <v>1210</v>
      </c>
    </row>
    <row r="491" spans="1:5" x14ac:dyDescent="0.25">
      <c r="A491" t="s">
        <v>101</v>
      </c>
      <c r="B491">
        <v>2015</v>
      </c>
      <c r="C491" t="s">
        <v>205</v>
      </c>
      <c r="D491" s="437" t="s">
        <v>133</v>
      </c>
      <c r="E491" s="437">
        <v>1424</v>
      </c>
    </row>
    <row r="492" spans="1:5" x14ac:dyDescent="0.25">
      <c r="A492" t="s">
        <v>101</v>
      </c>
      <c r="B492">
        <v>2015</v>
      </c>
      <c r="C492" t="s">
        <v>205</v>
      </c>
      <c r="D492" s="437" t="s">
        <v>597</v>
      </c>
      <c r="E492" s="437">
        <v>6556</v>
      </c>
    </row>
    <row r="493" spans="1:5" x14ac:dyDescent="0.25">
      <c r="A493" t="s">
        <v>101</v>
      </c>
      <c r="B493">
        <v>2015</v>
      </c>
      <c r="C493" t="s">
        <v>205</v>
      </c>
      <c r="D493" s="437" t="s">
        <v>596</v>
      </c>
      <c r="E493" s="437">
        <v>13129</v>
      </c>
    </row>
    <row r="494" spans="1:5" x14ac:dyDescent="0.25">
      <c r="A494" t="s">
        <v>101</v>
      </c>
      <c r="B494">
        <v>2015</v>
      </c>
      <c r="C494" t="s">
        <v>205</v>
      </c>
      <c r="D494" s="437" t="s">
        <v>413</v>
      </c>
      <c r="E494" s="437">
        <v>0</v>
      </c>
    </row>
    <row r="495" spans="1:5" x14ac:dyDescent="0.25">
      <c r="A495" t="s">
        <v>102</v>
      </c>
      <c r="B495">
        <v>2015</v>
      </c>
      <c r="C495" t="s">
        <v>205</v>
      </c>
      <c r="D495" s="437" t="s">
        <v>57</v>
      </c>
      <c r="E495" s="437">
        <v>2000</v>
      </c>
    </row>
    <row r="496" spans="1:5" x14ac:dyDescent="0.25">
      <c r="A496" t="s">
        <v>102</v>
      </c>
      <c r="B496">
        <v>2015</v>
      </c>
      <c r="C496" t="s">
        <v>205</v>
      </c>
      <c r="D496" s="437" t="s">
        <v>348</v>
      </c>
      <c r="E496" s="437">
        <v>4199</v>
      </c>
    </row>
    <row r="497" spans="1:5" x14ac:dyDescent="0.25">
      <c r="A497" t="s">
        <v>102</v>
      </c>
      <c r="B497">
        <v>2015</v>
      </c>
      <c r="C497" t="s">
        <v>205</v>
      </c>
      <c r="D497" s="437" t="s">
        <v>349</v>
      </c>
      <c r="E497" s="437">
        <v>708</v>
      </c>
    </row>
    <row r="498" spans="1:5" x14ac:dyDescent="0.25">
      <c r="A498" t="s">
        <v>102</v>
      </c>
      <c r="B498">
        <v>2015</v>
      </c>
      <c r="C498" t="s">
        <v>205</v>
      </c>
      <c r="D498" s="437" t="s">
        <v>595</v>
      </c>
      <c r="E498" s="437">
        <v>799</v>
      </c>
    </row>
    <row r="499" spans="1:5" x14ac:dyDescent="0.25">
      <c r="A499" t="s">
        <v>102</v>
      </c>
      <c r="B499">
        <v>2015</v>
      </c>
      <c r="C499" t="s">
        <v>205</v>
      </c>
      <c r="D499" s="437" t="s">
        <v>352</v>
      </c>
      <c r="E499" s="437">
        <v>0</v>
      </c>
    </row>
    <row r="500" spans="1:5" x14ac:dyDescent="0.25">
      <c r="A500" t="s">
        <v>102</v>
      </c>
      <c r="B500">
        <v>2015</v>
      </c>
      <c r="C500" t="s">
        <v>205</v>
      </c>
      <c r="D500" s="437" t="s">
        <v>43</v>
      </c>
      <c r="E500" s="437">
        <v>701</v>
      </c>
    </row>
    <row r="501" spans="1:5" x14ac:dyDescent="0.25">
      <c r="A501" t="s">
        <v>102</v>
      </c>
      <c r="B501">
        <v>2015</v>
      </c>
      <c r="C501" t="s">
        <v>205</v>
      </c>
      <c r="D501" s="437" t="s">
        <v>42</v>
      </c>
      <c r="E501" s="437">
        <v>3</v>
      </c>
    </row>
    <row r="502" spans="1:5" x14ac:dyDescent="0.25">
      <c r="A502" t="s">
        <v>102</v>
      </c>
      <c r="B502">
        <v>2015</v>
      </c>
      <c r="C502" t="s">
        <v>205</v>
      </c>
      <c r="D502" s="437" t="s">
        <v>44</v>
      </c>
      <c r="E502" s="437">
        <v>1041</v>
      </c>
    </row>
    <row r="503" spans="1:5" x14ac:dyDescent="0.25">
      <c r="A503" t="s">
        <v>102</v>
      </c>
      <c r="B503">
        <v>2015</v>
      </c>
      <c r="C503" t="s">
        <v>205</v>
      </c>
      <c r="D503" s="437" t="s">
        <v>397</v>
      </c>
      <c r="E503" s="437">
        <v>64</v>
      </c>
    </row>
    <row r="504" spans="1:5" x14ac:dyDescent="0.25">
      <c r="A504" t="s">
        <v>102</v>
      </c>
      <c r="B504">
        <v>2015</v>
      </c>
      <c r="C504" t="s">
        <v>205</v>
      </c>
      <c r="D504" s="437" t="s">
        <v>133</v>
      </c>
      <c r="E504" s="437">
        <v>3198</v>
      </c>
    </row>
    <row r="505" spans="1:5" x14ac:dyDescent="0.25">
      <c r="A505" t="s">
        <v>102</v>
      </c>
      <c r="B505">
        <v>2015</v>
      </c>
      <c r="C505" t="s">
        <v>205</v>
      </c>
      <c r="D505" s="437" t="s">
        <v>597</v>
      </c>
      <c r="E505" s="437">
        <v>2781</v>
      </c>
    </row>
    <row r="506" spans="1:5" x14ac:dyDescent="0.25">
      <c r="A506" t="s">
        <v>102</v>
      </c>
      <c r="B506">
        <v>2015</v>
      </c>
      <c r="C506" t="s">
        <v>205</v>
      </c>
      <c r="D506" s="437" t="s">
        <v>596</v>
      </c>
      <c r="E506" s="437">
        <v>7100</v>
      </c>
    </row>
    <row r="507" spans="1:5" x14ac:dyDescent="0.25">
      <c r="A507" t="s">
        <v>102</v>
      </c>
      <c r="B507">
        <v>2015</v>
      </c>
      <c r="C507" t="s">
        <v>205</v>
      </c>
      <c r="D507" s="437" t="s">
        <v>413</v>
      </c>
      <c r="E507" s="437">
        <v>0</v>
      </c>
    </row>
    <row r="508" spans="1:5" x14ac:dyDescent="0.25">
      <c r="A508" t="s">
        <v>103</v>
      </c>
      <c r="B508">
        <v>2015</v>
      </c>
      <c r="C508" t="s">
        <v>205</v>
      </c>
      <c r="D508" s="437" t="s">
        <v>57</v>
      </c>
      <c r="E508" s="437">
        <v>3333</v>
      </c>
    </row>
    <row r="509" spans="1:5" x14ac:dyDescent="0.25">
      <c r="A509" t="s">
        <v>103</v>
      </c>
      <c r="B509">
        <v>2015</v>
      </c>
      <c r="C509" t="s">
        <v>205</v>
      </c>
      <c r="D509" s="437" t="s">
        <v>348</v>
      </c>
      <c r="E509" s="437">
        <v>0</v>
      </c>
    </row>
    <row r="510" spans="1:5" x14ac:dyDescent="0.25">
      <c r="A510" t="s">
        <v>103</v>
      </c>
      <c r="B510">
        <v>2015</v>
      </c>
      <c r="C510" t="s">
        <v>205</v>
      </c>
      <c r="D510" s="437" t="s">
        <v>349</v>
      </c>
      <c r="E510" s="437">
        <v>0</v>
      </c>
    </row>
    <row r="511" spans="1:5" x14ac:dyDescent="0.25">
      <c r="A511" t="s">
        <v>103</v>
      </c>
      <c r="B511">
        <v>2015</v>
      </c>
      <c r="C511" t="s">
        <v>205</v>
      </c>
      <c r="D511" s="437" t="s">
        <v>595</v>
      </c>
      <c r="E511" s="437">
        <v>0</v>
      </c>
    </row>
    <row r="512" spans="1:5" x14ac:dyDescent="0.25">
      <c r="A512" t="s">
        <v>103</v>
      </c>
      <c r="B512">
        <v>2015</v>
      </c>
      <c r="C512" t="s">
        <v>205</v>
      </c>
      <c r="D512" s="437" t="s">
        <v>352</v>
      </c>
      <c r="E512" s="437">
        <v>502</v>
      </c>
    </row>
    <row r="513" spans="1:5" x14ac:dyDescent="0.25">
      <c r="A513" t="s">
        <v>103</v>
      </c>
      <c r="B513">
        <v>2015</v>
      </c>
      <c r="C513" t="s">
        <v>205</v>
      </c>
      <c r="D513" s="437" t="s">
        <v>43</v>
      </c>
      <c r="E513" s="437">
        <v>60</v>
      </c>
    </row>
    <row r="514" spans="1:5" x14ac:dyDescent="0.25">
      <c r="A514" t="s">
        <v>103</v>
      </c>
      <c r="B514">
        <v>2015</v>
      </c>
      <c r="C514" t="s">
        <v>205</v>
      </c>
      <c r="D514" s="437" t="s">
        <v>42</v>
      </c>
      <c r="E514" s="437">
        <v>4</v>
      </c>
    </row>
    <row r="515" spans="1:5" x14ac:dyDescent="0.25">
      <c r="A515" t="s">
        <v>103</v>
      </c>
      <c r="B515">
        <v>2015</v>
      </c>
      <c r="C515" t="s">
        <v>205</v>
      </c>
      <c r="D515" s="437" t="s">
        <v>44</v>
      </c>
      <c r="E515" s="437">
        <v>756</v>
      </c>
    </row>
    <row r="516" spans="1:5" x14ac:dyDescent="0.25">
      <c r="A516" t="s">
        <v>103</v>
      </c>
      <c r="B516">
        <v>2015</v>
      </c>
      <c r="C516" t="s">
        <v>205</v>
      </c>
      <c r="D516" s="437" t="s">
        <v>397</v>
      </c>
      <c r="E516" s="437">
        <v>275</v>
      </c>
    </row>
    <row r="517" spans="1:5" x14ac:dyDescent="0.25">
      <c r="A517" t="s">
        <v>103</v>
      </c>
      <c r="B517">
        <v>2015</v>
      </c>
      <c r="C517" t="s">
        <v>205</v>
      </c>
      <c r="D517" s="437" t="s">
        <v>133</v>
      </c>
      <c r="E517" s="437">
        <v>13828</v>
      </c>
    </row>
    <row r="518" spans="1:5" x14ac:dyDescent="0.25">
      <c r="A518" t="s">
        <v>103</v>
      </c>
      <c r="B518">
        <v>2015</v>
      </c>
      <c r="C518" t="s">
        <v>205</v>
      </c>
      <c r="D518" s="437" t="s">
        <v>597</v>
      </c>
      <c r="E518" s="437">
        <v>4875</v>
      </c>
    </row>
    <row r="519" spans="1:5" x14ac:dyDescent="0.25">
      <c r="A519" t="s">
        <v>103</v>
      </c>
      <c r="B519">
        <v>2015</v>
      </c>
      <c r="C519" t="s">
        <v>205</v>
      </c>
      <c r="D519" s="437" t="s">
        <v>596</v>
      </c>
      <c r="E519" s="437">
        <v>10155</v>
      </c>
    </row>
    <row r="520" spans="1:5" x14ac:dyDescent="0.25">
      <c r="A520" t="s">
        <v>103</v>
      </c>
      <c r="B520">
        <v>2015</v>
      </c>
      <c r="C520" t="s">
        <v>205</v>
      </c>
      <c r="D520" s="437" t="s">
        <v>413</v>
      </c>
      <c r="E520" s="437">
        <v>245</v>
      </c>
    </row>
    <row r="521" spans="1:5" x14ac:dyDescent="0.25">
      <c r="A521" t="s">
        <v>198</v>
      </c>
      <c r="B521">
        <v>2015</v>
      </c>
      <c r="C521" t="s">
        <v>205</v>
      </c>
      <c r="D521" s="437" t="s">
        <v>57</v>
      </c>
      <c r="E521" s="437">
        <v>0</v>
      </c>
    </row>
    <row r="522" spans="1:5" x14ac:dyDescent="0.25">
      <c r="A522" t="s">
        <v>198</v>
      </c>
      <c r="B522">
        <v>2015</v>
      </c>
      <c r="C522" t="s">
        <v>205</v>
      </c>
      <c r="D522" s="437" t="s">
        <v>348</v>
      </c>
      <c r="E522" s="437">
        <v>1478</v>
      </c>
    </row>
    <row r="523" spans="1:5" x14ac:dyDescent="0.25">
      <c r="A523" t="s">
        <v>198</v>
      </c>
      <c r="B523">
        <v>2015</v>
      </c>
      <c r="C523" t="s">
        <v>205</v>
      </c>
      <c r="D523" s="437" t="s">
        <v>349</v>
      </c>
      <c r="E523" s="437">
        <v>0</v>
      </c>
    </row>
    <row r="524" spans="1:5" x14ac:dyDescent="0.25">
      <c r="A524" t="s">
        <v>198</v>
      </c>
      <c r="B524">
        <v>2015</v>
      </c>
      <c r="C524" t="s">
        <v>205</v>
      </c>
      <c r="D524" s="437" t="s">
        <v>595</v>
      </c>
      <c r="E524" s="437">
        <v>0</v>
      </c>
    </row>
    <row r="525" spans="1:5" x14ac:dyDescent="0.25">
      <c r="A525" t="s">
        <v>198</v>
      </c>
      <c r="B525">
        <v>2015</v>
      </c>
      <c r="C525" t="s">
        <v>205</v>
      </c>
      <c r="D525" s="437" t="s">
        <v>352</v>
      </c>
      <c r="E525" s="437">
        <v>0</v>
      </c>
    </row>
    <row r="526" spans="1:5" x14ac:dyDescent="0.25">
      <c r="A526" t="s">
        <v>198</v>
      </c>
      <c r="B526">
        <v>2015</v>
      </c>
      <c r="C526" t="s">
        <v>205</v>
      </c>
      <c r="D526" s="437" t="s">
        <v>43</v>
      </c>
      <c r="E526" s="437">
        <v>155</v>
      </c>
    </row>
    <row r="527" spans="1:5" x14ac:dyDescent="0.25">
      <c r="A527" t="s">
        <v>198</v>
      </c>
      <c r="B527">
        <v>2015</v>
      </c>
      <c r="C527" t="s">
        <v>205</v>
      </c>
      <c r="D527" s="437" t="s">
        <v>42</v>
      </c>
      <c r="E527" s="437">
        <v>5</v>
      </c>
    </row>
    <row r="528" spans="1:5" x14ac:dyDescent="0.25">
      <c r="A528" t="s">
        <v>198</v>
      </c>
      <c r="B528">
        <v>2015</v>
      </c>
      <c r="C528" t="s">
        <v>205</v>
      </c>
      <c r="D528" s="437" t="s">
        <v>44</v>
      </c>
      <c r="E528" s="437">
        <v>0</v>
      </c>
    </row>
    <row r="529" spans="1:5" x14ac:dyDescent="0.25">
      <c r="A529" t="s">
        <v>198</v>
      </c>
      <c r="B529">
        <v>2015</v>
      </c>
      <c r="C529" t="s">
        <v>205</v>
      </c>
      <c r="D529" s="437" t="s">
        <v>397</v>
      </c>
      <c r="E529" s="437">
        <v>0</v>
      </c>
    </row>
    <row r="530" spans="1:5" x14ac:dyDescent="0.25">
      <c r="A530" t="s">
        <v>198</v>
      </c>
      <c r="B530">
        <v>2015</v>
      </c>
      <c r="C530" t="s">
        <v>205</v>
      </c>
      <c r="D530" s="437" t="s">
        <v>133</v>
      </c>
      <c r="E530" s="437">
        <v>0</v>
      </c>
    </row>
    <row r="531" spans="1:5" x14ac:dyDescent="0.25">
      <c r="A531" t="s">
        <v>198</v>
      </c>
      <c r="B531">
        <v>2015</v>
      </c>
      <c r="C531" t="s">
        <v>205</v>
      </c>
      <c r="D531" s="437" t="s">
        <v>597</v>
      </c>
      <c r="E531" s="437">
        <v>270</v>
      </c>
    </row>
    <row r="532" spans="1:5" x14ac:dyDescent="0.25">
      <c r="A532" t="s">
        <v>198</v>
      </c>
      <c r="B532">
        <v>2015</v>
      </c>
      <c r="C532" t="s">
        <v>205</v>
      </c>
      <c r="D532" s="437" t="s">
        <v>596</v>
      </c>
      <c r="E532" s="437">
        <v>954</v>
      </c>
    </row>
    <row r="533" spans="1:5" x14ac:dyDescent="0.25">
      <c r="A533" t="s">
        <v>198</v>
      </c>
      <c r="B533">
        <v>2015</v>
      </c>
      <c r="C533" t="s">
        <v>205</v>
      </c>
      <c r="D533" s="437" t="s">
        <v>413</v>
      </c>
      <c r="E533" s="437">
        <v>0</v>
      </c>
    </row>
    <row r="534" spans="1:5" x14ac:dyDescent="0.25">
      <c r="A534" t="s">
        <v>104</v>
      </c>
      <c r="B534">
        <v>2015</v>
      </c>
      <c r="C534" t="s">
        <v>205</v>
      </c>
      <c r="D534" s="437" t="s">
        <v>57</v>
      </c>
      <c r="E534" s="437">
        <v>4040</v>
      </c>
    </row>
    <row r="535" spans="1:5" x14ac:dyDescent="0.25">
      <c r="A535" t="s">
        <v>104</v>
      </c>
      <c r="B535">
        <v>2015</v>
      </c>
      <c r="C535" t="s">
        <v>205</v>
      </c>
      <c r="D535" s="437" t="s">
        <v>348</v>
      </c>
      <c r="E535" s="437">
        <v>8334</v>
      </c>
    </row>
    <row r="536" spans="1:5" x14ac:dyDescent="0.25">
      <c r="A536" t="s">
        <v>104</v>
      </c>
      <c r="B536">
        <v>2015</v>
      </c>
      <c r="C536" t="s">
        <v>205</v>
      </c>
      <c r="D536" s="437" t="s">
        <v>349</v>
      </c>
      <c r="E536" s="437">
        <v>1200</v>
      </c>
    </row>
    <row r="537" spans="1:5" x14ac:dyDescent="0.25">
      <c r="A537" t="s">
        <v>104</v>
      </c>
      <c r="B537">
        <v>2015</v>
      </c>
      <c r="C537" t="s">
        <v>205</v>
      </c>
      <c r="D537" s="437" t="s">
        <v>595</v>
      </c>
      <c r="E537" s="437">
        <v>1606</v>
      </c>
    </row>
    <row r="538" spans="1:5" x14ac:dyDescent="0.25">
      <c r="A538" t="s">
        <v>104</v>
      </c>
      <c r="B538">
        <v>2015</v>
      </c>
      <c r="C538" t="s">
        <v>205</v>
      </c>
      <c r="D538" s="437" t="s">
        <v>352</v>
      </c>
      <c r="E538" s="437">
        <v>0</v>
      </c>
    </row>
    <row r="539" spans="1:5" x14ac:dyDescent="0.25">
      <c r="A539" t="s">
        <v>104</v>
      </c>
      <c r="B539">
        <v>2015</v>
      </c>
      <c r="C539" t="s">
        <v>205</v>
      </c>
      <c r="D539" s="437" t="s">
        <v>43</v>
      </c>
      <c r="E539" s="437">
        <v>277</v>
      </c>
    </row>
    <row r="540" spans="1:5" x14ac:dyDescent="0.25">
      <c r="A540" t="s">
        <v>104</v>
      </c>
      <c r="B540">
        <v>2015</v>
      </c>
      <c r="C540" t="s">
        <v>205</v>
      </c>
      <c r="D540" s="437" t="s">
        <v>42</v>
      </c>
      <c r="E540" s="437">
        <v>6</v>
      </c>
    </row>
    <row r="541" spans="1:5" x14ac:dyDescent="0.25">
      <c r="A541" t="s">
        <v>104</v>
      </c>
      <c r="B541">
        <v>2015</v>
      </c>
      <c r="C541" t="s">
        <v>205</v>
      </c>
      <c r="D541" s="437" t="s">
        <v>44</v>
      </c>
      <c r="E541" s="437">
        <v>2067</v>
      </c>
    </row>
    <row r="542" spans="1:5" x14ac:dyDescent="0.25">
      <c r="A542" t="s">
        <v>104</v>
      </c>
      <c r="B542">
        <v>2015</v>
      </c>
      <c r="C542" t="s">
        <v>205</v>
      </c>
      <c r="D542" s="437" t="s">
        <v>397</v>
      </c>
      <c r="E542" s="437">
        <v>850</v>
      </c>
    </row>
    <row r="543" spans="1:5" x14ac:dyDescent="0.25">
      <c r="A543" t="s">
        <v>104</v>
      </c>
      <c r="B543">
        <v>2015</v>
      </c>
      <c r="C543" t="s">
        <v>205</v>
      </c>
      <c r="D543" s="437" t="s">
        <v>133</v>
      </c>
      <c r="E543" s="437">
        <v>2253</v>
      </c>
    </row>
    <row r="544" spans="1:5" x14ac:dyDescent="0.25">
      <c r="A544" t="s">
        <v>104</v>
      </c>
      <c r="B544">
        <v>2015</v>
      </c>
      <c r="C544" t="s">
        <v>205</v>
      </c>
      <c r="D544" s="437" t="s">
        <v>597</v>
      </c>
      <c r="E544" s="437">
        <v>4428</v>
      </c>
    </row>
    <row r="545" spans="1:5" x14ac:dyDescent="0.25">
      <c r="A545" t="s">
        <v>104</v>
      </c>
      <c r="B545">
        <v>2015</v>
      </c>
      <c r="C545" t="s">
        <v>205</v>
      </c>
      <c r="D545" s="437" t="s">
        <v>596</v>
      </c>
      <c r="E545" s="437">
        <v>9982</v>
      </c>
    </row>
    <row r="546" spans="1:5" x14ac:dyDescent="0.25">
      <c r="A546" t="s">
        <v>104</v>
      </c>
      <c r="B546">
        <v>2015</v>
      </c>
      <c r="C546" t="s">
        <v>205</v>
      </c>
      <c r="D546" s="437" t="s">
        <v>413</v>
      </c>
      <c r="E546" s="437">
        <v>0</v>
      </c>
    </row>
    <row r="547" spans="1:5" x14ac:dyDescent="0.25">
      <c r="A547" t="s">
        <v>105</v>
      </c>
      <c r="B547">
        <v>2015</v>
      </c>
      <c r="C547" t="s">
        <v>205</v>
      </c>
      <c r="D547" s="437" t="s">
        <v>57</v>
      </c>
      <c r="E547" s="437">
        <v>10793</v>
      </c>
    </row>
    <row r="548" spans="1:5" x14ac:dyDescent="0.25">
      <c r="A548" t="s">
        <v>105</v>
      </c>
      <c r="B548">
        <v>2015</v>
      </c>
      <c r="C548" t="s">
        <v>205</v>
      </c>
      <c r="D548" s="437" t="s">
        <v>348</v>
      </c>
      <c r="E548" s="437">
        <v>20570</v>
      </c>
    </row>
    <row r="549" spans="1:5" x14ac:dyDescent="0.25">
      <c r="A549" t="s">
        <v>105</v>
      </c>
      <c r="B549">
        <v>2015</v>
      </c>
      <c r="C549" t="s">
        <v>205</v>
      </c>
      <c r="D549" s="437" t="s">
        <v>349</v>
      </c>
      <c r="E549" s="437">
        <v>25674</v>
      </c>
    </row>
    <row r="550" spans="1:5" x14ac:dyDescent="0.25">
      <c r="A550" t="s">
        <v>105</v>
      </c>
      <c r="B550">
        <v>2015</v>
      </c>
      <c r="C550" t="s">
        <v>205</v>
      </c>
      <c r="D550" s="437" t="s">
        <v>595</v>
      </c>
      <c r="E550" s="437">
        <v>25048</v>
      </c>
    </row>
    <row r="551" spans="1:5" x14ac:dyDescent="0.25">
      <c r="A551" t="s">
        <v>105</v>
      </c>
      <c r="B551">
        <v>2015</v>
      </c>
      <c r="C551" t="s">
        <v>205</v>
      </c>
      <c r="D551" s="437" t="s">
        <v>352</v>
      </c>
      <c r="E551" s="437">
        <v>7454</v>
      </c>
    </row>
    <row r="552" spans="1:5" x14ac:dyDescent="0.25">
      <c r="A552" t="s">
        <v>105</v>
      </c>
      <c r="B552">
        <v>2015</v>
      </c>
      <c r="C552" t="s">
        <v>205</v>
      </c>
      <c r="D552" s="437" t="s">
        <v>43</v>
      </c>
      <c r="E552" s="437">
        <v>43429</v>
      </c>
    </row>
    <row r="553" spans="1:5" x14ac:dyDescent="0.25">
      <c r="A553" t="s">
        <v>105</v>
      </c>
      <c r="B553">
        <v>2015</v>
      </c>
      <c r="C553" t="s">
        <v>205</v>
      </c>
      <c r="D553" s="437" t="s">
        <v>42</v>
      </c>
      <c r="E553" s="437">
        <v>7</v>
      </c>
    </row>
    <row r="554" spans="1:5" x14ac:dyDescent="0.25">
      <c r="A554" t="s">
        <v>105</v>
      </c>
      <c r="B554">
        <v>2015</v>
      </c>
      <c r="C554" t="s">
        <v>205</v>
      </c>
      <c r="D554" s="437" t="s">
        <v>44</v>
      </c>
      <c r="E554" s="437">
        <v>38411</v>
      </c>
    </row>
    <row r="555" spans="1:5" x14ac:dyDescent="0.25">
      <c r="A555" t="s">
        <v>105</v>
      </c>
      <c r="B555">
        <v>2015</v>
      </c>
      <c r="C555" t="s">
        <v>205</v>
      </c>
      <c r="D555" s="437" t="s">
        <v>397</v>
      </c>
      <c r="E555" s="437">
        <v>6915</v>
      </c>
    </row>
    <row r="556" spans="1:5" x14ac:dyDescent="0.25">
      <c r="A556" t="s">
        <v>105</v>
      </c>
      <c r="B556">
        <v>2015</v>
      </c>
      <c r="C556" t="s">
        <v>205</v>
      </c>
      <c r="D556" s="437" t="s">
        <v>133</v>
      </c>
      <c r="E556" s="437">
        <v>9610</v>
      </c>
    </row>
    <row r="557" spans="1:5" x14ac:dyDescent="0.25">
      <c r="A557" t="s">
        <v>105</v>
      </c>
      <c r="B557">
        <v>2015</v>
      </c>
      <c r="C557" t="s">
        <v>205</v>
      </c>
      <c r="D557" s="437" t="s">
        <v>597</v>
      </c>
      <c r="E557" s="437">
        <v>36146</v>
      </c>
    </row>
    <row r="558" spans="1:5" x14ac:dyDescent="0.25">
      <c r="A558" t="s">
        <v>105</v>
      </c>
      <c r="B558">
        <v>2015</v>
      </c>
      <c r="C558" t="s">
        <v>205</v>
      </c>
      <c r="D558" s="437" t="s">
        <v>596</v>
      </c>
      <c r="E558" s="437">
        <v>79893</v>
      </c>
    </row>
    <row r="559" spans="1:5" x14ac:dyDescent="0.25">
      <c r="A559" t="s">
        <v>105</v>
      </c>
      <c r="B559">
        <v>2015</v>
      </c>
      <c r="C559" t="s">
        <v>205</v>
      </c>
      <c r="D559" s="437" t="s">
        <v>413</v>
      </c>
      <c r="E559" s="437">
        <v>559</v>
      </c>
    </row>
    <row r="560" spans="1:5" x14ac:dyDescent="0.25">
      <c r="A560" t="s">
        <v>106</v>
      </c>
      <c r="B560">
        <v>2015</v>
      </c>
      <c r="C560" t="s">
        <v>205</v>
      </c>
      <c r="D560" s="437" t="s">
        <v>57</v>
      </c>
      <c r="E560" s="437">
        <v>0</v>
      </c>
    </row>
    <row r="561" spans="1:5" x14ac:dyDescent="0.25">
      <c r="A561" t="s">
        <v>106</v>
      </c>
      <c r="B561">
        <v>2015</v>
      </c>
      <c r="C561" t="s">
        <v>205</v>
      </c>
      <c r="D561" s="437" t="s">
        <v>348</v>
      </c>
      <c r="E561" s="437">
        <v>0</v>
      </c>
    </row>
    <row r="562" spans="1:5" x14ac:dyDescent="0.25">
      <c r="A562" t="s">
        <v>106</v>
      </c>
      <c r="B562">
        <v>2015</v>
      </c>
      <c r="C562" t="s">
        <v>205</v>
      </c>
      <c r="D562" s="437" t="s">
        <v>349</v>
      </c>
      <c r="E562" s="437">
        <v>4965</v>
      </c>
    </row>
    <row r="563" spans="1:5" x14ac:dyDescent="0.25">
      <c r="A563" t="s">
        <v>106</v>
      </c>
      <c r="B563">
        <v>2015</v>
      </c>
      <c r="C563" t="s">
        <v>205</v>
      </c>
      <c r="D563" s="437" t="s">
        <v>595</v>
      </c>
      <c r="E563" s="437">
        <v>1708</v>
      </c>
    </row>
    <row r="564" spans="1:5" x14ac:dyDescent="0.25">
      <c r="A564" t="s">
        <v>106</v>
      </c>
      <c r="B564">
        <v>2015</v>
      </c>
      <c r="C564" t="s">
        <v>205</v>
      </c>
      <c r="D564" s="437" t="s">
        <v>352</v>
      </c>
      <c r="E564" s="437">
        <v>867</v>
      </c>
    </row>
    <row r="565" spans="1:5" x14ac:dyDescent="0.25">
      <c r="A565" t="s">
        <v>106</v>
      </c>
      <c r="B565">
        <v>2015</v>
      </c>
      <c r="C565" t="s">
        <v>205</v>
      </c>
      <c r="D565" s="437" t="s">
        <v>43</v>
      </c>
      <c r="E565" s="437">
        <v>5082</v>
      </c>
    </row>
    <row r="566" spans="1:5" x14ac:dyDescent="0.25">
      <c r="A566" t="s">
        <v>106</v>
      </c>
      <c r="B566">
        <v>2015</v>
      </c>
      <c r="C566" t="s">
        <v>205</v>
      </c>
      <c r="D566" s="437" t="s">
        <v>42</v>
      </c>
      <c r="E566" s="437">
        <v>8</v>
      </c>
    </row>
    <row r="567" spans="1:5" x14ac:dyDescent="0.25">
      <c r="A567" t="s">
        <v>106</v>
      </c>
      <c r="B567">
        <v>2015</v>
      </c>
      <c r="C567" t="s">
        <v>205</v>
      </c>
      <c r="D567" s="437" t="s">
        <v>44</v>
      </c>
      <c r="E567" s="437">
        <v>781</v>
      </c>
    </row>
    <row r="568" spans="1:5" x14ac:dyDescent="0.25">
      <c r="A568" t="s">
        <v>106</v>
      </c>
      <c r="B568">
        <v>2015</v>
      </c>
      <c r="C568" t="s">
        <v>205</v>
      </c>
      <c r="D568" s="437" t="s">
        <v>397</v>
      </c>
      <c r="E568" s="437">
        <v>510</v>
      </c>
    </row>
    <row r="569" spans="1:5" x14ac:dyDescent="0.25">
      <c r="A569" t="s">
        <v>106</v>
      </c>
      <c r="B569">
        <v>2015</v>
      </c>
      <c r="C569" t="s">
        <v>205</v>
      </c>
      <c r="D569" s="437" t="s">
        <v>133</v>
      </c>
      <c r="E569" s="437">
        <v>7</v>
      </c>
    </row>
    <row r="570" spans="1:5" x14ac:dyDescent="0.25">
      <c r="A570" t="s">
        <v>106</v>
      </c>
      <c r="B570">
        <v>2015</v>
      </c>
      <c r="C570" t="s">
        <v>205</v>
      </c>
      <c r="D570" s="437" t="s">
        <v>597</v>
      </c>
      <c r="E570" s="437">
        <v>1915</v>
      </c>
    </row>
    <row r="571" spans="1:5" x14ac:dyDescent="0.25">
      <c r="A571" t="s">
        <v>106</v>
      </c>
      <c r="B571">
        <v>2015</v>
      </c>
      <c r="C571" t="s">
        <v>205</v>
      </c>
      <c r="D571" s="437" t="s">
        <v>596</v>
      </c>
      <c r="E571" s="437">
        <v>5844</v>
      </c>
    </row>
    <row r="572" spans="1:5" x14ac:dyDescent="0.25">
      <c r="A572" t="s">
        <v>106</v>
      </c>
      <c r="B572">
        <v>2015</v>
      </c>
      <c r="C572" t="s">
        <v>205</v>
      </c>
      <c r="D572" s="437" t="s">
        <v>413</v>
      </c>
      <c r="E572" s="437">
        <v>2</v>
      </c>
    </row>
    <row r="573" spans="1:5" x14ac:dyDescent="0.25">
      <c r="A573" t="s">
        <v>199</v>
      </c>
      <c r="B573">
        <v>2015</v>
      </c>
      <c r="C573" t="s">
        <v>205</v>
      </c>
      <c r="D573" s="437" t="s">
        <v>57</v>
      </c>
      <c r="E573" s="437">
        <v>0</v>
      </c>
    </row>
    <row r="574" spans="1:5" x14ac:dyDescent="0.25">
      <c r="A574" t="s">
        <v>199</v>
      </c>
      <c r="B574">
        <v>2015</v>
      </c>
      <c r="C574" t="s">
        <v>205</v>
      </c>
      <c r="D574" s="437" t="s">
        <v>348</v>
      </c>
      <c r="E574" s="437">
        <v>0</v>
      </c>
    </row>
    <row r="575" spans="1:5" x14ac:dyDescent="0.25">
      <c r="A575" t="s">
        <v>199</v>
      </c>
      <c r="B575">
        <v>2015</v>
      </c>
      <c r="C575" t="s">
        <v>205</v>
      </c>
      <c r="D575" s="437" t="s">
        <v>349</v>
      </c>
      <c r="E575" s="437">
        <v>0</v>
      </c>
    </row>
    <row r="576" spans="1:5" x14ac:dyDescent="0.25">
      <c r="A576" t="s">
        <v>199</v>
      </c>
      <c r="B576">
        <v>2015</v>
      </c>
      <c r="C576" t="s">
        <v>205</v>
      </c>
      <c r="D576" s="437" t="s">
        <v>595</v>
      </c>
      <c r="E576" s="437">
        <v>262</v>
      </c>
    </row>
    <row r="577" spans="1:5" x14ac:dyDescent="0.25">
      <c r="A577" t="s">
        <v>199</v>
      </c>
      <c r="B577">
        <v>2015</v>
      </c>
      <c r="C577" t="s">
        <v>205</v>
      </c>
      <c r="D577" s="437" t="s">
        <v>352</v>
      </c>
      <c r="E577" s="437">
        <v>2313</v>
      </c>
    </row>
    <row r="578" spans="1:5" x14ac:dyDescent="0.25">
      <c r="A578" t="s">
        <v>199</v>
      </c>
      <c r="B578">
        <v>2015</v>
      </c>
      <c r="C578" t="s">
        <v>205</v>
      </c>
      <c r="D578" s="437" t="s">
        <v>43</v>
      </c>
      <c r="E578" s="437">
        <v>301</v>
      </c>
    </row>
    <row r="579" spans="1:5" x14ac:dyDescent="0.25">
      <c r="A579" t="s">
        <v>199</v>
      </c>
      <c r="B579">
        <v>2015</v>
      </c>
      <c r="C579" t="s">
        <v>205</v>
      </c>
      <c r="D579" s="437" t="s">
        <v>42</v>
      </c>
      <c r="E579" s="437">
        <v>9</v>
      </c>
    </row>
    <row r="580" spans="1:5" x14ac:dyDescent="0.25">
      <c r="A580" t="s">
        <v>199</v>
      </c>
      <c r="B580">
        <v>2015</v>
      </c>
      <c r="C580" t="s">
        <v>205</v>
      </c>
      <c r="D580" s="437" t="s">
        <v>44</v>
      </c>
      <c r="E580" s="437">
        <v>0</v>
      </c>
    </row>
    <row r="581" spans="1:5" x14ac:dyDescent="0.25">
      <c r="A581" t="s">
        <v>199</v>
      </c>
      <c r="B581">
        <v>2015</v>
      </c>
      <c r="C581" t="s">
        <v>205</v>
      </c>
      <c r="D581" s="437" t="s">
        <v>397</v>
      </c>
      <c r="E581" s="437">
        <v>101</v>
      </c>
    </row>
    <row r="582" spans="1:5" x14ac:dyDescent="0.25">
      <c r="A582" t="s">
        <v>199</v>
      </c>
      <c r="B582">
        <v>2015</v>
      </c>
      <c r="C582" t="s">
        <v>205</v>
      </c>
      <c r="D582" s="437" t="s">
        <v>133</v>
      </c>
      <c r="E582" s="437">
        <v>8</v>
      </c>
    </row>
    <row r="583" spans="1:5" x14ac:dyDescent="0.25">
      <c r="A583" t="s">
        <v>199</v>
      </c>
      <c r="B583">
        <v>2015</v>
      </c>
      <c r="C583" t="s">
        <v>205</v>
      </c>
      <c r="D583" s="437" t="s">
        <v>597</v>
      </c>
      <c r="E583" s="437">
        <v>498</v>
      </c>
    </row>
    <row r="584" spans="1:5" x14ac:dyDescent="0.25">
      <c r="A584" t="s">
        <v>199</v>
      </c>
      <c r="B584">
        <v>2015</v>
      </c>
      <c r="C584" t="s">
        <v>205</v>
      </c>
      <c r="D584" s="437" t="s">
        <v>596</v>
      </c>
      <c r="E584" s="437">
        <v>1394</v>
      </c>
    </row>
    <row r="585" spans="1:5" x14ac:dyDescent="0.25">
      <c r="A585" t="s">
        <v>199</v>
      </c>
      <c r="B585">
        <v>2015</v>
      </c>
      <c r="C585" t="s">
        <v>205</v>
      </c>
      <c r="D585" s="437" t="s">
        <v>413</v>
      </c>
      <c r="E585" s="437">
        <v>0</v>
      </c>
    </row>
    <row r="586" spans="1:5" x14ac:dyDescent="0.25">
      <c r="A586" t="s">
        <v>107</v>
      </c>
      <c r="B586">
        <v>2015</v>
      </c>
      <c r="C586" t="s">
        <v>205</v>
      </c>
      <c r="D586" s="437" t="s">
        <v>57</v>
      </c>
      <c r="E586" s="437">
        <v>7573</v>
      </c>
    </row>
    <row r="587" spans="1:5" x14ac:dyDescent="0.25">
      <c r="A587" t="s">
        <v>107</v>
      </c>
      <c r="B587">
        <v>2015</v>
      </c>
      <c r="C587" t="s">
        <v>205</v>
      </c>
      <c r="D587" s="437" t="s">
        <v>348</v>
      </c>
      <c r="E587" s="437">
        <v>1056</v>
      </c>
    </row>
    <row r="588" spans="1:5" x14ac:dyDescent="0.25">
      <c r="A588" t="s">
        <v>107</v>
      </c>
      <c r="B588">
        <v>2015</v>
      </c>
      <c r="C588" t="s">
        <v>205</v>
      </c>
      <c r="D588" s="437" t="s">
        <v>349</v>
      </c>
      <c r="E588" s="437">
        <v>9975</v>
      </c>
    </row>
    <row r="589" spans="1:5" x14ac:dyDescent="0.25">
      <c r="A589" t="s">
        <v>107</v>
      </c>
      <c r="B589">
        <v>2015</v>
      </c>
      <c r="C589" t="s">
        <v>205</v>
      </c>
      <c r="D589" s="437" t="s">
        <v>595</v>
      </c>
      <c r="E589" s="437">
        <v>32655</v>
      </c>
    </row>
    <row r="590" spans="1:5" x14ac:dyDescent="0.25">
      <c r="A590" t="s">
        <v>107</v>
      </c>
      <c r="B590">
        <v>2015</v>
      </c>
      <c r="C590" t="s">
        <v>205</v>
      </c>
      <c r="D590" s="437" t="s">
        <v>352</v>
      </c>
      <c r="E590" s="437">
        <v>3289</v>
      </c>
    </row>
    <row r="591" spans="1:5" x14ac:dyDescent="0.25">
      <c r="A591" t="s">
        <v>107</v>
      </c>
      <c r="B591">
        <v>2015</v>
      </c>
      <c r="C591" t="s">
        <v>205</v>
      </c>
      <c r="D591" s="437" t="s">
        <v>43</v>
      </c>
      <c r="E591" s="437">
        <v>23003</v>
      </c>
    </row>
    <row r="592" spans="1:5" x14ac:dyDescent="0.25">
      <c r="A592" t="s">
        <v>107</v>
      </c>
      <c r="B592">
        <v>2015</v>
      </c>
      <c r="C592" t="s">
        <v>205</v>
      </c>
      <c r="D592" s="437" t="s">
        <v>42</v>
      </c>
      <c r="E592" s="437">
        <v>10</v>
      </c>
    </row>
    <row r="593" spans="1:5" x14ac:dyDescent="0.25">
      <c r="A593" t="s">
        <v>107</v>
      </c>
      <c r="B593">
        <v>2015</v>
      </c>
      <c r="C593" t="s">
        <v>205</v>
      </c>
      <c r="D593" s="437" t="s">
        <v>44</v>
      </c>
      <c r="E593" s="437">
        <v>6967</v>
      </c>
    </row>
    <row r="594" spans="1:5" x14ac:dyDescent="0.25">
      <c r="A594" t="s">
        <v>107</v>
      </c>
      <c r="B594">
        <v>2015</v>
      </c>
      <c r="C594" t="s">
        <v>205</v>
      </c>
      <c r="D594" s="437" t="s">
        <v>397</v>
      </c>
      <c r="E594" s="437">
        <v>747</v>
      </c>
    </row>
    <row r="595" spans="1:5" x14ac:dyDescent="0.25">
      <c r="A595" t="s">
        <v>107</v>
      </c>
      <c r="B595">
        <v>2015</v>
      </c>
      <c r="C595" t="s">
        <v>205</v>
      </c>
      <c r="D595" s="437" t="s">
        <v>133</v>
      </c>
      <c r="E595" s="437">
        <v>20336</v>
      </c>
    </row>
    <row r="596" spans="1:5" x14ac:dyDescent="0.25">
      <c r="A596" t="s">
        <v>107</v>
      </c>
      <c r="B596">
        <v>2015</v>
      </c>
      <c r="C596" t="s">
        <v>205</v>
      </c>
      <c r="D596" s="437" t="s">
        <v>597</v>
      </c>
      <c r="E596" s="437">
        <v>18041</v>
      </c>
    </row>
    <row r="597" spans="1:5" x14ac:dyDescent="0.25">
      <c r="A597" t="s">
        <v>107</v>
      </c>
      <c r="B597">
        <v>2015</v>
      </c>
      <c r="C597" t="s">
        <v>205</v>
      </c>
      <c r="D597" s="437" t="s">
        <v>596</v>
      </c>
      <c r="E597" s="437">
        <v>40324</v>
      </c>
    </row>
    <row r="598" spans="1:5" x14ac:dyDescent="0.25">
      <c r="A598" t="s">
        <v>107</v>
      </c>
      <c r="B598">
        <v>2015</v>
      </c>
      <c r="C598" t="s">
        <v>205</v>
      </c>
      <c r="D598" s="437" t="s">
        <v>413</v>
      </c>
      <c r="E598" s="437">
        <v>588</v>
      </c>
    </row>
    <row r="599" spans="1:5" x14ac:dyDescent="0.25">
      <c r="A599" t="s">
        <v>108</v>
      </c>
      <c r="B599">
        <v>2015</v>
      </c>
      <c r="C599" t="s">
        <v>205</v>
      </c>
      <c r="D599" s="437" t="s">
        <v>57</v>
      </c>
      <c r="E599" s="437">
        <v>2752</v>
      </c>
    </row>
    <row r="600" spans="1:5" x14ac:dyDescent="0.25">
      <c r="A600" t="s">
        <v>108</v>
      </c>
      <c r="B600">
        <v>2015</v>
      </c>
      <c r="C600" t="s">
        <v>205</v>
      </c>
      <c r="D600" s="437" t="s">
        <v>348</v>
      </c>
      <c r="E600" s="437">
        <v>0</v>
      </c>
    </row>
    <row r="601" spans="1:5" x14ac:dyDescent="0.25">
      <c r="A601" t="s">
        <v>108</v>
      </c>
      <c r="B601">
        <v>2015</v>
      </c>
      <c r="C601" t="s">
        <v>205</v>
      </c>
      <c r="D601" s="437" t="s">
        <v>349</v>
      </c>
      <c r="E601" s="437">
        <v>3295</v>
      </c>
    </row>
    <row r="602" spans="1:5" x14ac:dyDescent="0.25">
      <c r="A602" t="s">
        <v>108</v>
      </c>
      <c r="B602">
        <v>2015</v>
      </c>
      <c r="C602" t="s">
        <v>205</v>
      </c>
      <c r="D602" s="437" t="s">
        <v>595</v>
      </c>
      <c r="E602" s="437">
        <v>1743</v>
      </c>
    </row>
    <row r="603" spans="1:5" x14ac:dyDescent="0.25">
      <c r="A603" t="s">
        <v>108</v>
      </c>
      <c r="B603">
        <v>2015</v>
      </c>
      <c r="C603" t="s">
        <v>205</v>
      </c>
      <c r="D603" s="437" t="s">
        <v>352</v>
      </c>
      <c r="E603" s="437">
        <v>3382</v>
      </c>
    </row>
    <row r="604" spans="1:5" x14ac:dyDescent="0.25">
      <c r="A604" t="s">
        <v>108</v>
      </c>
      <c r="B604">
        <v>2015</v>
      </c>
      <c r="C604" t="s">
        <v>205</v>
      </c>
      <c r="D604" s="437" t="s">
        <v>43</v>
      </c>
      <c r="E604" s="437">
        <v>1082</v>
      </c>
    </row>
    <row r="605" spans="1:5" x14ac:dyDescent="0.25">
      <c r="A605" t="s">
        <v>108</v>
      </c>
      <c r="B605">
        <v>2015</v>
      </c>
      <c r="C605" t="s">
        <v>205</v>
      </c>
      <c r="D605" s="437" t="s">
        <v>42</v>
      </c>
      <c r="E605" s="437">
        <v>11</v>
      </c>
    </row>
    <row r="606" spans="1:5" x14ac:dyDescent="0.25">
      <c r="A606" t="s">
        <v>108</v>
      </c>
      <c r="B606">
        <v>2015</v>
      </c>
      <c r="C606" t="s">
        <v>205</v>
      </c>
      <c r="D606" s="437" t="s">
        <v>44</v>
      </c>
      <c r="E606" s="437">
        <v>0</v>
      </c>
    </row>
    <row r="607" spans="1:5" x14ac:dyDescent="0.25">
      <c r="A607" t="s">
        <v>108</v>
      </c>
      <c r="B607">
        <v>2015</v>
      </c>
      <c r="C607" t="s">
        <v>205</v>
      </c>
      <c r="D607" s="437" t="s">
        <v>397</v>
      </c>
      <c r="E607" s="437">
        <v>1919</v>
      </c>
    </row>
    <row r="608" spans="1:5" x14ac:dyDescent="0.25">
      <c r="A608" t="s">
        <v>108</v>
      </c>
      <c r="B608">
        <v>2015</v>
      </c>
      <c r="C608" t="s">
        <v>205</v>
      </c>
      <c r="D608" s="437" t="s">
        <v>133</v>
      </c>
      <c r="E608" s="437">
        <v>3263</v>
      </c>
    </row>
    <row r="609" spans="1:5" x14ac:dyDescent="0.25">
      <c r="A609" t="s">
        <v>108</v>
      </c>
      <c r="B609">
        <v>2015</v>
      </c>
      <c r="C609" t="s">
        <v>205</v>
      </c>
      <c r="D609" s="437" t="s">
        <v>597</v>
      </c>
      <c r="E609" s="437">
        <v>5194</v>
      </c>
    </row>
    <row r="610" spans="1:5" x14ac:dyDescent="0.25">
      <c r="A610" t="s">
        <v>108</v>
      </c>
      <c r="B610">
        <v>2015</v>
      </c>
      <c r="C610" t="s">
        <v>205</v>
      </c>
      <c r="D610" s="437" t="s">
        <v>596</v>
      </c>
      <c r="E610" s="437">
        <v>13584</v>
      </c>
    </row>
    <row r="611" spans="1:5" x14ac:dyDescent="0.25">
      <c r="A611" t="s">
        <v>108</v>
      </c>
      <c r="B611">
        <v>2015</v>
      </c>
      <c r="C611" t="s">
        <v>205</v>
      </c>
      <c r="D611" s="437" t="s">
        <v>413</v>
      </c>
      <c r="E611" s="437">
        <v>245</v>
      </c>
    </row>
    <row r="612" spans="1:5" x14ac:dyDescent="0.25">
      <c r="A612" t="s">
        <v>109</v>
      </c>
      <c r="B612">
        <v>2015</v>
      </c>
      <c r="C612" t="s">
        <v>205</v>
      </c>
      <c r="D612" s="437" t="s">
        <v>57</v>
      </c>
      <c r="E612" s="437">
        <v>63130</v>
      </c>
    </row>
    <row r="613" spans="1:5" x14ac:dyDescent="0.25">
      <c r="A613" t="s">
        <v>109</v>
      </c>
      <c r="B613">
        <v>2015</v>
      </c>
      <c r="C613" t="s">
        <v>205</v>
      </c>
      <c r="D613" s="437" t="s">
        <v>348</v>
      </c>
      <c r="E613" s="437">
        <v>0</v>
      </c>
    </row>
    <row r="614" spans="1:5" x14ac:dyDescent="0.25">
      <c r="A614" t="s">
        <v>109</v>
      </c>
      <c r="B614">
        <v>2015</v>
      </c>
      <c r="C614" t="s">
        <v>205</v>
      </c>
      <c r="D614" s="437" t="s">
        <v>349</v>
      </c>
      <c r="E614" s="437">
        <v>3007</v>
      </c>
    </row>
    <row r="615" spans="1:5" x14ac:dyDescent="0.25">
      <c r="A615" t="s">
        <v>109</v>
      </c>
      <c r="B615">
        <v>2015</v>
      </c>
      <c r="C615" t="s">
        <v>205</v>
      </c>
      <c r="D615" s="437" t="s">
        <v>595</v>
      </c>
      <c r="E615" s="437">
        <v>10901</v>
      </c>
    </row>
    <row r="616" spans="1:5" x14ac:dyDescent="0.25">
      <c r="A616" t="s">
        <v>109</v>
      </c>
      <c r="B616">
        <v>2015</v>
      </c>
      <c r="C616" t="s">
        <v>205</v>
      </c>
      <c r="D616" s="437" t="s">
        <v>352</v>
      </c>
      <c r="E616" s="437">
        <v>8645</v>
      </c>
    </row>
    <row r="617" spans="1:5" x14ac:dyDescent="0.25">
      <c r="A617" t="s">
        <v>109</v>
      </c>
      <c r="B617">
        <v>2015</v>
      </c>
      <c r="C617" t="s">
        <v>205</v>
      </c>
      <c r="D617" s="437" t="s">
        <v>43</v>
      </c>
      <c r="E617" s="437">
        <v>10312</v>
      </c>
    </row>
    <row r="618" spans="1:5" x14ac:dyDescent="0.25">
      <c r="A618" t="s">
        <v>109</v>
      </c>
      <c r="B618">
        <v>2015</v>
      </c>
      <c r="C618" t="s">
        <v>205</v>
      </c>
      <c r="D618" s="437" t="s">
        <v>42</v>
      </c>
      <c r="E618" s="437">
        <v>12</v>
      </c>
    </row>
    <row r="619" spans="1:5" x14ac:dyDescent="0.25">
      <c r="A619" t="s">
        <v>109</v>
      </c>
      <c r="B619">
        <v>2015</v>
      </c>
      <c r="C619" t="s">
        <v>205</v>
      </c>
      <c r="D619" s="437" t="s">
        <v>44</v>
      </c>
      <c r="E619" s="437">
        <v>6191</v>
      </c>
    </row>
    <row r="620" spans="1:5" x14ac:dyDescent="0.25">
      <c r="A620" t="s">
        <v>109</v>
      </c>
      <c r="B620">
        <v>2015</v>
      </c>
      <c r="C620" t="s">
        <v>205</v>
      </c>
      <c r="D620" s="437" t="s">
        <v>397</v>
      </c>
      <c r="E620" s="437">
        <v>1703</v>
      </c>
    </row>
    <row r="621" spans="1:5" x14ac:dyDescent="0.25">
      <c r="A621" t="s">
        <v>109</v>
      </c>
      <c r="B621">
        <v>2015</v>
      </c>
      <c r="C621" t="s">
        <v>205</v>
      </c>
      <c r="D621" s="437" t="s">
        <v>133</v>
      </c>
      <c r="E621" s="437">
        <v>25421</v>
      </c>
    </row>
    <row r="622" spans="1:5" x14ac:dyDescent="0.25">
      <c r="A622" t="s">
        <v>109</v>
      </c>
      <c r="B622">
        <v>2015</v>
      </c>
      <c r="C622" t="s">
        <v>205</v>
      </c>
      <c r="D622" s="437" t="s">
        <v>597</v>
      </c>
      <c r="E622" s="437">
        <v>29299</v>
      </c>
    </row>
    <row r="623" spans="1:5" x14ac:dyDescent="0.25">
      <c r="A623" t="s">
        <v>109</v>
      </c>
      <c r="B623">
        <v>2015</v>
      </c>
      <c r="C623" t="s">
        <v>205</v>
      </c>
      <c r="D623" s="437" t="s">
        <v>596</v>
      </c>
      <c r="E623" s="437">
        <v>91611</v>
      </c>
    </row>
    <row r="624" spans="1:5" x14ac:dyDescent="0.25">
      <c r="A624" t="s">
        <v>109</v>
      </c>
      <c r="B624">
        <v>2015</v>
      </c>
      <c r="C624" t="s">
        <v>205</v>
      </c>
      <c r="D624" s="437" t="s">
        <v>413</v>
      </c>
      <c r="E624" s="437">
        <v>0</v>
      </c>
    </row>
    <row r="625" spans="1:5" x14ac:dyDescent="0.25">
      <c r="A625" t="s">
        <v>110</v>
      </c>
      <c r="B625">
        <v>2015</v>
      </c>
      <c r="C625" t="s">
        <v>205</v>
      </c>
      <c r="D625" s="437" t="s">
        <v>57</v>
      </c>
      <c r="E625" s="437">
        <v>8981</v>
      </c>
    </row>
    <row r="626" spans="1:5" x14ac:dyDescent="0.25">
      <c r="A626" t="s">
        <v>110</v>
      </c>
      <c r="B626">
        <v>2015</v>
      </c>
      <c r="C626" t="s">
        <v>205</v>
      </c>
      <c r="D626" s="437" t="s">
        <v>348</v>
      </c>
      <c r="E626" s="437">
        <v>0</v>
      </c>
    </row>
    <row r="627" spans="1:5" x14ac:dyDescent="0.25">
      <c r="A627" t="s">
        <v>110</v>
      </c>
      <c r="B627">
        <v>2015</v>
      </c>
      <c r="C627" t="s">
        <v>205</v>
      </c>
      <c r="D627" s="437" t="s">
        <v>349</v>
      </c>
      <c r="E627" s="437">
        <v>17926</v>
      </c>
    </row>
    <row r="628" spans="1:5" x14ac:dyDescent="0.25">
      <c r="A628" t="s">
        <v>110</v>
      </c>
      <c r="B628">
        <v>2015</v>
      </c>
      <c r="C628" t="s">
        <v>205</v>
      </c>
      <c r="D628" s="437" t="s">
        <v>595</v>
      </c>
      <c r="E628" s="437">
        <v>29050</v>
      </c>
    </row>
    <row r="629" spans="1:5" x14ac:dyDescent="0.25">
      <c r="A629" t="s">
        <v>110</v>
      </c>
      <c r="B629">
        <v>2015</v>
      </c>
      <c r="C629" t="s">
        <v>205</v>
      </c>
      <c r="D629" s="437" t="s">
        <v>352</v>
      </c>
      <c r="E629" s="437">
        <v>938</v>
      </c>
    </row>
    <row r="630" spans="1:5" x14ac:dyDescent="0.25">
      <c r="A630" t="s">
        <v>110</v>
      </c>
      <c r="B630">
        <v>2015</v>
      </c>
      <c r="C630" t="s">
        <v>205</v>
      </c>
      <c r="D630" s="437" t="s">
        <v>43</v>
      </c>
      <c r="E630" s="437">
        <v>8503</v>
      </c>
    </row>
    <row r="631" spans="1:5" x14ac:dyDescent="0.25">
      <c r="A631" t="s">
        <v>110</v>
      </c>
      <c r="B631">
        <v>2015</v>
      </c>
      <c r="C631" t="s">
        <v>205</v>
      </c>
      <c r="D631" s="437" t="s">
        <v>42</v>
      </c>
      <c r="E631" s="437">
        <v>13</v>
      </c>
    </row>
    <row r="632" spans="1:5" x14ac:dyDescent="0.25">
      <c r="A632" t="s">
        <v>110</v>
      </c>
      <c r="B632">
        <v>2015</v>
      </c>
      <c r="C632" t="s">
        <v>205</v>
      </c>
      <c r="D632" s="437" t="s">
        <v>44</v>
      </c>
      <c r="E632" s="437">
        <v>9000</v>
      </c>
    </row>
    <row r="633" spans="1:5" x14ac:dyDescent="0.25">
      <c r="A633" t="s">
        <v>110</v>
      </c>
      <c r="B633">
        <v>2015</v>
      </c>
      <c r="C633" t="s">
        <v>205</v>
      </c>
      <c r="D633" s="437" t="s">
        <v>397</v>
      </c>
      <c r="E633" s="437">
        <v>1377</v>
      </c>
    </row>
    <row r="634" spans="1:5" x14ac:dyDescent="0.25">
      <c r="A634" t="s">
        <v>110</v>
      </c>
      <c r="B634">
        <v>2015</v>
      </c>
      <c r="C634" t="s">
        <v>205</v>
      </c>
      <c r="D634" s="437" t="s">
        <v>133</v>
      </c>
      <c r="E634" s="437">
        <v>3866</v>
      </c>
    </row>
    <row r="635" spans="1:5" x14ac:dyDescent="0.25">
      <c r="A635" t="s">
        <v>110</v>
      </c>
      <c r="B635">
        <v>2015</v>
      </c>
      <c r="C635" t="s">
        <v>205</v>
      </c>
      <c r="D635" s="437" t="s">
        <v>597</v>
      </c>
      <c r="E635" s="437">
        <v>20871</v>
      </c>
    </row>
    <row r="636" spans="1:5" x14ac:dyDescent="0.25">
      <c r="A636" t="s">
        <v>110</v>
      </c>
      <c r="B636">
        <v>2015</v>
      </c>
      <c r="C636" t="s">
        <v>205</v>
      </c>
      <c r="D636" s="437" t="s">
        <v>596</v>
      </c>
      <c r="E636" s="437">
        <v>59576</v>
      </c>
    </row>
    <row r="637" spans="1:5" x14ac:dyDescent="0.25">
      <c r="A637" t="s">
        <v>110</v>
      </c>
      <c r="B637">
        <v>2015</v>
      </c>
      <c r="C637" t="s">
        <v>205</v>
      </c>
      <c r="D637" s="437" t="s">
        <v>413</v>
      </c>
      <c r="E637" s="437">
        <v>0</v>
      </c>
    </row>
    <row r="638" spans="1:5" x14ac:dyDescent="0.25">
      <c r="A638" t="s">
        <v>111</v>
      </c>
      <c r="B638">
        <v>2015</v>
      </c>
      <c r="C638" t="s">
        <v>205</v>
      </c>
      <c r="D638" s="437" t="s">
        <v>57</v>
      </c>
      <c r="E638" s="437">
        <v>0</v>
      </c>
    </row>
    <row r="639" spans="1:5" x14ac:dyDescent="0.25">
      <c r="A639" t="s">
        <v>111</v>
      </c>
      <c r="B639">
        <v>2015</v>
      </c>
      <c r="C639" t="s">
        <v>205</v>
      </c>
      <c r="D639" s="437" t="s">
        <v>348</v>
      </c>
      <c r="E639" s="437">
        <v>4456</v>
      </c>
    </row>
    <row r="640" spans="1:5" x14ac:dyDescent="0.25">
      <c r="A640" t="s">
        <v>111</v>
      </c>
      <c r="B640">
        <v>2015</v>
      </c>
      <c r="C640" t="s">
        <v>205</v>
      </c>
      <c r="D640" s="437" t="s">
        <v>349</v>
      </c>
      <c r="E640" s="437">
        <v>0</v>
      </c>
    </row>
    <row r="641" spans="1:5" x14ac:dyDescent="0.25">
      <c r="A641" t="s">
        <v>111</v>
      </c>
      <c r="B641">
        <v>2015</v>
      </c>
      <c r="C641" t="s">
        <v>205</v>
      </c>
      <c r="D641" s="437" t="s">
        <v>595</v>
      </c>
      <c r="E641" s="437">
        <v>4768</v>
      </c>
    </row>
    <row r="642" spans="1:5" x14ac:dyDescent="0.25">
      <c r="A642" t="s">
        <v>111</v>
      </c>
      <c r="B642">
        <v>2015</v>
      </c>
      <c r="C642" t="s">
        <v>205</v>
      </c>
      <c r="D642" s="437" t="s">
        <v>352</v>
      </c>
      <c r="E642" s="437">
        <v>698</v>
      </c>
    </row>
    <row r="643" spans="1:5" x14ac:dyDescent="0.25">
      <c r="A643" t="s">
        <v>111</v>
      </c>
      <c r="B643">
        <v>2015</v>
      </c>
      <c r="C643" t="s">
        <v>205</v>
      </c>
      <c r="D643" s="437" t="s">
        <v>43</v>
      </c>
      <c r="E643" s="437">
        <v>1775</v>
      </c>
    </row>
    <row r="644" spans="1:5" x14ac:dyDescent="0.25">
      <c r="A644" t="s">
        <v>111</v>
      </c>
      <c r="B644">
        <v>2015</v>
      </c>
      <c r="C644" t="s">
        <v>205</v>
      </c>
      <c r="D644" s="437" t="s">
        <v>42</v>
      </c>
      <c r="E644" s="437">
        <v>14</v>
      </c>
    </row>
    <row r="645" spans="1:5" x14ac:dyDescent="0.25">
      <c r="A645" t="s">
        <v>111</v>
      </c>
      <c r="B645">
        <v>2015</v>
      </c>
      <c r="C645" t="s">
        <v>205</v>
      </c>
      <c r="D645" s="437" t="s">
        <v>44</v>
      </c>
      <c r="E645" s="437">
        <v>2444</v>
      </c>
    </row>
    <row r="646" spans="1:5" x14ac:dyDescent="0.25">
      <c r="A646" t="s">
        <v>111</v>
      </c>
      <c r="B646">
        <v>2015</v>
      </c>
      <c r="C646" t="s">
        <v>205</v>
      </c>
      <c r="D646" s="437" t="s">
        <v>397</v>
      </c>
      <c r="E646" s="437">
        <v>52</v>
      </c>
    </row>
    <row r="647" spans="1:5" x14ac:dyDescent="0.25">
      <c r="A647" t="s">
        <v>111</v>
      </c>
      <c r="B647">
        <v>2015</v>
      </c>
      <c r="C647" t="s">
        <v>205</v>
      </c>
      <c r="D647" s="437" t="s">
        <v>133</v>
      </c>
      <c r="E647" s="437">
        <v>3242</v>
      </c>
    </row>
    <row r="648" spans="1:5" x14ac:dyDescent="0.25">
      <c r="A648" t="s">
        <v>111</v>
      </c>
      <c r="B648">
        <v>2015</v>
      </c>
      <c r="C648" t="s">
        <v>205</v>
      </c>
      <c r="D648" s="437" t="s">
        <v>597</v>
      </c>
      <c r="E648" s="437">
        <v>3599</v>
      </c>
    </row>
    <row r="649" spans="1:5" x14ac:dyDescent="0.25">
      <c r="A649" t="s">
        <v>111</v>
      </c>
      <c r="B649">
        <v>2015</v>
      </c>
      <c r="C649" t="s">
        <v>205</v>
      </c>
      <c r="D649" s="437" t="s">
        <v>596</v>
      </c>
      <c r="E649" s="437">
        <v>9813</v>
      </c>
    </row>
    <row r="650" spans="1:5" x14ac:dyDescent="0.25">
      <c r="A650" t="s">
        <v>111</v>
      </c>
      <c r="B650">
        <v>2015</v>
      </c>
      <c r="C650" t="s">
        <v>205</v>
      </c>
      <c r="D650" s="437" t="s">
        <v>413</v>
      </c>
      <c r="E650" s="437">
        <v>135</v>
      </c>
    </row>
    <row r="651" spans="1:5" x14ac:dyDescent="0.25">
      <c r="A651" t="s">
        <v>112</v>
      </c>
      <c r="B651">
        <v>2015</v>
      </c>
      <c r="C651" t="s">
        <v>205</v>
      </c>
      <c r="D651" s="437" t="s">
        <v>57</v>
      </c>
      <c r="E651" s="437">
        <v>0</v>
      </c>
    </row>
    <row r="652" spans="1:5" x14ac:dyDescent="0.25">
      <c r="A652" t="s">
        <v>112</v>
      </c>
      <c r="B652">
        <v>2015</v>
      </c>
      <c r="C652" t="s">
        <v>205</v>
      </c>
      <c r="D652" s="437" t="s">
        <v>348</v>
      </c>
      <c r="E652" s="437">
        <v>0</v>
      </c>
    </row>
    <row r="653" spans="1:5" x14ac:dyDescent="0.25">
      <c r="A653" t="s">
        <v>112</v>
      </c>
      <c r="B653">
        <v>2015</v>
      </c>
      <c r="C653" t="s">
        <v>205</v>
      </c>
      <c r="D653" s="437" t="s">
        <v>349</v>
      </c>
      <c r="E653" s="437">
        <v>325</v>
      </c>
    </row>
    <row r="654" spans="1:5" x14ac:dyDescent="0.25">
      <c r="A654" t="s">
        <v>112</v>
      </c>
      <c r="B654">
        <v>2015</v>
      </c>
      <c r="C654" t="s">
        <v>205</v>
      </c>
      <c r="D654" s="437" t="s">
        <v>595</v>
      </c>
      <c r="E654" s="437">
        <v>496</v>
      </c>
    </row>
    <row r="655" spans="1:5" x14ac:dyDescent="0.25">
      <c r="A655" t="s">
        <v>112</v>
      </c>
      <c r="B655">
        <v>2015</v>
      </c>
      <c r="C655" t="s">
        <v>205</v>
      </c>
      <c r="D655" s="437" t="s">
        <v>352</v>
      </c>
      <c r="E655" s="437">
        <v>949</v>
      </c>
    </row>
    <row r="656" spans="1:5" x14ac:dyDescent="0.25">
      <c r="A656" t="s">
        <v>112</v>
      </c>
      <c r="B656">
        <v>2015</v>
      </c>
      <c r="C656" t="s">
        <v>205</v>
      </c>
      <c r="D656" s="437" t="s">
        <v>43</v>
      </c>
      <c r="E656" s="437">
        <v>384</v>
      </c>
    </row>
    <row r="657" spans="1:5" x14ac:dyDescent="0.25">
      <c r="A657" t="s">
        <v>112</v>
      </c>
      <c r="B657">
        <v>2015</v>
      </c>
      <c r="C657" t="s">
        <v>205</v>
      </c>
      <c r="D657" s="437" t="s">
        <v>42</v>
      </c>
      <c r="E657" s="437">
        <v>15</v>
      </c>
    </row>
    <row r="658" spans="1:5" x14ac:dyDescent="0.25">
      <c r="A658" t="s">
        <v>112</v>
      </c>
      <c r="B658">
        <v>2015</v>
      </c>
      <c r="C658" t="s">
        <v>205</v>
      </c>
      <c r="D658" s="437" t="s">
        <v>44</v>
      </c>
      <c r="E658" s="437">
        <v>44</v>
      </c>
    </row>
    <row r="659" spans="1:5" x14ac:dyDescent="0.25">
      <c r="A659" t="s">
        <v>112</v>
      </c>
      <c r="B659">
        <v>2015</v>
      </c>
      <c r="C659" t="s">
        <v>205</v>
      </c>
      <c r="D659" s="437" t="s">
        <v>397</v>
      </c>
      <c r="E659" s="437">
        <v>26</v>
      </c>
    </row>
    <row r="660" spans="1:5" x14ac:dyDescent="0.25">
      <c r="A660" t="s">
        <v>112</v>
      </c>
      <c r="B660">
        <v>2015</v>
      </c>
      <c r="C660" t="s">
        <v>205</v>
      </c>
      <c r="D660" s="437" t="s">
        <v>133</v>
      </c>
      <c r="E660" s="437">
        <v>2112</v>
      </c>
    </row>
    <row r="661" spans="1:5" x14ac:dyDescent="0.25">
      <c r="A661" t="s">
        <v>112</v>
      </c>
      <c r="B661">
        <v>2015</v>
      </c>
      <c r="C661" t="s">
        <v>205</v>
      </c>
      <c r="D661" s="437" t="s">
        <v>597</v>
      </c>
      <c r="E661" s="437">
        <v>1160</v>
      </c>
    </row>
    <row r="662" spans="1:5" x14ac:dyDescent="0.25">
      <c r="A662" t="s">
        <v>112</v>
      </c>
      <c r="B662">
        <v>2015</v>
      </c>
      <c r="C662" t="s">
        <v>205</v>
      </c>
      <c r="D662" s="437" t="s">
        <v>596</v>
      </c>
      <c r="E662" s="437">
        <v>2950</v>
      </c>
    </row>
    <row r="663" spans="1:5" x14ac:dyDescent="0.25">
      <c r="A663" t="s">
        <v>112</v>
      </c>
      <c r="B663">
        <v>2015</v>
      </c>
      <c r="C663" t="s">
        <v>205</v>
      </c>
      <c r="D663" s="437" t="s">
        <v>413</v>
      </c>
      <c r="E663" s="437">
        <v>42</v>
      </c>
    </row>
    <row r="664" spans="1:5" x14ac:dyDescent="0.25">
      <c r="A664" t="s">
        <v>113</v>
      </c>
      <c r="B664">
        <v>2015</v>
      </c>
      <c r="C664" t="s">
        <v>205</v>
      </c>
      <c r="D664" s="437" t="s">
        <v>57</v>
      </c>
      <c r="E664" s="437">
        <v>1887</v>
      </c>
    </row>
    <row r="665" spans="1:5" x14ac:dyDescent="0.25">
      <c r="A665" t="s">
        <v>113</v>
      </c>
      <c r="B665">
        <v>2015</v>
      </c>
      <c r="C665" t="s">
        <v>205</v>
      </c>
      <c r="D665" s="437" t="s">
        <v>348</v>
      </c>
      <c r="E665" s="437">
        <v>1007</v>
      </c>
    </row>
    <row r="666" spans="1:5" x14ac:dyDescent="0.25">
      <c r="A666" t="s">
        <v>113</v>
      </c>
      <c r="B666">
        <v>2015</v>
      </c>
      <c r="C666" t="s">
        <v>205</v>
      </c>
      <c r="D666" s="437" t="s">
        <v>349</v>
      </c>
      <c r="E666" s="437">
        <v>0</v>
      </c>
    </row>
    <row r="667" spans="1:5" x14ac:dyDescent="0.25">
      <c r="A667" t="s">
        <v>113</v>
      </c>
      <c r="B667">
        <v>2015</v>
      </c>
      <c r="C667" t="s">
        <v>205</v>
      </c>
      <c r="D667" s="437" t="s">
        <v>595</v>
      </c>
      <c r="E667" s="437">
        <v>4124</v>
      </c>
    </row>
    <row r="668" spans="1:5" x14ac:dyDescent="0.25">
      <c r="A668" t="s">
        <v>113</v>
      </c>
      <c r="B668">
        <v>2015</v>
      </c>
      <c r="C668" t="s">
        <v>205</v>
      </c>
      <c r="D668" s="437" t="s">
        <v>352</v>
      </c>
      <c r="E668" s="437">
        <v>410</v>
      </c>
    </row>
    <row r="669" spans="1:5" x14ac:dyDescent="0.25">
      <c r="A669" t="s">
        <v>113</v>
      </c>
      <c r="B669">
        <v>2015</v>
      </c>
      <c r="C669" t="s">
        <v>205</v>
      </c>
      <c r="D669" s="437" t="s">
        <v>43</v>
      </c>
      <c r="E669" s="437">
        <v>328</v>
      </c>
    </row>
    <row r="670" spans="1:5" x14ac:dyDescent="0.25">
      <c r="A670" t="s">
        <v>113</v>
      </c>
      <c r="B670">
        <v>2015</v>
      </c>
      <c r="C670" t="s">
        <v>205</v>
      </c>
      <c r="D670" s="437" t="s">
        <v>42</v>
      </c>
      <c r="E670" s="437">
        <v>16</v>
      </c>
    </row>
    <row r="671" spans="1:5" x14ac:dyDescent="0.25">
      <c r="A671" t="s">
        <v>113</v>
      </c>
      <c r="B671">
        <v>2015</v>
      </c>
      <c r="C671" t="s">
        <v>205</v>
      </c>
      <c r="D671" s="437" t="s">
        <v>44</v>
      </c>
      <c r="E671" s="437">
        <v>29</v>
      </c>
    </row>
    <row r="672" spans="1:5" x14ac:dyDescent="0.25">
      <c r="A672" t="s">
        <v>113</v>
      </c>
      <c r="B672">
        <v>2015</v>
      </c>
      <c r="C672" t="s">
        <v>205</v>
      </c>
      <c r="D672" s="437" t="s">
        <v>397</v>
      </c>
      <c r="E672" s="437">
        <v>246</v>
      </c>
    </row>
    <row r="673" spans="1:5" x14ac:dyDescent="0.25">
      <c r="A673" t="s">
        <v>113</v>
      </c>
      <c r="B673">
        <v>2015</v>
      </c>
      <c r="C673" t="s">
        <v>205</v>
      </c>
      <c r="D673" s="437" t="s">
        <v>133</v>
      </c>
      <c r="E673" s="437">
        <v>57</v>
      </c>
    </row>
    <row r="674" spans="1:5" x14ac:dyDescent="0.25">
      <c r="A674" t="s">
        <v>113</v>
      </c>
      <c r="B674">
        <v>2015</v>
      </c>
      <c r="C674" t="s">
        <v>205</v>
      </c>
      <c r="D674" s="437" t="s">
        <v>597</v>
      </c>
      <c r="E674" s="437">
        <v>2857</v>
      </c>
    </row>
    <row r="675" spans="1:5" x14ac:dyDescent="0.25">
      <c r="A675" t="s">
        <v>113</v>
      </c>
      <c r="B675">
        <v>2015</v>
      </c>
      <c r="C675" t="s">
        <v>205</v>
      </c>
      <c r="D675" s="437" t="s">
        <v>596</v>
      </c>
      <c r="E675" s="437">
        <v>6106</v>
      </c>
    </row>
    <row r="676" spans="1:5" x14ac:dyDescent="0.25">
      <c r="A676" t="s">
        <v>113</v>
      </c>
      <c r="B676">
        <v>2015</v>
      </c>
      <c r="C676" t="s">
        <v>205</v>
      </c>
      <c r="D676" s="437" t="s">
        <v>413</v>
      </c>
      <c r="E676" s="437">
        <v>88</v>
      </c>
    </row>
    <row r="677" spans="1:5" x14ac:dyDescent="0.25">
      <c r="A677" t="s">
        <v>114</v>
      </c>
      <c r="B677">
        <v>2015</v>
      </c>
      <c r="C677" t="s">
        <v>205</v>
      </c>
      <c r="D677" s="437" t="s">
        <v>57</v>
      </c>
      <c r="E677" s="437">
        <v>0</v>
      </c>
    </row>
    <row r="678" spans="1:5" x14ac:dyDescent="0.25">
      <c r="A678" t="s">
        <v>114</v>
      </c>
      <c r="B678">
        <v>2015</v>
      </c>
      <c r="C678" t="s">
        <v>205</v>
      </c>
      <c r="D678" s="437" t="s">
        <v>348</v>
      </c>
      <c r="E678" s="437">
        <v>346</v>
      </c>
    </row>
    <row r="679" spans="1:5" x14ac:dyDescent="0.25">
      <c r="A679" t="s">
        <v>114</v>
      </c>
      <c r="B679">
        <v>2015</v>
      </c>
      <c r="C679" t="s">
        <v>205</v>
      </c>
      <c r="D679" s="437" t="s">
        <v>349</v>
      </c>
      <c r="E679" s="437">
        <v>855</v>
      </c>
    </row>
    <row r="680" spans="1:5" x14ac:dyDescent="0.25">
      <c r="A680" t="s">
        <v>114</v>
      </c>
      <c r="B680">
        <v>2015</v>
      </c>
      <c r="C680" t="s">
        <v>205</v>
      </c>
      <c r="D680" s="437" t="s">
        <v>595</v>
      </c>
      <c r="E680" s="437">
        <v>4270</v>
      </c>
    </row>
    <row r="681" spans="1:5" x14ac:dyDescent="0.25">
      <c r="A681" t="s">
        <v>114</v>
      </c>
      <c r="B681">
        <v>2015</v>
      </c>
      <c r="C681" t="s">
        <v>205</v>
      </c>
      <c r="D681" s="437" t="s">
        <v>352</v>
      </c>
      <c r="E681" s="437">
        <v>938</v>
      </c>
    </row>
    <row r="682" spans="1:5" x14ac:dyDescent="0.25">
      <c r="A682" t="s">
        <v>114</v>
      </c>
      <c r="B682">
        <v>2015</v>
      </c>
      <c r="C682" t="s">
        <v>205</v>
      </c>
      <c r="D682" s="437" t="s">
        <v>43</v>
      </c>
      <c r="E682" s="437">
        <v>2400</v>
      </c>
    </row>
    <row r="683" spans="1:5" x14ac:dyDescent="0.25">
      <c r="A683" t="s">
        <v>114</v>
      </c>
      <c r="B683">
        <v>2015</v>
      </c>
      <c r="C683" t="s">
        <v>205</v>
      </c>
      <c r="D683" s="437" t="s">
        <v>42</v>
      </c>
      <c r="E683" s="437">
        <v>17</v>
      </c>
    </row>
    <row r="684" spans="1:5" x14ac:dyDescent="0.25">
      <c r="A684" t="s">
        <v>114</v>
      </c>
      <c r="B684">
        <v>2015</v>
      </c>
      <c r="C684" t="s">
        <v>205</v>
      </c>
      <c r="D684" s="437" t="s">
        <v>44</v>
      </c>
      <c r="E684" s="437">
        <v>0</v>
      </c>
    </row>
    <row r="685" spans="1:5" x14ac:dyDescent="0.25">
      <c r="A685" t="s">
        <v>114</v>
      </c>
      <c r="B685">
        <v>2015</v>
      </c>
      <c r="C685" t="s">
        <v>205</v>
      </c>
      <c r="D685" s="437" t="s">
        <v>397</v>
      </c>
      <c r="E685" s="437">
        <v>7</v>
      </c>
    </row>
    <row r="686" spans="1:5" x14ac:dyDescent="0.25">
      <c r="A686" t="s">
        <v>114</v>
      </c>
      <c r="B686">
        <v>2015</v>
      </c>
      <c r="C686" t="s">
        <v>205</v>
      </c>
      <c r="D686" s="437" t="s">
        <v>133</v>
      </c>
      <c r="E686" s="437">
        <v>534</v>
      </c>
    </row>
    <row r="687" spans="1:5" x14ac:dyDescent="0.25">
      <c r="A687" t="s">
        <v>114</v>
      </c>
      <c r="B687">
        <v>2015</v>
      </c>
      <c r="C687" t="s">
        <v>205</v>
      </c>
      <c r="D687" s="437" t="s">
        <v>597</v>
      </c>
      <c r="E687" s="437">
        <v>1804</v>
      </c>
    </row>
    <row r="688" spans="1:5" x14ac:dyDescent="0.25">
      <c r="A688" t="s">
        <v>114</v>
      </c>
      <c r="B688">
        <v>2015</v>
      </c>
      <c r="C688" t="s">
        <v>205</v>
      </c>
      <c r="D688" s="437" t="s">
        <v>596</v>
      </c>
      <c r="E688" s="437">
        <v>4662</v>
      </c>
    </row>
    <row r="689" spans="1:5" x14ac:dyDescent="0.25">
      <c r="A689" t="s">
        <v>114</v>
      </c>
      <c r="B689">
        <v>2015</v>
      </c>
      <c r="C689" t="s">
        <v>205</v>
      </c>
      <c r="D689" s="437" t="s">
        <v>413</v>
      </c>
      <c r="E689" s="437">
        <v>318</v>
      </c>
    </row>
    <row r="690" spans="1:5" x14ac:dyDescent="0.25">
      <c r="A690" t="s">
        <v>200</v>
      </c>
      <c r="B690">
        <v>2015</v>
      </c>
      <c r="C690" t="s">
        <v>205</v>
      </c>
      <c r="D690" s="437" t="s">
        <v>57</v>
      </c>
      <c r="E690" s="437">
        <v>0</v>
      </c>
    </row>
    <row r="691" spans="1:5" x14ac:dyDescent="0.25">
      <c r="A691" t="s">
        <v>200</v>
      </c>
      <c r="B691">
        <v>2015</v>
      </c>
      <c r="C691" t="s">
        <v>205</v>
      </c>
      <c r="D691" s="437" t="s">
        <v>348</v>
      </c>
      <c r="E691" s="437">
        <v>0</v>
      </c>
    </row>
    <row r="692" spans="1:5" x14ac:dyDescent="0.25">
      <c r="A692" t="s">
        <v>200</v>
      </c>
      <c r="B692">
        <v>2015</v>
      </c>
      <c r="C692" t="s">
        <v>205</v>
      </c>
      <c r="D692" s="437" t="s">
        <v>349</v>
      </c>
      <c r="E692" s="437">
        <v>0</v>
      </c>
    </row>
    <row r="693" spans="1:5" x14ac:dyDescent="0.25">
      <c r="A693" t="s">
        <v>200</v>
      </c>
      <c r="B693">
        <v>2015</v>
      </c>
      <c r="C693" t="s">
        <v>205</v>
      </c>
      <c r="D693" s="437" t="s">
        <v>595</v>
      </c>
      <c r="E693" s="437">
        <v>0</v>
      </c>
    </row>
    <row r="694" spans="1:5" x14ac:dyDescent="0.25">
      <c r="A694" t="s">
        <v>200</v>
      </c>
      <c r="B694">
        <v>2015</v>
      </c>
      <c r="C694" t="s">
        <v>205</v>
      </c>
      <c r="D694" s="437" t="s">
        <v>352</v>
      </c>
      <c r="E694" s="437">
        <v>11</v>
      </c>
    </row>
    <row r="695" spans="1:5" x14ac:dyDescent="0.25">
      <c r="A695" t="s">
        <v>200</v>
      </c>
      <c r="B695">
        <v>2015</v>
      </c>
      <c r="C695" t="s">
        <v>205</v>
      </c>
      <c r="D695" s="437" t="s">
        <v>43</v>
      </c>
      <c r="E695" s="437">
        <v>2</v>
      </c>
    </row>
    <row r="696" spans="1:5" x14ac:dyDescent="0.25">
      <c r="A696" t="s">
        <v>200</v>
      </c>
      <c r="B696">
        <v>2015</v>
      </c>
      <c r="C696" t="s">
        <v>205</v>
      </c>
      <c r="D696" s="437" t="s">
        <v>42</v>
      </c>
      <c r="E696" s="437">
        <v>18</v>
      </c>
    </row>
    <row r="697" spans="1:5" x14ac:dyDescent="0.25">
      <c r="A697" t="s">
        <v>200</v>
      </c>
      <c r="B697">
        <v>2015</v>
      </c>
      <c r="C697" t="s">
        <v>205</v>
      </c>
      <c r="D697" s="437" t="s">
        <v>44</v>
      </c>
      <c r="E697" s="437">
        <v>0</v>
      </c>
    </row>
    <row r="698" spans="1:5" x14ac:dyDescent="0.25">
      <c r="A698" t="s">
        <v>200</v>
      </c>
      <c r="B698">
        <v>2015</v>
      </c>
      <c r="C698" t="s">
        <v>205</v>
      </c>
      <c r="D698" s="437" t="s">
        <v>397</v>
      </c>
      <c r="E698" s="437">
        <v>0</v>
      </c>
    </row>
    <row r="699" spans="1:5" x14ac:dyDescent="0.25">
      <c r="A699" t="s">
        <v>200</v>
      </c>
      <c r="B699">
        <v>2015</v>
      </c>
      <c r="C699" t="s">
        <v>205</v>
      </c>
      <c r="D699" s="437" t="s">
        <v>133</v>
      </c>
      <c r="E699" s="437">
        <v>1972</v>
      </c>
    </row>
    <row r="700" spans="1:5" x14ac:dyDescent="0.25">
      <c r="A700" t="s">
        <v>200</v>
      </c>
      <c r="B700">
        <v>2015</v>
      </c>
      <c r="C700" t="s">
        <v>205</v>
      </c>
      <c r="D700" s="437" t="s">
        <v>597</v>
      </c>
      <c r="E700" s="437">
        <v>1622</v>
      </c>
    </row>
    <row r="701" spans="1:5" x14ac:dyDescent="0.25">
      <c r="A701" t="s">
        <v>200</v>
      </c>
      <c r="B701">
        <v>2015</v>
      </c>
      <c r="C701" t="s">
        <v>205</v>
      </c>
      <c r="D701" s="437" t="s">
        <v>596</v>
      </c>
      <c r="E701" s="437">
        <v>2327</v>
      </c>
    </row>
    <row r="702" spans="1:5" x14ac:dyDescent="0.25">
      <c r="A702" t="s">
        <v>200</v>
      </c>
      <c r="B702">
        <v>2015</v>
      </c>
      <c r="C702" t="s">
        <v>205</v>
      </c>
      <c r="D702" s="437" t="s">
        <v>413</v>
      </c>
      <c r="E702" s="437">
        <v>661</v>
      </c>
    </row>
    <row r="703" spans="1:5" x14ac:dyDescent="0.25">
      <c r="A703" t="s">
        <v>115</v>
      </c>
      <c r="B703">
        <v>2015</v>
      </c>
      <c r="C703" t="s">
        <v>205</v>
      </c>
      <c r="D703" s="437" t="s">
        <v>57</v>
      </c>
      <c r="E703" s="437">
        <v>0</v>
      </c>
    </row>
    <row r="704" spans="1:5" x14ac:dyDescent="0.25">
      <c r="A704" t="s">
        <v>115</v>
      </c>
      <c r="B704">
        <v>2015</v>
      </c>
      <c r="C704" t="s">
        <v>205</v>
      </c>
      <c r="D704" s="437" t="s">
        <v>348</v>
      </c>
      <c r="E704" s="437">
        <v>0</v>
      </c>
    </row>
    <row r="705" spans="1:5" x14ac:dyDescent="0.25">
      <c r="A705" t="s">
        <v>115</v>
      </c>
      <c r="B705">
        <v>2015</v>
      </c>
      <c r="C705" t="s">
        <v>205</v>
      </c>
      <c r="D705" s="437" t="s">
        <v>349</v>
      </c>
      <c r="E705" s="437">
        <v>8800</v>
      </c>
    </row>
    <row r="706" spans="1:5" x14ac:dyDescent="0.25">
      <c r="A706" t="s">
        <v>115</v>
      </c>
      <c r="B706">
        <v>2015</v>
      </c>
      <c r="C706" t="s">
        <v>205</v>
      </c>
      <c r="D706" s="437" t="s">
        <v>595</v>
      </c>
      <c r="E706" s="437">
        <v>51500</v>
      </c>
    </row>
    <row r="707" spans="1:5" x14ac:dyDescent="0.25">
      <c r="A707" t="s">
        <v>115</v>
      </c>
      <c r="B707">
        <v>2015</v>
      </c>
      <c r="C707" t="s">
        <v>205</v>
      </c>
      <c r="D707" s="437" t="s">
        <v>352</v>
      </c>
      <c r="E707" s="437">
        <v>9400</v>
      </c>
    </row>
    <row r="708" spans="1:5" x14ac:dyDescent="0.25">
      <c r="A708" t="s">
        <v>115</v>
      </c>
      <c r="B708">
        <v>2015</v>
      </c>
      <c r="C708" t="s">
        <v>205</v>
      </c>
      <c r="D708" s="437" t="s">
        <v>43</v>
      </c>
      <c r="E708" s="437">
        <v>8750</v>
      </c>
    </row>
    <row r="709" spans="1:5" x14ac:dyDescent="0.25">
      <c r="A709" t="s">
        <v>115</v>
      </c>
      <c r="B709">
        <v>2015</v>
      </c>
      <c r="C709" t="s">
        <v>205</v>
      </c>
      <c r="D709" s="437" t="s">
        <v>42</v>
      </c>
      <c r="E709" s="437">
        <v>19</v>
      </c>
    </row>
    <row r="710" spans="1:5" x14ac:dyDescent="0.25">
      <c r="A710" t="s">
        <v>115</v>
      </c>
      <c r="B710">
        <v>2015</v>
      </c>
      <c r="C710" t="s">
        <v>205</v>
      </c>
      <c r="D710" s="437" t="s">
        <v>44</v>
      </c>
      <c r="E710" s="437">
        <v>19100</v>
      </c>
    </row>
    <row r="711" spans="1:5" x14ac:dyDescent="0.25">
      <c r="A711" t="s">
        <v>115</v>
      </c>
      <c r="B711">
        <v>2015</v>
      </c>
      <c r="C711" t="s">
        <v>205</v>
      </c>
      <c r="D711" s="437" t="s">
        <v>397</v>
      </c>
      <c r="E711" s="437">
        <v>3700</v>
      </c>
    </row>
    <row r="712" spans="1:5" x14ac:dyDescent="0.25">
      <c r="A712" t="s">
        <v>115</v>
      </c>
      <c r="B712">
        <v>2015</v>
      </c>
      <c r="C712" t="s">
        <v>205</v>
      </c>
      <c r="D712" s="437" t="s">
        <v>133</v>
      </c>
      <c r="E712" s="437">
        <v>22150</v>
      </c>
    </row>
    <row r="713" spans="1:5" x14ac:dyDescent="0.25">
      <c r="A713" t="s">
        <v>115</v>
      </c>
      <c r="B713">
        <v>2015</v>
      </c>
      <c r="C713" t="s">
        <v>205</v>
      </c>
      <c r="D713" s="437" t="s">
        <v>597</v>
      </c>
      <c r="E713" s="437">
        <v>18785</v>
      </c>
    </row>
    <row r="714" spans="1:5" x14ac:dyDescent="0.25">
      <c r="A714" t="s">
        <v>115</v>
      </c>
      <c r="B714">
        <v>2015</v>
      </c>
      <c r="C714" t="s">
        <v>205</v>
      </c>
      <c r="D714" s="437" t="s">
        <v>596</v>
      </c>
      <c r="E714" s="437">
        <v>59648</v>
      </c>
    </row>
    <row r="715" spans="1:5" x14ac:dyDescent="0.25">
      <c r="A715" t="s">
        <v>115</v>
      </c>
      <c r="B715">
        <v>2015</v>
      </c>
      <c r="C715" t="s">
        <v>205</v>
      </c>
      <c r="D715" s="437" t="s">
        <v>413</v>
      </c>
      <c r="E715" s="437">
        <v>780</v>
      </c>
    </row>
    <row r="716" spans="1:5" x14ac:dyDescent="0.25">
      <c r="A716" t="s">
        <v>116</v>
      </c>
      <c r="B716">
        <v>2015</v>
      </c>
      <c r="C716" t="s">
        <v>205</v>
      </c>
      <c r="D716" s="437" t="s">
        <v>57</v>
      </c>
      <c r="E716" s="437">
        <v>0</v>
      </c>
    </row>
    <row r="717" spans="1:5" x14ac:dyDescent="0.25">
      <c r="A717" t="s">
        <v>116</v>
      </c>
      <c r="B717">
        <v>2015</v>
      </c>
      <c r="C717" t="s">
        <v>205</v>
      </c>
      <c r="D717" s="437" t="s">
        <v>348</v>
      </c>
      <c r="E717" s="437">
        <v>0</v>
      </c>
    </row>
    <row r="718" spans="1:5" x14ac:dyDescent="0.25">
      <c r="A718" t="s">
        <v>116</v>
      </c>
      <c r="B718">
        <v>2015</v>
      </c>
      <c r="C718" t="s">
        <v>205</v>
      </c>
      <c r="D718" s="437" t="s">
        <v>349</v>
      </c>
      <c r="E718" s="437">
        <v>0</v>
      </c>
    </row>
    <row r="719" spans="1:5" x14ac:dyDescent="0.25">
      <c r="A719" t="s">
        <v>116</v>
      </c>
      <c r="B719">
        <v>2015</v>
      </c>
      <c r="C719" t="s">
        <v>205</v>
      </c>
      <c r="D719" s="437" t="s">
        <v>595</v>
      </c>
      <c r="E719" s="437">
        <v>553</v>
      </c>
    </row>
    <row r="720" spans="1:5" x14ac:dyDescent="0.25">
      <c r="A720" t="s">
        <v>116</v>
      </c>
      <c r="B720">
        <v>2015</v>
      </c>
      <c r="C720" t="s">
        <v>205</v>
      </c>
      <c r="D720" s="437" t="s">
        <v>352</v>
      </c>
      <c r="E720" s="437">
        <v>1779</v>
      </c>
    </row>
    <row r="721" spans="1:5" x14ac:dyDescent="0.25">
      <c r="A721" t="s">
        <v>116</v>
      </c>
      <c r="B721">
        <v>2015</v>
      </c>
      <c r="C721" t="s">
        <v>205</v>
      </c>
      <c r="D721" s="437" t="s">
        <v>43</v>
      </c>
      <c r="E721" s="437">
        <v>290</v>
      </c>
    </row>
    <row r="722" spans="1:5" x14ac:dyDescent="0.25">
      <c r="A722" t="s">
        <v>116</v>
      </c>
      <c r="B722">
        <v>2015</v>
      </c>
      <c r="C722" t="s">
        <v>205</v>
      </c>
      <c r="D722" s="437" t="s">
        <v>42</v>
      </c>
      <c r="E722" s="437">
        <v>20</v>
      </c>
    </row>
    <row r="723" spans="1:5" x14ac:dyDescent="0.25">
      <c r="A723" t="s">
        <v>116</v>
      </c>
      <c r="B723">
        <v>2015</v>
      </c>
      <c r="C723" t="s">
        <v>205</v>
      </c>
      <c r="D723" s="437" t="s">
        <v>44</v>
      </c>
      <c r="E723" s="437">
        <v>69</v>
      </c>
    </row>
    <row r="724" spans="1:5" x14ac:dyDescent="0.25">
      <c r="A724" t="s">
        <v>116</v>
      </c>
      <c r="B724">
        <v>2015</v>
      </c>
      <c r="C724" t="s">
        <v>205</v>
      </c>
      <c r="D724" s="437" t="s">
        <v>397</v>
      </c>
      <c r="E724" s="437">
        <v>77</v>
      </c>
    </row>
    <row r="725" spans="1:5" x14ac:dyDescent="0.25">
      <c r="A725" t="s">
        <v>116</v>
      </c>
      <c r="B725">
        <v>2015</v>
      </c>
      <c r="C725" t="s">
        <v>205</v>
      </c>
      <c r="D725" s="437" t="s">
        <v>133</v>
      </c>
      <c r="E725" s="437">
        <v>126</v>
      </c>
    </row>
    <row r="726" spans="1:5" x14ac:dyDescent="0.25">
      <c r="A726" t="s">
        <v>116</v>
      </c>
      <c r="B726">
        <v>2015</v>
      </c>
      <c r="C726" t="s">
        <v>205</v>
      </c>
      <c r="D726" s="437" t="s">
        <v>597</v>
      </c>
      <c r="E726" s="437">
        <v>784</v>
      </c>
    </row>
    <row r="727" spans="1:5" x14ac:dyDescent="0.25">
      <c r="A727" t="s">
        <v>116</v>
      </c>
      <c r="B727">
        <v>2015</v>
      </c>
      <c r="C727" t="s">
        <v>205</v>
      </c>
      <c r="D727" s="437" t="s">
        <v>596</v>
      </c>
      <c r="E727" s="437">
        <v>1748</v>
      </c>
    </row>
    <row r="728" spans="1:5" x14ac:dyDescent="0.25">
      <c r="A728" t="s">
        <v>116</v>
      </c>
      <c r="B728">
        <v>2015</v>
      </c>
      <c r="C728" t="s">
        <v>205</v>
      </c>
      <c r="D728" s="437" t="s">
        <v>413</v>
      </c>
      <c r="E728" s="437">
        <v>900</v>
      </c>
    </row>
    <row r="729" spans="1:5" x14ac:dyDescent="0.25">
      <c r="A729" t="s">
        <v>117</v>
      </c>
      <c r="B729">
        <v>2015</v>
      </c>
      <c r="C729" t="s">
        <v>205</v>
      </c>
      <c r="D729" s="437" t="s">
        <v>57</v>
      </c>
      <c r="E729" s="437">
        <v>0</v>
      </c>
    </row>
    <row r="730" spans="1:5" x14ac:dyDescent="0.25">
      <c r="A730" t="s">
        <v>117</v>
      </c>
      <c r="B730">
        <v>2015</v>
      </c>
      <c r="C730" t="s">
        <v>205</v>
      </c>
      <c r="D730" s="437" t="s">
        <v>348</v>
      </c>
      <c r="E730" s="437">
        <v>0</v>
      </c>
    </row>
    <row r="731" spans="1:5" x14ac:dyDescent="0.25">
      <c r="A731" t="s">
        <v>117</v>
      </c>
      <c r="B731">
        <v>2015</v>
      </c>
      <c r="C731" t="s">
        <v>205</v>
      </c>
      <c r="D731" s="437" t="s">
        <v>349</v>
      </c>
      <c r="E731" s="437">
        <v>0</v>
      </c>
    </row>
    <row r="732" spans="1:5" x14ac:dyDescent="0.25">
      <c r="A732" t="s">
        <v>117</v>
      </c>
      <c r="B732">
        <v>2015</v>
      </c>
      <c r="C732" t="s">
        <v>205</v>
      </c>
      <c r="D732" s="437" t="s">
        <v>595</v>
      </c>
      <c r="E732" s="437">
        <v>495</v>
      </c>
    </row>
    <row r="733" spans="1:5" x14ac:dyDescent="0.25">
      <c r="A733" t="s">
        <v>117</v>
      </c>
      <c r="B733">
        <v>2015</v>
      </c>
      <c r="C733" t="s">
        <v>205</v>
      </c>
      <c r="D733" s="437" t="s">
        <v>352</v>
      </c>
      <c r="E733" s="437">
        <v>0</v>
      </c>
    </row>
    <row r="734" spans="1:5" x14ac:dyDescent="0.25">
      <c r="A734" t="s">
        <v>117</v>
      </c>
      <c r="B734">
        <v>2015</v>
      </c>
      <c r="C734" t="s">
        <v>205</v>
      </c>
      <c r="D734" s="437" t="s">
        <v>43</v>
      </c>
      <c r="E734" s="437">
        <v>60</v>
      </c>
    </row>
    <row r="735" spans="1:5" x14ac:dyDescent="0.25">
      <c r="A735" t="s">
        <v>117</v>
      </c>
      <c r="B735">
        <v>2015</v>
      </c>
      <c r="C735" t="s">
        <v>205</v>
      </c>
      <c r="D735" s="437" t="s">
        <v>42</v>
      </c>
      <c r="E735" s="437">
        <v>21</v>
      </c>
    </row>
    <row r="736" spans="1:5" x14ac:dyDescent="0.25">
      <c r="A736" t="s">
        <v>117</v>
      </c>
      <c r="B736">
        <v>2015</v>
      </c>
      <c r="C736" t="s">
        <v>205</v>
      </c>
      <c r="D736" s="437" t="s">
        <v>44</v>
      </c>
      <c r="E736" s="437">
        <v>116</v>
      </c>
    </row>
    <row r="737" spans="1:5" x14ac:dyDescent="0.25">
      <c r="A737" t="s">
        <v>117</v>
      </c>
      <c r="B737">
        <v>2015</v>
      </c>
      <c r="C737" t="s">
        <v>205</v>
      </c>
      <c r="D737" s="437" t="s">
        <v>397</v>
      </c>
      <c r="E737" s="437">
        <v>11</v>
      </c>
    </row>
    <row r="738" spans="1:5" x14ac:dyDescent="0.25">
      <c r="A738" t="s">
        <v>117</v>
      </c>
      <c r="B738">
        <v>2015</v>
      </c>
      <c r="C738" t="s">
        <v>205</v>
      </c>
      <c r="D738" s="437" t="s">
        <v>133</v>
      </c>
      <c r="E738" s="437">
        <v>1334</v>
      </c>
    </row>
    <row r="739" spans="1:5" x14ac:dyDescent="0.25">
      <c r="A739" t="s">
        <v>117</v>
      </c>
      <c r="B739">
        <v>2015</v>
      </c>
      <c r="C739" t="s">
        <v>205</v>
      </c>
      <c r="D739" s="437" t="s">
        <v>597</v>
      </c>
      <c r="E739" s="437">
        <v>339</v>
      </c>
    </row>
    <row r="740" spans="1:5" x14ac:dyDescent="0.25">
      <c r="A740" t="s">
        <v>117</v>
      </c>
      <c r="B740">
        <v>2015</v>
      </c>
      <c r="C740" t="s">
        <v>205</v>
      </c>
      <c r="D740" s="437" t="s">
        <v>596</v>
      </c>
      <c r="E740" s="437">
        <v>1087</v>
      </c>
    </row>
    <row r="741" spans="1:5" x14ac:dyDescent="0.25">
      <c r="A741" t="s">
        <v>117</v>
      </c>
      <c r="B741">
        <v>2015</v>
      </c>
      <c r="C741" t="s">
        <v>205</v>
      </c>
      <c r="D741" s="437" t="s">
        <v>413</v>
      </c>
      <c r="E741" s="437">
        <v>21</v>
      </c>
    </row>
    <row r="742" spans="1:5" x14ac:dyDescent="0.25">
      <c r="A742" t="s">
        <v>201</v>
      </c>
      <c r="B742">
        <v>2015</v>
      </c>
      <c r="C742" t="s">
        <v>205</v>
      </c>
      <c r="D742" s="437" t="s">
        <v>57</v>
      </c>
      <c r="E742" s="437">
        <v>0</v>
      </c>
    </row>
    <row r="743" spans="1:5" x14ac:dyDescent="0.25">
      <c r="A743" t="s">
        <v>201</v>
      </c>
      <c r="B743">
        <v>2015</v>
      </c>
      <c r="C743" t="s">
        <v>205</v>
      </c>
      <c r="D743" s="437" t="s">
        <v>348</v>
      </c>
      <c r="E743" s="437">
        <v>0</v>
      </c>
    </row>
    <row r="744" spans="1:5" x14ac:dyDescent="0.25">
      <c r="A744" t="s">
        <v>201</v>
      </c>
      <c r="B744">
        <v>2015</v>
      </c>
      <c r="C744" t="s">
        <v>205</v>
      </c>
      <c r="D744" s="437" t="s">
        <v>349</v>
      </c>
      <c r="E744" s="437">
        <v>0</v>
      </c>
    </row>
    <row r="745" spans="1:5" x14ac:dyDescent="0.25">
      <c r="A745" t="s">
        <v>201</v>
      </c>
      <c r="B745">
        <v>2015</v>
      </c>
      <c r="C745" t="s">
        <v>205</v>
      </c>
      <c r="D745" s="437" t="s">
        <v>595</v>
      </c>
      <c r="E745" s="437">
        <v>1031</v>
      </c>
    </row>
    <row r="746" spans="1:5" x14ac:dyDescent="0.25">
      <c r="A746" t="s">
        <v>201</v>
      </c>
      <c r="B746">
        <v>2015</v>
      </c>
      <c r="C746" t="s">
        <v>205</v>
      </c>
      <c r="D746" s="437" t="s">
        <v>352</v>
      </c>
      <c r="E746" s="437">
        <v>113</v>
      </c>
    </row>
    <row r="747" spans="1:5" x14ac:dyDescent="0.25">
      <c r="A747" t="s">
        <v>201</v>
      </c>
      <c r="B747">
        <v>2015</v>
      </c>
      <c r="C747" t="s">
        <v>205</v>
      </c>
      <c r="D747" s="437" t="s">
        <v>43</v>
      </c>
      <c r="E747" s="437">
        <v>70</v>
      </c>
    </row>
    <row r="748" spans="1:5" x14ac:dyDescent="0.25">
      <c r="A748" t="s">
        <v>201</v>
      </c>
      <c r="B748">
        <v>2015</v>
      </c>
      <c r="C748" t="s">
        <v>205</v>
      </c>
      <c r="D748" s="437" t="s">
        <v>42</v>
      </c>
      <c r="E748" s="437">
        <v>22</v>
      </c>
    </row>
    <row r="749" spans="1:5" x14ac:dyDescent="0.25">
      <c r="A749" t="s">
        <v>201</v>
      </c>
      <c r="B749">
        <v>2015</v>
      </c>
      <c r="C749" t="s">
        <v>205</v>
      </c>
      <c r="D749" s="437" t="s">
        <v>44</v>
      </c>
      <c r="E749" s="437">
        <v>0</v>
      </c>
    </row>
    <row r="750" spans="1:5" x14ac:dyDescent="0.25">
      <c r="A750" t="s">
        <v>201</v>
      </c>
      <c r="B750">
        <v>2015</v>
      </c>
      <c r="C750" t="s">
        <v>205</v>
      </c>
      <c r="D750" s="437" t="s">
        <v>397</v>
      </c>
      <c r="E750" s="437">
        <v>113</v>
      </c>
    </row>
    <row r="751" spans="1:5" x14ac:dyDescent="0.25">
      <c r="A751" t="s">
        <v>201</v>
      </c>
      <c r="B751">
        <v>2015</v>
      </c>
      <c r="C751" t="s">
        <v>205</v>
      </c>
      <c r="D751" s="437" t="s">
        <v>133</v>
      </c>
      <c r="E751" s="437">
        <v>1556</v>
      </c>
    </row>
    <row r="752" spans="1:5" x14ac:dyDescent="0.25">
      <c r="A752" t="s">
        <v>201</v>
      </c>
      <c r="B752">
        <v>2015</v>
      </c>
      <c r="C752" t="s">
        <v>205</v>
      </c>
      <c r="D752" s="437" t="s">
        <v>597</v>
      </c>
      <c r="E752" s="437">
        <v>438</v>
      </c>
    </row>
    <row r="753" spans="1:5" x14ac:dyDescent="0.25">
      <c r="A753" t="s">
        <v>201</v>
      </c>
      <c r="B753">
        <v>2015</v>
      </c>
      <c r="C753" t="s">
        <v>205</v>
      </c>
      <c r="D753" s="437" t="s">
        <v>596</v>
      </c>
      <c r="E753" s="437">
        <v>1225</v>
      </c>
    </row>
    <row r="754" spans="1:5" x14ac:dyDescent="0.25">
      <c r="A754" t="s">
        <v>201</v>
      </c>
      <c r="B754">
        <v>2015</v>
      </c>
      <c r="C754" t="s">
        <v>205</v>
      </c>
      <c r="D754" s="437" t="s">
        <v>413</v>
      </c>
      <c r="E754" s="437">
        <v>0</v>
      </c>
    </row>
    <row r="755" spans="1:5" x14ac:dyDescent="0.25">
      <c r="A755" t="s">
        <v>583</v>
      </c>
      <c r="B755">
        <v>2015</v>
      </c>
      <c r="C755" t="s">
        <v>205</v>
      </c>
      <c r="D755" s="437" t="s">
        <v>57</v>
      </c>
      <c r="E755" s="437">
        <v>0</v>
      </c>
    </row>
    <row r="756" spans="1:5" x14ac:dyDescent="0.25">
      <c r="A756" t="s">
        <v>583</v>
      </c>
      <c r="B756">
        <v>2015</v>
      </c>
      <c r="C756" t="s">
        <v>205</v>
      </c>
      <c r="D756" s="437" t="s">
        <v>348</v>
      </c>
      <c r="E756" s="437">
        <v>0</v>
      </c>
    </row>
    <row r="757" spans="1:5" x14ac:dyDescent="0.25">
      <c r="A757" t="s">
        <v>583</v>
      </c>
      <c r="B757">
        <v>2015</v>
      </c>
      <c r="C757" t="s">
        <v>205</v>
      </c>
      <c r="D757" s="437" t="s">
        <v>349</v>
      </c>
      <c r="E757" s="437">
        <v>3836</v>
      </c>
    </row>
    <row r="758" spans="1:5" x14ac:dyDescent="0.25">
      <c r="A758" t="s">
        <v>583</v>
      </c>
      <c r="B758">
        <v>2015</v>
      </c>
      <c r="C758" t="s">
        <v>205</v>
      </c>
      <c r="D758" s="437" t="s">
        <v>595</v>
      </c>
      <c r="E758" s="437">
        <v>2064</v>
      </c>
    </row>
    <row r="759" spans="1:5" x14ac:dyDescent="0.25">
      <c r="A759" t="s">
        <v>583</v>
      </c>
      <c r="B759">
        <v>2015</v>
      </c>
      <c r="C759" t="s">
        <v>205</v>
      </c>
      <c r="D759" s="437" t="s">
        <v>352</v>
      </c>
      <c r="E759" s="437">
        <v>4</v>
      </c>
    </row>
    <row r="760" spans="1:5" x14ac:dyDescent="0.25">
      <c r="A760" t="s">
        <v>583</v>
      </c>
      <c r="B760">
        <v>2015</v>
      </c>
      <c r="C760" t="s">
        <v>205</v>
      </c>
      <c r="D760" s="437" t="s">
        <v>43</v>
      </c>
      <c r="E760" s="437">
        <v>1447</v>
      </c>
    </row>
    <row r="761" spans="1:5" x14ac:dyDescent="0.25">
      <c r="A761" t="s">
        <v>583</v>
      </c>
      <c r="B761">
        <v>2015</v>
      </c>
      <c r="C761" t="s">
        <v>205</v>
      </c>
      <c r="D761" s="437" t="s">
        <v>42</v>
      </c>
      <c r="E761" s="437">
        <v>25</v>
      </c>
    </row>
    <row r="762" spans="1:5" x14ac:dyDescent="0.25">
      <c r="A762" t="s">
        <v>583</v>
      </c>
      <c r="B762">
        <v>2015</v>
      </c>
      <c r="C762" t="s">
        <v>205</v>
      </c>
      <c r="D762" s="437" t="s">
        <v>44</v>
      </c>
      <c r="E762" s="437">
        <v>0</v>
      </c>
    </row>
    <row r="763" spans="1:5" x14ac:dyDescent="0.25">
      <c r="A763" t="s">
        <v>583</v>
      </c>
      <c r="B763">
        <v>2015</v>
      </c>
      <c r="C763" t="s">
        <v>205</v>
      </c>
      <c r="D763" s="437" t="s">
        <v>397</v>
      </c>
      <c r="E763" s="437">
        <v>43</v>
      </c>
    </row>
    <row r="764" spans="1:5" x14ac:dyDescent="0.25">
      <c r="A764" t="s">
        <v>583</v>
      </c>
      <c r="B764">
        <v>2015</v>
      </c>
      <c r="C764" t="s">
        <v>205</v>
      </c>
      <c r="D764" s="437" t="s">
        <v>133</v>
      </c>
      <c r="E764" s="437">
        <v>12</v>
      </c>
    </row>
    <row r="765" spans="1:5" x14ac:dyDescent="0.25">
      <c r="A765" t="s">
        <v>583</v>
      </c>
      <c r="B765">
        <v>2015</v>
      </c>
      <c r="C765" t="s">
        <v>205</v>
      </c>
      <c r="D765" s="437" t="s">
        <v>597</v>
      </c>
      <c r="E765" s="437">
        <v>538</v>
      </c>
    </row>
    <row r="766" spans="1:5" x14ac:dyDescent="0.25">
      <c r="A766" t="s">
        <v>583</v>
      </c>
      <c r="B766">
        <v>2015</v>
      </c>
      <c r="C766" t="s">
        <v>205</v>
      </c>
      <c r="D766" s="437" t="s">
        <v>596</v>
      </c>
      <c r="E766" s="437">
        <v>1737</v>
      </c>
    </row>
    <row r="767" spans="1:5" x14ac:dyDescent="0.25">
      <c r="A767" t="s">
        <v>583</v>
      </c>
      <c r="B767">
        <v>2015</v>
      </c>
      <c r="C767" t="s">
        <v>205</v>
      </c>
      <c r="D767" s="437" t="s">
        <v>413</v>
      </c>
      <c r="E767" s="437">
        <v>60</v>
      </c>
    </row>
    <row r="768" spans="1:5" x14ac:dyDescent="0.25">
      <c r="A768" t="s">
        <v>120</v>
      </c>
      <c r="B768">
        <v>2015</v>
      </c>
      <c r="C768" t="s">
        <v>205</v>
      </c>
      <c r="D768" s="437" t="s">
        <v>57</v>
      </c>
      <c r="E768" s="437">
        <v>486</v>
      </c>
    </row>
    <row r="769" spans="1:5" x14ac:dyDescent="0.25">
      <c r="A769" t="s">
        <v>120</v>
      </c>
      <c r="B769">
        <v>2015</v>
      </c>
      <c r="C769" t="s">
        <v>205</v>
      </c>
      <c r="D769" s="437" t="s">
        <v>348</v>
      </c>
      <c r="E769" s="437">
        <v>0</v>
      </c>
    </row>
    <row r="770" spans="1:5" x14ac:dyDescent="0.25">
      <c r="A770" t="s">
        <v>120</v>
      </c>
      <c r="B770">
        <v>2015</v>
      </c>
      <c r="C770" t="s">
        <v>205</v>
      </c>
      <c r="D770" s="437" t="s">
        <v>349</v>
      </c>
      <c r="E770" s="437">
        <v>5658</v>
      </c>
    </row>
    <row r="771" spans="1:5" x14ac:dyDescent="0.25">
      <c r="A771" t="s">
        <v>120</v>
      </c>
      <c r="B771">
        <v>2015</v>
      </c>
      <c r="C771" t="s">
        <v>205</v>
      </c>
      <c r="D771" s="437" t="s">
        <v>595</v>
      </c>
      <c r="E771" s="437">
        <v>19914</v>
      </c>
    </row>
    <row r="772" spans="1:5" x14ac:dyDescent="0.25">
      <c r="A772" t="s">
        <v>120</v>
      </c>
      <c r="B772">
        <v>2015</v>
      </c>
      <c r="C772" t="s">
        <v>205</v>
      </c>
      <c r="D772" s="437" t="s">
        <v>352</v>
      </c>
      <c r="E772" s="437">
        <v>0</v>
      </c>
    </row>
    <row r="773" spans="1:5" x14ac:dyDescent="0.25">
      <c r="A773" t="s">
        <v>120</v>
      </c>
      <c r="B773">
        <v>2015</v>
      </c>
      <c r="C773" t="s">
        <v>205</v>
      </c>
      <c r="D773" s="437" t="s">
        <v>43</v>
      </c>
      <c r="E773" s="437">
        <v>3641</v>
      </c>
    </row>
    <row r="774" spans="1:5" x14ac:dyDescent="0.25">
      <c r="A774" t="s">
        <v>120</v>
      </c>
      <c r="B774">
        <v>2015</v>
      </c>
      <c r="C774" t="s">
        <v>205</v>
      </c>
      <c r="D774" s="437" t="s">
        <v>42</v>
      </c>
      <c r="E774" s="437">
        <v>26</v>
      </c>
    </row>
    <row r="775" spans="1:5" x14ac:dyDescent="0.25">
      <c r="A775" t="s">
        <v>120</v>
      </c>
      <c r="B775">
        <v>2015</v>
      </c>
      <c r="C775" t="s">
        <v>205</v>
      </c>
      <c r="D775" s="437" t="s">
        <v>44</v>
      </c>
      <c r="E775" s="437">
        <v>1429</v>
      </c>
    </row>
    <row r="776" spans="1:5" x14ac:dyDescent="0.25">
      <c r="A776" t="s">
        <v>120</v>
      </c>
      <c r="B776">
        <v>2015</v>
      </c>
      <c r="C776" t="s">
        <v>205</v>
      </c>
      <c r="D776" s="437" t="s">
        <v>397</v>
      </c>
      <c r="E776" s="437">
        <v>398</v>
      </c>
    </row>
    <row r="777" spans="1:5" x14ac:dyDescent="0.25">
      <c r="A777" t="s">
        <v>120</v>
      </c>
      <c r="B777">
        <v>2015</v>
      </c>
      <c r="C777" t="s">
        <v>205</v>
      </c>
      <c r="D777" s="437" t="s">
        <v>133</v>
      </c>
      <c r="E777" s="437">
        <v>38</v>
      </c>
    </row>
    <row r="778" spans="1:5" x14ac:dyDescent="0.25">
      <c r="A778" t="s">
        <v>120</v>
      </c>
      <c r="B778">
        <v>2015</v>
      </c>
      <c r="C778" t="s">
        <v>205</v>
      </c>
      <c r="D778" s="437" t="s">
        <v>597</v>
      </c>
      <c r="E778" s="437">
        <v>8892</v>
      </c>
    </row>
    <row r="779" spans="1:5" x14ac:dyDescent="0.25">
      <c r="A779" t="s">
        <v>120</v>
      </c>
      <c r="B779">
        <v>2015</v>
      </c>
      <c r="C779" t="s">
        <v>205</v>
      </c>
      <c r="D779" s="437" t="s">
        <v>596</v>
      </c>
      <c r="E779" s="437">
        <v>17761</v>
      </c>
    </row>
    <row r="780" spans="1:5" x14ac:dyDescent="0.25">
      <c r="A780" t="s">
        <v>120</v>
      </c>
      <c r="B780">
        <v>2015</v>
      </c>
      <c r="C780" t="s">
        <v>205</v>
      </c>
      <c r="D780" s="437" t="s">
        <v>413</v>
      </c>
      <c r="E780" s="437">
        <v>674</v>
      </c>
    </row>
    <row r="781" spans="1:5" x14ac:dyDescent="0.25">
      <c r="A781" t="s">
        <v>121</v>
      </c>
      <c r="B781">
        <v>2015</v>
      </c>
      <c r="C781" t="s">
        <v>205</v>
      </c>
      <c r="D781" s="437" t="s">
        <v>57</v>
      </c>
      <c r="E781" s="437">
        <v>0</v>
      </c>
    </row>
    <row r="782" spans="1:5" x14ac:dyDescent="0.25">
      <c r="A782" t="s">
        <v>121</v>
      </c>
      <c r="B782">
        <v>2015</v>
      </c>
      <c r="C782" t="s">
        <v>205</v>
      </c>
      <c r="D782" s="437" t="s">
        <v>348</v>
      </c>
      <c r="E782" s="437">
        <v>0</v>
      </c>
    </row>
    <row r="783" spans="1:5" x14ac:dyDescent="0.25">
      <c r="A783" t="s">
        <v>121</v>
      </c>
      <c r="B783">
        <v>2015</v>
      </c>
      <c r="C783" t="s">
        <v>205</v>
      </c>
      <c r="D783" s="437" t="s">
        <v>349</v>
      </c>
      <c r="E783" s="437">
        <v>0</v>
      </c>
    </row>
    <row r="784" spans="1:5" x14ac:dyDescent="0.25">
      <c r="A784" t="s">
        <v>121</v>
      </c>
      <c r="B784">
        <v>2015</v>
      </c>
      <c r="C784" t="s">
        <v>205</v>
      </c>
      <c r="D784" s="437" t="s">
        <v>595</v>
      </c>
      <c r="E784" s="437">
        <v>1600</v>
      </c>
    </row>
    <row r="785" spans="1:5" x14ac:dyDescent="0.25">
      <c r="A785" t="s">
        <v>121</v>
      </c>
      <c r="B785">
        <v>2015</v>
      </c>
      <c r="C785" t="s">
        <v>205</v>
      </c>
      <c r="D785" s="437" t="s">
        <v>352</v>
      </c>
      <c r="E785" s="437">
        <v>0</v>
      </c>
    </row>
    <row r="786" spans="1:5" x14ac:dyDescent="0.25">
      <c r="A786" t="s">
        <v>121</v>
      </c>
      <c r="B786">
        <v>2015</v>
      </c>
      <c r="C786" t="s">
        <v>205</v>
      </c>
      <c r="D786" s="437" t="s">
        <v>43</v>
      </c>
      <c r="E786" s="437">
        <v>860</v>
      </c>
    </row>
    <row r="787" spans="1:5" x14ac:dyDescent="0.25">
      <c r="A787" t="s">
        <v>121</v>
      </c>
      <c r="B787">
        <v>2015</v>
      </c>
      <c r="C787" t="s">
        <v>205</v>
      </c>
      <c r="D787" s="437" t="s">
        <v>42</v>
      </c>
      <c r="E787" s="437">
        <v>27</v>
      </c>
    </row>
    <row r="788" spans="1:5" x14ac:dyDescent="0.25">
      <c r="A788" t="s">
        <v>121</v>
      </c>
      <c r="B788">
        <v>2015</v>
      </c>
      <c r="C788" t="s">
        <v>205</v>
      </c>
      <c r="D788" s="437" t="s">
        <v>44</v>
      </c>
      <c r="E788" s="437">
        <v>0</v>
      </c>
    </row>
    <row r="789" spans="1:5" x14ac:dyDescent="0.25">
      <c r="A789" t="s">
        <v>121</v>
      </c>
      <c r="B789">
        <v>2015</v>
      </c>
      <c r="C789" t="s">
        <v>205</v>
      </c>
      <c r="D789" s="437" t="s">
        <v>397</v>
      </c>
      <c r="E789" s="437">
        <v>32</v>
      </c>
    </row>
    <row r="790" spans="1:5" x14ac:dyDescent="0.25">
      <c r="A790" t="s">
        <v>121</v>
      </c>
      <c r="B790">
        <v>2015</v>
      </c>
      <c r="C790" t="s">
        <v>205</v>
      </c>
      <c r="D790" s="437" t="s">
        <v>133</v>
      </c>
      <c r="E790" s="437">
        <v>31200</v>
      </c>
    </row>
    <row r="791" spans="1:5" x14ac:dyDescent="0.25">
      <c r="A791" t="s">
        <v>121</v>
      </c>
      <c r="B791">
        <v>2015</v>
      </c>
      <c r="C791" t="s">
        <v>205</v>
      </c>
      <c r="D791" s="437" t="s">
        <v>597</v>
      </c>
      <c r="E791" s="437">
        <v>9527</v>
      </c>
    </row>
    <row r="792" spans="1:5" x14ac:dyDescent="0.25">
      <c r="A792" t="s">
        <v>121</v>
      </c>
      <c r="B792">
        <v>2015</v>
      </c>
      <c r="C792" t="s">
        <v>205</v>
      </c>
      <c r="D792" s="437" t="s">
        <v>596</v>
      </c>
      <c r="E792" s="437">
        <v>22530</v>
      </c>
    </row>
    <row r="793" spans="1:5" x14ac:dyDescent="0.25">
      <c r="A793" t="s">
        <v>121</v>
      </c>
      <c r="B793">
        <v>2015</v>
      </c>
      <c r="C793" t="s">
        <v>205</v>
      </c>
      <c r="D793" s="437" t="s">
        <v>413</v>
      </c>
      <c r="E793" s="437">
        <v>0</v>
      </c>
    </row>
    <row r="794" spans="1:5" x14ac:dyDescent="0.25">
      <c r="A794" t="s">
        <v>122</v>
      </c>
      <c r="B794">
        <v>2015</v>
      </c>
      <c r="C794" t="s">
        <v>205</v>
      </c>
      <c r="D794" s="437" t="s">
        <v>57</v>
      </c>
      <c r="E794" s="437">
        <v>0</v>
      </c>
    </row>
    <row r="795" spans="1:5" x14ac:dyDescent="0.25">
      <c r="A795" t="s">
        <v>122</v>
      </c>
      <c r="B795">
        <v>2015</v>
      </c>
      <c r="C795" t="s">
        <v>205</v>
      </c>
      <c r="D795" s="437" t="s">
        <v>348</v>
      </c>
      <c r="E795" s="437">
        <v>8525</v>
      </c>
    </row>
    <row r="796" spans="1:5" x14ac:dyDescent="0.25">
      <c r="A796" t="s">
        <v>122</v>
      </c>
      <c r="B796">
        <v>2015</v>
      </c>
      <c r="C796" t="s">
        <v>205</v>
      </c>
      <c r="D796" s="437" t="s">
        <v>349</v>
      </c>
      <c r="E796" s="437">
        <v>17016</v>
      </c>
    </row>
    <row r="797" spans="1:5" x14ac:dyDescent="0.25">
      <c r="A797" t="s">
        <v>122</v>
      </c>
      <c r="B797">
        <v>2015</v>
      </c>
      <c r="C797" t="s">
        <v>205</v>
      </c>
      <c r="D797" s="437" t="s">
        <v>595</v>
      </c>
      <c r="E797" s="437">
        <v>1354</v>
      </c>
    </row>
    <row r="798" spans="1:5" x14ac:dyDescent="0.25">
      <c r="A798" t="s">
        <v>122</v>
      </c>
      <c r="B798">
        <v>2015</v>
      </c>
      <c r="C798" t="s">
        <v>205</v>
      </c>
      <c r="D798" s="437" t="s">
        <v>352</v>
      </c>
      <c r="E798" s="437">
        <v>2337</v>
      </c>
    </row>
    <row r="799" spans="1:5" x14ac:dyDescent="0.25">
      <c r="A799" t="s">
        <v>122</v>
      </c>
      <c r="B799">
        <v>2015</v>
      </c>
      <c r="C799" t="s">
        <v>205</v>
      </c>
      <c r="D799" s="437" t="s">
        <v>43</v>
      </c>
      <c r="E799" s="437">
        <v>5186</v>
      </c>
    </row>
    <row r="800" spans="1:5" x14ac:dyDescent="0.25">
      <c r="A800" t="s">
        <v>122</v>
      </c>
      <c r="B800">
        <v>2015</v>
      </c>
      <c r="C800" t="s">
        <v>205</v>
      </c>
      <c r="D800" s="437" t="s">
        <v>42</v>
      </c>
      <c r="E800" s="437">
        <v>28</v>
      </c>
    </row>
    <row r="801" spans="1:5" x14ac:dyDescent="0.25">
      <c r="A801" t="s">
        <v>122</v>
      </c>
      <c r="B801">
        <v>2015</v>
      </c>
      <c r="C801" t="s">
        <v>205</v>
      </c>
      <c r="D801" s="437" t="s">
        <v>44</v>
      </c>
      <c r="E801" s="437">
        <v>87</v>
      </c>
    </row>
    <row r="802" spans="1:5" x14ac:dyDescent="0.25">
      <c r="A802" t="s">
        <v>122</v>
      </c>
      <c r="B802">
        <v>2015</v>
      </c>
      <c r="C802" t="s">
        <v>205</v>
      </c>
      <c r="D802" s="437" t="s">
        <v>397</v>
      </c>
      <c r="E802" s="437">
        <v>612</v>
      </c>
    </row>
    <row r="803" spans="1:5" x14ac:dyDescent="0.25">
      <c r="A803" t="s">
        <v>122</v>
      </c>
      <c r="B803">
        <v>2015</v>
      </c>
      <c r="C803" t="s">
        <v>205</v>
      </c>
      <c r="D803" s="437" t="s">
        <v>133</v>
      </c>
      <c r="E803" s="437">
        <v>2355</v>
      </c>
    </row>
    <row r="804" spans="1:5" x14ac:dyDescent="0.25">
      <c r="A804" t="s">
        <v>122</v>
      </c>
      <c r="B804">
        <v>2015</v>
      </c>
      <c r="C804" t="s">
        <v>205</v>
      </c>
      <c r="D804" s="437" t="s">
        <v>597</v>
      </c>
      <c r="E804" s="437">
        <v>10143</v>
      </c>
    </row>
    <row r="805" spans="1:5" x14ac:dyDescent="0.25">
      <c r="A805" t="s">
        <v>122</v>
      </c>
      <c r="B805">
        <v>2015</v>
      </c>
      <c r="C805" t="s">
        <v>205</v>
      </c>
      <c r="D805" s="437" t="s">
        <v>596</v>
      </c>
      <c r="E805" s="437">
        <v>23069</v>
      </c>
    </row>
    <row r="806" spans="1:5" x14ac:dyDescent="0.25">
      <c r="A806" t="s">
        <v>122</v>
      </c>
      <c r="B806">
        <v>2015</v>
      </c>
      <c r="C806" t="s">
        <v>205</v>
      </c>
      <c r="D806" s="437" t="s">
        <v>413</v>
      </c>
      <c r="E806" s="437">
        <v>202</v>
      </c>
    </row>
    <row r="807" spans="1:5" x14ac:dyDescent="0.25">
      <c r="A807" t="s">
        <v>123</v>
      </c>
      <c r="B807">
        <v>2015</v>
      </c>
      <c r="C807" t="s">
        <v>205</v>
      </c>
      <c r="D807" s="437" t="s">
        <v>57</v>
      </c>
      <c r="E807" s="437">
        <v>0</v>
      </c>
    </row>
    <row r="808" spans="1:5" x14ac:dyDescent="0.25">
      <c r="A808" t="s">
        <v>123</v>
      </c>
      <c r="B808">
        <v>2015</v>
      </c>
      <c r="C808" t="s">
        <v>205</v>
      </c>
      <c r="D808" s="437" t="s">
        <v>348</v>
      </c>
      <c r="E808" s="437">
        <v>0</v>
      </c>
    </row>
    <row r="809" spans="1:5" x14ac:dyDescent="0.25">
      <c r="A809" t="s">
        <v>123</v>
      </c>
      <c r="B809">
        <v>2015</v>
      </c>
      <c r="C809" t="s">
        <v>205</v>
      </c>
      <c r="D809" s="437" t="s">
        <v>349</v>
      </c>
      <c r="E809" s="437">
        <v>1756</v>
      </c>
    </row>
    <row r="810" spans="1:5" x14ac:dyDescent="0.25">
      <c r="A810" t="s">
        <v>123</v>
      </c>
      <c r="B810">
        <v>2015</v>
      </c>
      <c r="C810" t="s">
        <v>205</v>
      </c>
      <c r="D810" s="437" t="s">
        <v>595</v>
      </c>
      <c r="E810" s="437">
        <v>4698</v>
      </c>
    </row>
    <row r="811" spans="1:5" x14ac:dyDescent="0.25">
      <c r="A811" t="s">
        <v>123</v>
      </c>
      <c r="B811">
        <v>2015</v>
      </c>
      <c r="C811" t="s">
        <v>205</v>
      </c>
      <c r="D811" s="437" t="s">
        <v>352</v>
      </c>
      <c r="E811" s="437">
        <v>65</v>
      </c>
    </row>
    <row r="812" spans="1:5" x14ac:dyDescent="0.25">
      <c r="A812" t="s">
        <v>123</v>
      </c>
      <c r="B812">
        <v>2015</v>
      </c>
      <c r="C812" t="s">
        <v>205</v>
      </c>
      <c r="D812" s="437" t="s">
        <v>43</v>
      </c>
      <c r="E812" s="437">
        <v>4826</v>
      </c>
    </row>
    <row r="813" spans="1:5" x14ac:dyDescent="0.25">
      <c r="A813" t="s">
        <v>123</v>
      </c>
      <c r="B813">
        <v>2015</v>
      </c>
      <c r="C813" t="s">
        <v>205</v>
      </c>
      <c r="D813" s="437" t="s">
        <v>42</v>
      </c>
      <c r="E813" s="437">
        <v>29</v>
      </c>
    </row>
    <row r="814" spans="1:5" x14ac:dyDescent="0.25">
      <c r="A814" t="s">
        <v>123</v>
      </c>
      <c r="B814">
        <v>2015</v>
      </c>
      <c r="C814" t="s">
        <v>205</v>
      </c>
      <c r="D814" s="437" t="s">
        <v>44</v>
      </c>
      <c r="E814" s="437">
        <v>429</v>
      </c>
    </row>
    <row r="815" spans="1:5" x14ac:dyDescent="0.25">
      <c r="A815" t="s">
        <v>123</v>
      </c>
      <c r="B815">
        <v>2015</v>
      </c>
      <c r="C815" t="s">
        <v>205</v>
      </c>
      <c r="D815" s="437" t="s">
        <v>397</v>
      </c>
      <c r="E815" s="437">
        <v>613</v>
      </c>
    </row>
    <row r="816" spans="1:5" x14ac:dyDescent="0.25">
      <c r="A816" t="s">
        <v>123</v>
      </c>
      <c r="B816">
        <v>2015</v>
      </c>
      <c r="C816" t="s">
        <v>205</v>
      </c>
      <c r="D816" s="437" t="s">
        <v>133</v>
      </c>
      <c r="E816" s="437">
        <v>6146</v>
      </c>
    </row>
    <row r="817" spans="1:5" x14ac:dyDescent="0.25">
      <c r="A817" t="s">
        <v>123</v>
      </c>
      <c r="B817">
        <v>2015</v>
      </c>
      <c r="C817" t="s">
        <v>205</v>
      </c>
      <c r="D817" s="437" t="s">
        <v>597</v>
      </c>
      <c r="E817" s="437">
        <v>3419</v>
      </c>
    </row>
    <row r="818" spans="1:5" x14ac:dyDescent="0.25">
      <c r="A818" t="s">
        <v>123</v>
      </c>
      <c r="B818">
        <v>2015</v>
      </c>
      <c r="C818" t="s">
        <v>205</v>
      </c>
      <c r="D818" s="437" t="s">
        <v>596</v>
      </c>
      <c r="E818" s="437">
        <v>8618</v>
      </c>
    </row>
    <row r="819" spans="1:5" x14ac:dyDescent="0.25">
      <c r="A819" t="s">
        <v>123</v>
      </c>
      <c r="B819">
        <v>2015</v>
      </c>
      <c r="C819" t="s">
        <v>205</v>
      </c>
      <c r="D819" s="437" t="s">
        <v>413</v>
      </c>
      <c r="E819" s="437">
        <v>0</v>
      </c>
    </row>
    <row r="820" spans="1:5" x14ac:dyDescent="0.25">
      <c r="A820" t="s">
        <v>124</v>
      </c>
      <c r="B820">
        <v>2015</v>
      </c>
      <c r="C820" t="s">
        <v>205</v>
      </c>
      <c r="D820" s="437" t="s">
        <v>57</v>
      </c>
      <c r="E820" s="437">
        <v>1300</v>
      </c>
    </row>
    <row r="821" spans="1:5" x14ac:dyDescent="0.25">
      <c r="A821" t="s">
        <v>124</v>
      </c>
      <c r="B821">
        <v>2015</v>
      </c>
      <c r="C821" t="s">
        <v>205</v>
      </c>
      <c r="D821" s="437" t="s">
        <v>348</v>
      </c>
      <c r="E821" s="437">
        <v>3777</v>
      </c>
    </row>
    <row r="822" spans="1:5" x14ac:dyDescent="0.25">
      <c r="A822" t="s">
        <v>124</v>
      </c>
      <c r="B822">
        <v>2015</v>
      </c>
      <c r="C822" t="s">
        <v>205</v>
      </c>
      <c r="D822" s="437" t="s">
        <v>349</v>
      </c>
      <c r="E822" s="437">
        <v>1148</v>
      </c>
    </row>
    <row r="823" spans="1:5" x14ac:dyDescent="0.25">
      <c r="A823" t="s">
        <v>124</v>
      </c>
      <c r="B823">
        <v>2015</v>
      </c>
      <c r="C823" t="s">
        <v>205</v>
      </c>
      <c r="D823" s="437" t="s">
        <v>595</v>
      </c>
      <c r="E823" s="437">
        <v>1850</v>
      </c>
    </row>
    <row r="824" spans="1:5" x14ac:dyDescent="0.25">
      <c r="A824" t="s">
        <v>124</v>
      </c>
      <c r="B824">
        <v>2015</v>
      </c>
      <c r="C824" t="s">
        <v>205</v>
      </c>
      <c r="D824" s="437" t="s">
        <v>352</v>
      </c>
      <c r="E824" s="437">
        <v>1721</v>
      </c>
    </row>
    <row r="825" spans="1:5" x14ac:dyDescent="0.25">
      <c r="A825" t="s">
        <v>124</v>
      </c>
      <c r="B825">
        <v>2015</v>
      </c>
      <c r="C825" t="s">
        <v>205</v>
      </c>
      <c r="D825" s="437" t="s">
        <v>43</v>
      </c>
      <c r="E825" s="437">
        <v>2923</v>
      </c>
    </row>
    <row r="826" spans="1:5" x14ac:dyDescent="0.25">
      <c r="A826" t="s">
        <v>124</v>
      </c>
      <c r="B826">
        <v>2015</v>
      </c>
      <c r="C826" t="s">
        <v>205</v>
      </c>
      <c r="D826" s="437" t="s">
        <v>42</v>
      </c>
      <c r="E826" s="437">
        <v>30</v>
      </c>
    </row>
    <row r="827" spans="1:5" x14ac:dyDescent="0.25">
      <c r="A827" t="s">
        <v>124</v>
      </c>
      <c r="B827">
        <v>2015</v>
      </c>
      <c r="C827" t="s">
        <v>205</v>
      </c>
      <c r="D827" s="437" t="s">
        <v>44</v>
      </c>
      <c r="E827" s="437">
        <v>1249</v>
      </c>
    </row>
    <row r="828" spans="1:5" x14ac:dyDescent="0.25">
      <c r="A828" t="s">
        <v>124</v>
      </c>
      <c r="B828">
        <v>2015</v>
      </c>
      <c r="C828" t="s">
        <v>205</v>
      </c>
      <c r="D828" s="437" t="s">
        <v>397</v>
      </c>
      <c r="E828" s="437">
        <v>112</v>
      </c>
    </row>
    <row r="829" spans="1:5" x14ac:dyDescent="0.25">
      <c r="A829" t="s">
        <v>124</v>
      </c>
      <c r="B829">
        <v>2015</v>
      </c>
      <c r="C829" t="s">
        <v>205</v>
      </c>
      <c r="D829" s="437" t="s">
        <v>133</v>
      </c>
      <c r="E829" s="437">
        <v>6339</v>
      </c>
    </row>
    <row r="830" spans="1:5" x14ac:dyDescent="0.25">
      <c r="A830" t="s">
        <v>124</v>
      </c>
      <c r="B830">
        <v>2015</v>
      </c>
      <c r="C830" t="s">
        <v>205</v>
      </c>
      <c r="D830" s="437" t="s">
        <v>597</v>
      </c>
      <c r="E830" s="437">
        <v>3799</v>
      </c>
    </row>
    <row r="831" spans="1:5" x14ac:dyDescent="0.25">
      <c r="A831" t="s">
        <v>124</v>
      </c>
      <c r="B831">
        <v>2015</v>
      </c>
      <c r="C831" t="s">
        <v>205</v>
      </c>
      <c r="D831" s="437" t="s">
        <v>596</v>
      </c>
      <c r="E831" s="437">
        <v>8488</v>
      </c>
    </row>
    <row r="832" spans="1:5" x14ac:dyDescent="0.25">
      <c r="A832" t="s">
        <v>124</v>
      </c>
      <c r="B832">
        <v>2015</v>
      </c>
      <c r="C832" t="s">
        <v>205</v>
      </c>
      <c r="D832" s="437" t="s">
        <v>413</v>
      </c>
      <c r="E832" s="437">
        <v>0</v>
      </c>
    </row>
    <row r="833" spans="1:5" x14ac:dyDescent="0.25">
      <c r="A833" t="s">
        <v>126</v>
      </c>
      <c r="B833">
        <v>2015</v>
      </c>
      <c r="C833" t="s">
        <v>205</v>
      </c>
      <c r="D833" s="437" t="s">
        <v>57</v>
      </c>
      <c r="E833" s="437">
        <v>9714</v>
      </c>
    </row>
    <row r="834" spans="1:5" x14ac:dyDescent="0.25">
      <c r="A834" t="s">
        <v>126</v>
      </c>
      <c r="B834">
        <v>2015</v>
      </c>
      <c r="C834" t="s">
        <v>205</v>
      </c>
      <c r="D834" s="437" t="s">
        <v>348</v>
      </c>
      <c r="E834" s="437">
        <v>0</v>
      </c>
    </row>
    <row r="835" spans="1:5" x14ac:dyDescent="0.25">
      <c r="A835" t="s">
        <v>126</v>
      </c>
      <c r="B835">
        <v>2015</v>
      </c>
      <c r="C835" t="s">
        <v>205</v>
      </c>
      <c r="D835" s="437" t="s">
        <v>349</v>
      </c>
      <c r="E835" s="437">
        <v>225</v>
      </c>
    </row>
    <row r="836" spans="1:5" x14ac:dyDescent="0.25">
      <c r="A836" t="s">
        <v>126</v>
      </c>
      <c r="B836">
        <v>2015</v>
      </c>
      <c r="C836" t="s">
        <v>205</v>
      </c>
      <c r="D836" s="437" t="s">
        <v>595</v>
      </c>
      <c r="E836" s="437">
        <v>879</v>
      </c>
    </row>
    <row r="837" spans="1:5" x14ac:dyDescent="0.25">
      <c r="A837" t="s">
        <v>126</v>
      </c>
      <c r="B837">
        <v>2015</v>
      </c>
      <c r="C837" t="s">
        <v>205</v>
      </c>
      <c r="D837" s="437" t="s">
        <v>352</v>
      </c>
      <c r="E837" s="437">
        <v>3397</v>
      </c>
    </row>
    <row r="838" spans="1:5" x14ac:dyDescent="0.25">
      <c r="A838" t="s">
        <v>126</v>
      </c>
      <c r="B838">
        <v>2015</v>
      </c>
      <c r="C838" t="s">
        <v>205</v>
      </c>
      <c r="D838" s="437" t="s">
        <v>43</v>
      </c>
      <c r="E838" s="437">
        <v>6029</v>
      </c>
    </row>
    <row r="839" spans="1:5" x14ac:dyDescent="0.25">
      <c r="A839" t="s">
        <v>126</v>
      </c>
      <c r="B839">
        <v>2015</v>
      </c>
      <c r="C839" t="s">
        <v>205</v>
      </c>
      <c r="D839" s="437" t="s">
        <v>42</v>
      </c>
      <c r="E839" s="437">
        <v>32</v>
      </c>
    </row>
    <row r="840" spans="1:5" x14ac:dyDescent="0.25">
      <c r="A840" t="s">
        <v>126</v>
      </c>
      <c r="B840">
        <v>2015</v>
      </c>
      <c r="C840" t="s">
        <v>205</v>
      </c>
      <c r="D840" s="437" t="s">
        <v>44</v>
      </c>
      <c r="E840" s="437">
        <v>104</v>
      </c>
    </row>
    <row r="841" spans="1:5" x14ac:dyDescent="0.25">
      <c r="A841" t="s">
        <v>126</v>
      </c>
      <c r="B841">
        <v>2015</v>
      </c>
      <c r="C841" t="s">
        <v>205</v>
      </c>
      <c r="D841" s="437" t="s">
        <v>397</v>
      </c>
      <c r="E841" s="437">
        <v>2978</v>
      </c>
    </row>
    <row r="842" spans="1:5" x14ac:dyDescent="0.25">
      <c r="A842" t="s">
        <v>126</v>
      </c>
      <c r="B842">
        <v>2015</v>
      </c>
      <c r="C842" t="s">
        <v>205</v>
      </c>
      <c r="D842" s="437" t="s">
        <v>133</v>
      </c>
      <c r="E842" s="437">
        <v>16184</v>
      </c>
    </row>
    <row r="843" spans="1:5" x14ac:dyDescent="0.25">
      <c r="A843" t="s">
        <v>126</v>
      </c>
      <c r="B843">
        <v>2015</v>
      </c>
      <c r="C843" t="s">
        <v>205</v>
      </c>
      <c r="D843" s="437" t="s">
        <v>597</v>
      </c>
      <c r="E843" s="437">
        <v>9242</v>
      </c>
    </row>
    <row r="844" spans="1:5" x14ac:dyDescent="0.25">
      <c r="A844" t="s">
        <v>126</v>
      </c>
      <c r="B844">
        <v>2015</v>
      </c>
      <c r="C844" t="s">
        <v>205</v>
      </c>
      <c r="D844" s="437" t="s">
        <v>596</v>
      </c>
      <c r="E844" s="437">
        <v>23395</v>
      </c>
    </row>
    <row r="845" spans="1:5" x14ac:dyDescent="0.25">
      <c r="A845" t="s">
        <v>126</v>
      </c>
      <c r="B845">
        <v>2015</v>
      </c>
      <c r="C845" t="s">
        <v>205</v>
      </c>
      <c r="D845" s="437" t="s">
        <v>413</v>
      </c>
      <c r="E845" s="437">
        <v>441</v>
      </c>
    </row>
    <row r="846" spans="1:5" x14ac:dyDescent="0.25">
      <c r="A846" t="s">
        <v>127</v>
      </c>
      <c r="B846">
        <v>2015</v>
      </c>
      <c r="C846" t="s">
        <v>205</v>
      </c>
      <c r="D846" s="437" t="s">
        <v>57</v>
      </c>
      <c r="E846" s="437">
        <v>696</v>
      </c>
    </row>
    <row r="847" spans="1:5" x14ac:dyDescent="0.25">
      <c r="A847" t="s">
        <v>127</v>
      </c>
      <c r="B847">
        <v>2015</v>
      </c>
      <c r="C847" t="s">
        <v>205</v>
      </c>
      <c r="D847" s="437" t="s">
        <v>348</v>
      </c>
      <c r="E847" s="437">
        <v>921</v>
      </c>
    </row>
    <row r="848" spans="1:5" x14ac:dyDescent="0.25">
      <c r="A848" t="s">
        <v>127</v>
      </c>
      <c r="B848">
        <v>2015</v>
      </c>
      <c r="C848" t="s">
        <v>205</v>
      </c>
      <c r="D848" s="437" t="s">
        <v>349</v>
      </c>
      <c r="E848" s="437">
        <v>0</v>
      </c>
    </row>
    <row r="849" spans="1:5" x14ac:dyDescent="0.25">
      <c r="A849" t="s">
        <v>127</v>
      </c>
      <c r="B849">
        <v>2015</v>
      </c>
      <c r="C849" t="s">
        <v>205</v>
      </c>
      <c r="D849" s="437" t="s">
        <v>595</v>
      </c>
      <c r="E849" s="437">
        <v>549</v>
      </c>
    </row>
    <row r="850" spans="1:5" x14ac:dyDescent="0.25">
      <c r="A850" t="s">
        <v>127</v>
      </c>
      <c r="B850">
        <v>2015</v>
      </c>
      <c r="C850" t="s">
        <v>205</v>
      </c>
      <c r="D850" s="437" t="s">
        <v>352</v>
      </c>
      <c r="E850" s="437">
        <v>0</v>
      </c>
    </row>
    <row r="851" spans="1:5" x14ac:dyDescent="0.25">
      <c r="A851" t="s">
        <v>127</v>
      </c>
      <c r="B851">
        <v>2015</v>
      </c>
      <c r="C851" t="s">
        <v>205</v>
      </c>
      <c r="D851" s="437" t="s">
        <v>43</v>
      </c>
      <c r="E851" s="437">
        <v>3</v>
      </c>
    </row>
    <row r="852" spans="1:5" x14ac:dyDescent="0.25">
      <c r="A852" t="s">
        <v>127</v>
      </c>
      <c r="B852">
        <v>2015</v>
      </c>
      <c r="C852" t="s">
        <v>205</v>
      </c>
      <c r="D852" s="437" t="s">
        <v>42</v>
      </c>
      <c r="E852" s="437">
        <v>33</v>
      </c>
    </row>
    <row r="853" spans="1:5" x14ac:dyDescent="0.25">
      <c r="A853" t="s">
        <v>127</v>
      </c>
      <c r="B853">
        <v>2015</v>
      </c>
      <c r="C853" t="s">
        <v>205</v>
      </c>
      <c r="D853" s="437" t="s">
        <v>44</v>
      </c>
      <c r="E853" s="437">
        <v>263</v>
      </c>
    </row>
    <row r="854" spans="1:5" x14ac:dyDescent="0.25">
      <c r="A854" t="s">
        <v>127</v>
      </c>
      <c r="B854">
        <v>2015</v>
      </c>
      <c r="C854" t="s">
        <v>205</v>
      </c>
      <c r="D854" s="437" t="s">
        <v>397</v>
      </c>
      <c r="E854" s="437">
        <v>17</v>
      </c>
    </row>
    <row r="855" spans="1:5" x14ac:dyDescent="0.25">
      <c r="A855" t="s">
        <v>127</v>
      </c>
      <c r="B855">
        <v>2015</v>
      </c>
      <c r="C855" t="s">
        <v>205</v>
      </c>
      <c r="D855" s="437" t="s">
        <v>133</v>
      </c>
      <c r="E855" s="437">
        <v>1233</v>
      </c>
    </row>
    <row r="856" spans="1:5" x14ac:dyDescent="0.25">
      <c r="A856" t="s">
        <v>127</v>
      </c>
      <c r="B856">
        <v>2015</v>
      </c>
      <c r="C856" t="s">
        <v>205</v>
      </c>
      <c r="D856" s="437" t="s">
        <v>597</v>
      </c>
      <c r="E856" s="437">
        <v>960</v>
      </c>
    </row>
    <row r="857" spans="1:5" x14ac:dyDescent="0.25">
      <c r="A857" t="s">
        <v>127</v>
      </c>
      <c r="B857">
        <v>2015</v>
      </c>
      <c r="C857" t="s">
        <v>205</v>
      </c>
      <c r="D857" s="437" t="s">
        <v>596</v>
      </c>
      <c r="E857" s="437">
        <v>2086</v>
      </c>
    </row>
    <row r="858" spans="1:5" x14ac:dyDescent="0.25">
      <c r="A858" t="s">
        <v>127</v>
      </c>
      <c r="B858">
        <v>2015</v>
      </c>
      <c r="C858" t="s">
        <v>205</v>
      </c>
      <c r="D858" s="437" t="s">
        <v>413</v>
      </c>
      <c r="E858" s="437">
        <v>40</v>
      </c>
    </row>
    <row r="859" spans="1:5" x14ac:dyDescent="0.25">
      <c r="A859" t="s">
        <v>128</v>
      </c>
      <c r="B859">
        <v>2015</v>
      </c>
      <c r="C859" t="s">
        <v>205</v>
      </c>
      <c r="D859" s="437" t="s">
        <v>57</v>
      </c>
      <c r="E859" s="437">
        <v>1940</v>
      </c>
    </row>
    <row r="860" spans="1:5" x14ac:dyDescent="0.25">
      <c r="A860" t="s">
        <v>128</v>
      </c>
      <c r="B860">
        <v>2015</v>
      </c>
      <c r="C860" t="s">
        <v>205</v>
      </c>
      <c r="D860" s="437" t="s">
        <v>348</v>
      </c>
      <c r="E860" s="437">
        <v>568</v>
      </c>
    </row>
    <row r="861" spans="1:5" x14ac:dyDescent="0.25">
      <c r="A861" t="s">
        <v>128</v>
      </c>
      <c r="B861">
        <v>2015</v>
      </c>
      <c r="C861" t="s">
        <v>205</v>
      </c>
      <c r="D861" s="437" t="s">
        <v>349</v>
      </c>
      <c r="E861" s="437">
        <v>440</v>
      </c>
    </row>
    <row r="862" spans="1:5" x14ac:dyDescent="0.25">
      <c r="A862" t="s">
        <v>128</v>
      </c>
      <c r="B862">
        <v>2015</v>
      </c>
      <c r="C862" t="s">
        <v>205</v>
      </c>
      <c r="D862" s="437" t="s">
        <v>595</v>
      </c>
      <c r="E862" s="437">
        <v>1093</v>
      </c>
    </row>
    <row r="863" spans="1:5" x14ac:dyDescent="0.25">
      <c r="A863" t="s">
        <v>128</v>
      </c>
      <c r="B863">
        <v>2015</v>
      </c>
      <c r="C863" t="s">
        <v>205</v>
      </c>
      <c r="D863" s="437" t="s">
        <v>352</v>
      </c>
      <c r="E863" s="437">
        <v>617</v>
      </c>
    </row>
    <row r="864" spans="1:5" x14ac:dyDescent="0.25">
      <c r="A864" t="s">
        <v>128</v>
      </c>
      <c r="B864">
        <v>2015</v>
      </c>
      <c r="C864" t="s">
        <v>205</v>
      </c>
      <c r="D864" s="437" t="s">
        <v>43</v>
      </c>
      <c r="E864" s="437">
        <v>3</v>
      </c>
    </row>
    <row r="865" spans="1:5" x14ac:dyDescent="0.25">
      <c r="A865" t="s">
        <v>128</v>
      </c>
      <c r="B865">
        <v>2015</v>
      </c>
      <c r="C865" t="s">
        <v>205</v>
      </c>
      <c r="D865" s="437" t="s">
        <v>42</v>
      </c>
      <c r="E865" s="437">
        <v>34</v>
      </c>
    </row>
    <row r="866" spans="1:5" x14ac:dyDescent="0.25">
      <c r="A866" t="s">
        <v>128</v>
      </c>
      <c r="B866">
        <v>2015</v>
      </c>
      <c r="C866" t="s">
        <v>205</v>
      </c>
      <c r="D866" s="437" t="s">
        <v>44</v>
      </c>
      <c r="E866" s="437">
        <v>532</v>
      </c>
    </row>
    <row r="867" spans="1:5" x14ac:dyDescent="0.25">
      <c r="A867" t="s">
        <v>128</v>
      </c>
      <c r="B867">
        <v>2015</v>
      </c>
      <c r="C867" t="s">
        <v>205</v>
      </c>
      <c r="D867" s="437" t="s">
        <v>397</v>
      </c>
      <c r="E867" s="437">
        <v>259</v>
      </c>
    </row>
    <row r="868" spans="1:5" x14ac:dyDescent="0.25">
      <c r="A868" t="s">
        <v>128</v>
      </c>
      <c r="B868">
        <v>2015</v>
      </c>
      <c r="C868" t="s">
        <v>205</v>
      </c>
      <c r="D868" s="437" t="s">
        <v>133</v>
      </c>
      <c r="E868" s="437">
        <v>2533</v>
      </c>
    </row>
    <row r="869" spans="1:5" x14ac:dyDescent="0.25">
      <c r="A869" t="s">
        <v>128</v>
      </c>
      <c r="B869">
        <v>2015</v>
      </c>
      <c r="C869" t="s">
        <v>205</v>
      </c>
      <c r="D869" s="437" t="s">
        <v>597</v>
      </c>
      <c r="E869" s="437">
        <v>2231</v>
      </c>
    </row>
    <row r="870" spans="1:5" x14ac:dyDescent="0.25">
      <c r="A870" t="s">
        <v>128</v>
      </c>
      <c r="B870">
        <v>2015</v>
      </c>
      <c r="C870" t="s">
        <v>205</v>
      </c>
      <c r="D870" s="437" t="s">
        <v>596</v>
      </c>
      <c r="E870" s="437">
        <v>4145</v>
      </c>
    </row>
    <row r="871" spans="1:5" x14ac:dyDescent="0.25">
      <c r="A871" t="s">
        <v>128</v>
      </c>
      <c r="B871">
        <v>2015</v>
      </c>
      <c r="C871" t="s">
        <v>205</v>
      </c>
      <c r="D871" s="437" t="s">
        <v>413</v>
      </c>
      <c r="E871" s="437">
        <v>110</v>
      </c>
    </row>
    <row r="872" spans="1:5" x14ac:dyDescent="0.25">
      <c r="A872" t="s">
        <v>100</v>
      </c>
      <c r="B872">
        <v>2015</v>
      </c>
      <c r="C872" t="s">
        <v>205</v>
      </c>
      <c r="D872" s="437" t="s">
        <v>57</v>
      </c>
      <c r="E872" s="437">
        <v>0</v>
      </c>
    </row>
    <row r="873" spans="1:5" x14ac:dyDescent="0.25">
      <c r="A873" t="s">
        <v>100</v>
      </c>
      <c r="B873">
        <v>2015</v>
      </c>
      <c r="C873" t="s">
        <v>205</v>
      </c>
      <c r="D873" s="437" t="s">
        <v>348</v>
      </c>
      <c r="E873" s="437">
        <v>1578</v>
      </c>
    </row>
    <row r="874" spans="1:5" x14ac:dyDescent="0.25">
      <c r="A874" t="s">
        <v>100</v>
      </c>
      <c r="B874">
        <v>2015</v>
      </c>
      <c r="C874" t="s">
        <v>205</v>
      </c>
      <c r="D874" s="437" t="s">
        <v>349</v>
      </c>
      <c r="E874" s="437">
        <v>0</v>
      </c>
    </row>
    <row r="875" spans="1:5" x14ac:dyDescent="0.25">
      <c r="A875" t="s">
        <v>100</v>
      </c>
      <c r="B875">
        <v>2015</v>
      </c>
      <c r="C875" t="s">
        <v>205</v>
      </c>
      <c r="D875" s="437" t="s">
        <v>595</v>
      </c>
      <c r="E875" s="437">
        <v>0</v>
      </c>
    </row>
    <row r="876" spans="1:5" x14ac:dyDescent="0.25">
      <c r="A876" t="s">
        <v>100</v>
      </c>
      <c r="B876">
        <v>2015</v>
      </c>
      <c r="C876" t="s">
        <v>205</v>
      </c>
      <c r="D876" s="437" t="s">
        <v>352</v>
      </c>
      <c r="E876" s="437">
        <v>0</v>
      </c>
    </row>
    <row r="877" spans="1:5" x14ac:dyDescent="0.25">
      <c r="A877" t="s">
        <v>100</v>
      </c>
      <c r="B877">
        <v>2015</v>
      </c>
      <c r="C877" t="s">
        <v>205</v>
      </c>
      <c r="D877" s="437" t="s">
        <v>43</v>
      </c>
      <c r="E877" s="437">
        <v>0</v>
      </c>
    </row>
    <row r="878" spans="1:5" x14ac:dyDescent="0.25">
      <c r="A878" t="s">
        <v>100</v>
      </c>
      <c r="B878">
        <v>2015</v>
      </c>
      <c r="C878" t="s">
        <v>205</v>
      </c>
      <c r="D878" s="437" t="s">
        <v>42</v>
      </c>
      <c r="E878" s="437">
        <v>1</v>
      </c>
    </row>
    <row r="879" spans="1:5" x14ac:dyDescent="0.25">
      <c r="A879" t="s">
        <v>100</v>
      </c>
      <c r="B879">
        <v>2015</v>
      </c>
      <c r="C879" t="s">
        <v>205</v>
      </c>
      <c r="D879" s="437" t="s">
        <v>44</v>
      </c>
      <c r="E879" s="437">
        <v>0</v>
      </c>
    </row>
    <row r="880" spans="1:5" x14ac:dyDescent="0.25">
      <c r="A880" t="s">
        <v>100</v>
      </c>
      <c r="B880">
        <v>2015</v>
      </c>
      <c r="C880" t="s">
        <v>205</v>
      </c>
      <c r="D880" s="437" t="s">
        <v>397</v>
      </c>
      <c r="E880" s="437">
        <v>0</v>
      </c>
    </row>
    <row r="881" spans="1:5" x14ac:dyDescent="0.25">
      <c r="A881" t="s">
        <v>100</v>
      </c>
      <c r="B881">
        <v>2015</v>
      </c>
      <c r="C881" t="s">
        <v>205</v>
      </c>
      <c r="D881" s="437" t="s">
        <v>133</v>
      </c>
      <c r="E881" s="437">
        <v>2060</v>
      </c>
    </row>
    <row r="882" spans="1:5" x14ac:dyDescent="0.25">
      <c r="A882" t="s">
        <v>100</v>
      </c>
      <c r="B882">
        <v>2015</v>
      </c>
      <c r="C882" t="s">
        <v>205</v>
      </c>
      <c r="D882" s="437" t="s">
        <v>597</v>
      </c>
      <c r="E882" s="437">
        <v>858</v>
      </c>
    </row>
    <row r="883" spans="1:5" x14ac:dyDescent="0.25">
      <c r="A883" t="s">
        <v>100</v>
      </c>
      <c r="B883">
        <v>2015</v>
      </c>
      <c r="C883" t="s">
        <v>205</v>
      </c>
      <c r="D883" s="437" t="s">
        <v>596</v>
      </c>
      <c r="E883" s="437">
        <v>2105</v>
      </c>
    </row>
    <row r="884" spans="1:5" x14ac:dyDescent="0.25">
      <c r="A884" t="s">
        <v>100</v>
      </c>
      <c r="B884">
        <v>2015</v>
      </c>
      <c r="C884" t="s">
        <v>205</v>
      </c>
      <c r="D884" s="437" t="s">
        <v>413</v>
      </c>
      <c r="E884" s="437">
        <v>0</v>
      </c>
    </row>
    <row r="885" spans="1:5" x14ac:dyDescent="0.25">
      <c r="A885" t="s">
        <v>118</v>
      </c>
      <c r="B885">
        <v>2015</v>
      </c>
      <c r="C885" t="s">
        <v>205</v>
      </c>
      <c r="D885" s="437" t="s">
        <v>57</v>
      </c>
      <c r="E885" s="437">
        <v>0</v>
      </c>
    </row>
    <row r="886" spans="1:5" x14ac:dyDescent="0.25">
      <c r="A886" t="s">
        <v>118</v>
      </c>
      <c r="B886">
        <v>2015</v>
      </c>
      <c r="C886" t="s">
        <v>205</v>
      </c>
      <c r="D886" s="437" t="s">
        <v>348</v>
      </c>
      <c r="E886" s="437">
        <v>220</v>
      </c>
    </row>
    <row r="887" spans="1:5" x14ac:dyDescent="0.25">
      <c r="A887" t="s">
        <v>118</v>
      </c>
      <c r="B887">
        <v>2015</v>
      </c>
      <c r="C887" t="s">
        <v>205</v>
      </c>
      <c r="D887" s="437" t="s">
        <v>349</v>
      </c>
      <c r="E887" s="437">
        <v>0</v>
      </c>
    </row>
    <row r="888" spans="1:5" x14ac:dyDescent="0.25">
      <c r="A888" t="s">
        <v>118</v>
      </c>
      <c r="B888">
        <v>2015</v>
      </c>
      <c r="C888" t="s">
        <v>205</v>
      </c>
      <c r="D888" s="437" t="s">
        <v>595</v>
      </c>
      <c r="E888" s="437">
        <v>0</v>
      </c>
    </row>
    <row r="889" spans="1:5" x14ac:dyDescent="0.25">
      <c r="A889" t="s">
        <v>118</v>
      </c>
      <c r="B889">
        <v>2015</v>
      </c>
      <c r="C889" t="s">
        <v>205</v>
      </c>
      <c r="D889" s="437" t="s">
        <v>352</v>
      </c>
      <c r="E889" s="437">
        <v>0</v>
      </c>
    </row>
    <row r="890" spans="1:5" x14ac:dyDescent="0.25">
      <c r="A890" t="s">
        <v>118</v>
      </c>
      <c r="B890">
        <v>2015</v>
      </c>
      <c r="C890" t="s">
        <v>205</v>
      </c>
      <c r="D890" s="437" t="s">
        <v>43</v>
      </c>
      <c r="E890" s="437">
        <v>0</v>
      </c>
    </row>
    <row r="891" spans="1:5" x14ac:dyDescent="0.25">
      <c r="A891" t="s">
        <v>118</v>
      </c>
      <c r="B891">
        <v>2015</v>
      </c>
      <c r="C891" t="s">
        <v>205</v>
      </c>
      <c r="D891" s="437" t="s">
        <v>42</v>
      </c>
      <c r="E891" s="437">
        <v>23</v>
      </c>
    </row>
    <row r="892" spans="1:5" x14ac:dyDescent="0.25">
      <c r="A892" t="s">
        <v>118</v>
      </c>
      <c r="B892">
        <v>2015</v>
      </c>
      <c r="C892" t="s">
        <v>205</v>
      </c>
      <c r="D892" s="437" t="s">
        <v>44</v>
      </c>
      <c r="E892" s="437">
        <v>0</v>
      </c>
    </row>
    <row r="893" spans="1:5" x14ac:dyDescent="0.25">
      <c r="A893" t="s">
        <v>118</v>
      </c>
      <c r="B893">
        <v>2015</v>
      </c>
      <c r="C893" t="s">
        <v>205</v>
      </c>
      <c r="D893" s="437" t="s">
        <v>397</v>
      </c>
      <c r="E893" s="437">
        <v>0</v>
      </c>
    </row>
    <row r="894" spans="1:5" x14ac:dyDescent="0.25">
      <c r="A894" t="s">
        <v>118</v>
      </c>
      <c r="B894">
        <v>2015</v>
      </c>
      <c r="C894" t="s">
        <v>205</v>
      </c>
      <c r="D894" s="437" t="s">
        <v>133</v>
      </c>
      <c r="E894" s="437">
        <v>660</v>
      </c>
    </row>
    <row r="895" spans="1:5" x14ac:dyDescent="0.25">
      <c r="A895" t="s">
        <v>118</v>
      </c>
      <c r="B895">
        <v>2015</v>
      </c>
      <c r="C895" t="s">
        <v>205</v>
      </c>
      <c r="D895" s="437" t="s">
        <v>597</v>
      </c>
      <c r="E895" s="437">
        <v>225</v>
      </c>
    </row>
    <row r="896" spans="1:5" x14ac:dyDescent="0.25">
      <c r="A896" t="s">
        <v>118</v>
      </c>
      <c r="B896">
        <v>2015</v>
      </c>
      <c r="C896" t="s">
        <v>205</v>
      </c>
      <c r="D896" s="437" t="s">
        <v>596</v>
      </c>
      <c r="E896" s="437">
        <v>583</v>
      </c>
    </row>
    <row r="897" spans="1:5" x14ac:dyDescent="0.25">
      <c r="A897" t="s">
        <v>118</v>
      </c>
      <c r="B897">
        <v>2015</v>
      </c>
      <c r="C897" t="s">
        <v>205</v>
      </c>
      <c r="D897" s="437" t="s">
        <v>413</v>
      </c>
      <c r="E897" s="437">
        <v>0</v>
      </c>
    </row>
    <row r="898" spans="1:5" x14ac:dyDescent="0.25">
      <c r="A898" t="s">
        <v>119</v>
      </c>
      <c r="B898">
        <v>2015</v>
      </c>
      <c r="C898" t="s">
        <v>205</v>
      </c>
      <c r="D898" s="437" t="s">
        <v>57</v>
      </c>
      <c r="E898" s="437">
        <v>0</v>
      </c>
    </row>
    <row r="899" spans="1:5" x14ac:dyDescent="0.25">
      <c r="A899" t="s">
        <v>119</v>
      </c>
      <c r="B899">
        <v>2015</v>
      </c>
      <c r="C899" t="s">
        <v>205</v>
      </c>
      <c r="D899" s="437" t="s">
        <v>348</v>
      </c>
      <c r="E899" s="437">
        <v>718</v>
      </c>
    </row>
    <row r="900" spans="1:5" x14ac:dyDescent="0.25">
      <c r="A900" t="s">
        <v>119</v>
      </c>
      <c r="B900">
        <v>2015</v>
      </c>
      <c r="C900" t="s">
        <v>205</v>
      </c>
      <c r="D900" s="437" t="s">
        <v>349</v>
      </c>
      <c r="E900" s="437">
        <v>0</v>
      </c>
    </row>
    <row r="901" spans="1:5" x14ac:dyDescent="0.25">
      <c r="A901" t="s">
        <v>119</v>
      </c>
      <c r="B901">
        <v>2015</v>
      </c>
      <c r="C901" t="s">
        <v>205</v>
      </c>
      <c r="D901" s="437" t="s">
        <v>595</v>
      </c>
      <c r="E901" s="437">
        <v>250</v>
      </c>
    </row>
    <row r="902" spans="1:5" x14ac:dyDescent="0.25">
      <c r="A902" t="s">
        <v>119</v>
      </c>
      <c r="B902">
        <v>2015</v>
      </c>
      <c r="C902" t="s">
        <v>205</v>
      </c>
      <c r="D902" s="437" t="s">
        <v>352</v>
      </c>
      <c r="E902" s="437">
        <v>189</v>
      </c>
    </row>
    <row r="903" spans="1:5" x14ac:dyDescent="0.25">
      <c r="A903" t="s">
        <v>119</v>
      </c>
      <c r="B903">
        <v>2015</v>
      </c>
      <c r="C903" t="s">
        <v>205</v>
      </c>
      <c r="D903" s="437" t="s">
        <v>43</v>
      </c>
      <c r="E903" s="437">
        <v>36</v>
      </c>
    </row>
    <row r="904" spans="1:5" x14ac:dyDescent="0.25">
      <c r="A904" t="s">
        <v>119</v>
      </c>
      <c r="B904">
        <v>2015</v>
      </c>
      <c r="C904" t="s">
        <v>205</v>
      </c>
      <c r="D904" s="437" t="s">
        <v>42</v>
      </c>
      <c r="E904" s="437">
        <v>24</v>
      </c>
    </row>
    <row r="905" spans="1:5" x14ac:dyDescent="0.25">
      <c r="A905" t="s">
        <v>119</v>
      </c>
      <c r="B905">
        <v>2015</v>
      </c>
      <c r="C905" t="s">
        <v>205</v>
      </c>
      <c r="D905" s="437" t="s">
        <v>44</v>
      </c>
      <c r="E905" s="437">
        <v>0</v>
      </c>
    </row>
    <row r="906" spans="1:5" x14ac:dyDescent="0.25">
      <c r="A906" t="s">
        <v>119</v>
      </c>
      <c r="B906">
        <v>2015</v>
      </c>
      <c r="C906" t="s">
        <v>205</v>
      </c>
      <c r="D906" s="437" t="s">
        <v>397</v>
      </c>
      <c r="E906" s="437">
        <v>0</v>
      </c>
    </row>
    <row r="907" spans="1:5" x14ac:dyDescent="0.25">
      <c r="A907" t="s">
        <v>119</v>
      </c>
      <c r="B907">
        <v>2015</v>
      </c>
      <c r="C907" t="s">
        <v>205</v>
      </c>
      <c r="D907" s="437" t="s">
        <v>133</v>
      </c>
      <c r="E907" s="437">
        <v>539</v>
      </c>
    </row>
    <row r="908" spans="1:5" x14ac:dyDescent="0.25">
      <c r="A908" t="s">
        <v>119</v>
      </c>
      <c r="B908">
        <v>2015</v>
      </c>
      <c r="C908" t="s">
        <v>205</v>
      </c>
      <c r="D908" s="437" t="s">
        <v>597</v>
      </c>
      <c r="E908" s="437">
        <v>530</v>
      </c>
    </row>
    <row r="909" spans="1:5" x14ac:dyDescent="0.25">
      <c r="A909" t="s">
        <v>119</v>
      </c>
      <c r="B909">
        <v>2015</v>
      </c>
      <c r="C909" t="s">
        <v>205</v>
      </c>
      <c r="D909" s="437" t="s">
        <v>596</v>
      </c>
      <c r="E909" s="437">
        <v>1439</v>
      </c>
    </row>
    <row r="910" spans="1:5" x14ac:dyDescent="0.25">
      <c r="A910" t="s">
        <v>119</v>
      </c>
      <c r="B910">
        <v>2015</v>
      </c>
      <c r="C910" t="s">
        <v>205</v>
      </c>
      <c r="D910" s="437" t="s">
        <v>413</v>
      </c>
      <c r="E910" s="437">
        <v>0</v>
      </c>
    </row>
    <row r="911" spans="1:5" x14ac:dyDescent="0.25">
      <c r="A911" t="s">
        <v>125</v>
      </c>
      <c r="B911">
        <v>2015</v>
      </c>
      <c r="C911" t="s">
        <v>205</v>
      </c>
      <c r="D911" s="437" t="s">
        <v>57</v>
      </c>
      <c r="E911" s="437">
        <v>0</v>
      </c>
    </row>
    <row r="912" spans="1:5" x14ac:dyDescent="0.25">
      <c r="A912" t="s">
        <v>125</v>
      </c>
      <c r="B912">
        <v>2015</v>
      </c>
      <c r="C912" t="s">
        <v>205</v>
      </c>
      <c r="D912" s="437" t="s">
        <v>348</v>
      </c>
      <c r="E912" s="437">
        <v>5238</v>
      </c>
    </row>
    <row r="913" spans="1:5" x14ac:dyDescent="0.25">
      <c r="A913" t="s">
        <v>125</v>
      </c>
      <c r="B913">
        <v>2015</v>
      </c>
      <c r="C913" t="s">
        <v>205</v>
      </c>
      <c r="D913" s="437" t="s">
        <v>349</v>
      </c>
      <c r="E913" s="437">
        <v>0</v>
      </c>
    </row>
    <row r="914" spans="1:5" x14ac:dyDescent="0.25">
      <c r="A914" t="s">
        <v>125</v>
      </c>
      <c r="B914">
        <v>2015</v>
      </c>
      <c r="C914" t="s">
        <v>205</v>
      </c>
      <c r="D914" s="437" t="s">
        <v>595</v>
      </c>
      <c r="E914" s="437">
        <v>311</v>
      </c>
    </row>
    <row r="915" spans="1:5" x14ac:dyDescent="0.25">
      <c r="A915" t="s">
        <v>125</v>
      </c>
      <c r="B915">
        <v>2015</v>
      </c>
      <c r="C915" t="s">
        <v>205</v>
      </c>
      <c r="D915" s="437" t="s">
        <v>352</v>
      </c>
      <c r="E915" s="437">
        <v>0</v>
      </c>
    </row>
    <row r="916" spans="1:5" x14ac:dyDescent="0.25">
      <c r="A916" t="s">
        <v>125</v>
      </c>
      <c r="B916">
        <v>2015</v>
      </c>
      <c r="C916" t="s">
        <v>205</v>
      </c>
      <c r="D916" s="437" t="s">
        <v>43</v>
      </c>
      <c r="E916" s="437">
        <v>0</v>
      </c>
    </row>
    <row r="917" spans="1:5" x14ac:dyDescent="0.25">
      <c r="A917" t="s">
        <v>125</v>
      </c>
      <c r="B917">
        <v>2015</v>
      </c>
      <c r="C917" t="s">
        <v>205</v>
      </c>
      <c r="D917" s="437" t="s">
        <v>42</v>
      </c>
      <c r="E917" s="437">
        <v>31</v>
      </c>
    </row>
    <row r="918" spans="1:5" x14ac:dyDescent="0.25">
      <c r="A918" t="s">
        <v>125</v>
      </c>
      <c r="B918">
        <v>2015</v>
      </c>
      <c r="C918" t="s">
        <v>205</v>
      </c>
      <c r="D918" s="437" t="s">
        <v>44</v>
      </c>
      <c r="E918" s="437">
        <v>0</v>
      </c>
    </row>
    <row r="919" spans="1:5" x14ac:dyDescent="0.25">
      <c r="A919" t="s">
        <v>125</v>
      </c>
      <c r="B919">
        <v>2015</v>
      </c>
      <c r="C919" t="s">
        <v>205</v>
      </c>
      <c r="D919" s="437" t="s">
        <v>397</v>
      </c>
      <c r="E919" s="437">
        <v>0</v>
      </c>
    </row>
    <row r="920" spans="1:5" x14ac:dyDescent="0.25">
      <c r="A920" t="s">
        <v>125</v>
      </c>
      <c r="B920">
        <v>2015</v>
      </c>
      <c r="C920" t="s">
        <v>205</v>
      </c>
      <c r="D920" s="437" t="s">
        <v>133</v>
      </c>
      <c r="E920" s="437">
        <v>3009</v>
      </c>
    </row>
    <row r="921" spans="1:5" x14ac:dyDescent="0.25">
      <c r="A921" t="s">
        <v>125</v>
      </c>
      <c r="B921">
        <v>2015</v>
      </c>
      <c r="C921" t="s">
        <v>205</v>
      </c>
      <c r="D921" s="437" t="s">
        <v>597</v>
      </c>
      <c r="E921" s="437">
        <v>2486</v>
      </c>
    </row>
    <row r="922" spans="1:5" x14ac:dyDescent="0.25">
      <c r="A922" t="s">
        <v>125</v>
      </c>
      <c r="B922">
        <v>2015</v>
      </c>
      <c r="C922" t="s">
        <v>205</v>
      </c>
      <c r="D922" s="437" t="s">
        <v>596</v>
      </c>
      <c r="E922" s="437">
        <v>6879</v>
      </c>
    </row>
    <row r="923" spans="1:5" x14ac:dyDescent="0.25">
      <c r="A923" t="s">
        <v>125</v>
      </c>
      <c r="B923">
        <v>2015</v>
      </c>
      <c r="C923" t="s">
        <v>205</v>
      </c>
      <c r="D923" s="437" t="s">
        <v>413</v>
      </c>
      <c r="E923" s="437">
        <v>0</v>
      </c>
    </row>
    <row r="924" spans="1:5" x14ac:dyDescent="0.25">
      <c r="A924" t="s">
        <v>643</v>
      </c>
      <c r="B924">
        <v>2015</v>
      </c>
      <c r="C924" t="s">
        <v>205</v>
      </c>
      <c r="D924" s="437" t="s">
        <v>57</v>
      </c>
      <c r="E924" s="437">
        <v>124551</v>
      </c>
    </row>
    <row r="925" spans="1:5" x14ac:dyDescent="0.25">
      <c r="A925" t="s">
        <v>643</v>
      </c>
      <c r="B925">
        <v>2015</v>
      </c>
      <c r="C925" t="s">
        <v>205</v>
      </c>
      <c r="D925" s="437" t="s">
        <v>348</v>
      </c>
      <c r="E925" s="437">
        <v>62991</v>
      </c>
    </row>
    <row r="926" spans="1:5" x14ac:dyDescent="0.25">
      <c r="A926" t="s">
        <v>643</v>
      </c>
      <c r="B926">
        <v>2015</v>
      </c>
      <c r="C926" t="s">
        <v>205</v>
      </c>
      <c r="D926" s="437" t="s">
        <v>349</v>
      </c>
      <c r="E926" s="437">
        <v>108450</v>
      </c>
    </row>
    <row r="927" spans="1:5" x14ac:dyDescent="0.25">
      <c r="A927" t="s">
        <v>643</v>
      </c>
      <c r="B927">
        <v>2015</v>
      </c>
      <c r="C927" t="s">
        <v>205</v>
      </c>
      <c r="D927" s="437" t="s">
        <v>595</v>
      </c>
      <c r="E927" s="437">
        <v>217324</v>
      </c>
    </row>
    <row r="928" spans="1:5" x14ac:dyDescent="0.25">
      <c r="A928" t="s">
        <v>643</v>
      </c>
      <c r="B928">
        <v>2015</v>
      </c>
      <c r="C928" t="s">
        <v>205</v>
      </c>
      <c r="D928" s="437" t="s">
        <v>352</v>
      </c>
      <c r="E928" s="437">
        <v>51762</v>
      </c>
    </row>
    <row r="929" spans="1:5" x14ac:dyDescent="0.25">
      <c r="A929" t="s">
        <v>643</v>
      </c>
      <c r="B929">
        <v>2015</v>
      </c>
      <c r="C929" t="s">
        <v>205</v>
      </c>
      <c r="D929" s="437" t="s">
        <v>43</v>
      </c>
      <c r="E929" s="437">
        <v>136071</v>
      </c>
    </row>
    <row r="930" spans="1:5" x14ac:dyDescent="0.25">
      <c r="A930" t="s">
        <v>643</v>
      </c>
      <c r="B930">
        <v>2015</v>
      </c>
      <c r="C930" t="s">
        <v>205</v>
      </c>
      <c r="D930" s="437" t="s">
        <v>44</v>
      </c>
      <c r="E930" s="437">
        <v>94582</v>
      </c>
    </row>
    <row r="931" spans="1:5" x14ac:dyDescent="0.25">
      <c r="A931" t="s">
        <v>643</v>
      </c>
      <c r="B931">
        <v>2015</v>
      </c>
      <c r="C931" t="s">
        <v>205</v>
      </c>
      <c r="D931" s="437" t="s">
        <v>397</v>
      </c>
      <c r="E931" s="437">
        <v>25383</v>
      </c>
    </row>
    <row r="932" spans="1:5" x14ac:dyDescent="0.25">
      <c r="A932" t="s">
        <v>643</v>
      </c>
      <c r="B932">
        <v>2015</v>
      </c>
      <c r="C932" t="s">
        <v>205</v>
      </c>
      <c r="D932" s="437" t="s">
        <v>133</v>
      </c>
      <c r="E932" s="437">
        <v>202173</v>
      </c>
    </row>
    <row r="933" spans="1:5" x14ac:dyDescent="0.25">
      <c r="A933" t="s">
        <v>643</v>
      </c>
      <c r="B933">
        <v>2015</v>
      </c>
      <c r="C933" t="s">
        <v>205</v>
      </c>
      <c r="D933" s="437" t="s">
        <v>597</v>
      </c>
      <c r="E933" s="437">
        <v>240673</v>
      </c>
    </row>
    <row r="934" spans="1:5" x14ac:dyDescent="0.25">
      <c r="A934" t="s">
        <v>643</v>
      </c>
      <c r="B934">
        <v>2015</v>
      </c>
      <c r="C934" t="s">
        <v>205</v>
      </c>
      <c r="D934" s="437" t="s">
        <v>596</v>
      </c>
      <c r="E934" s="437">
        <v>528093</v>
      </c>
    </row>
    <row r="935" spans="1:5" x14ac:dyDescent="0.25">
      <c r="A935" t="s">
        <v>643</v>
      </c>
      <c r="B935">
        <v>2015</v>
      </c>
      <c r="C935" t="s">
        <v>205</v>
      </c>
      <c r="D935" s="437" t="s">
        <v>413</v>
      </c>
      <c r="E935" s="437">
        <v>6425</v>
      </c>
    </row>
    <row r="936" spans="1:5" x14ac:dyDescent="0.25">
      <c r="A936" t="s">
        <v>99</v>
      </c>
      <c r="B936">
        <v>2016</v>
      </c>
      <c r="C936" t="s">
        <v>205</v>
      </c>
      <c r="D936" s="437" t="s">
        <v>57</v>
      </c>
      <c r="E936" s="437">
        <v>0</v>
      </c>
    </row>
    <row r="937" spans="1:5" x14ac:dyDescent="0.25">
      <c r="A937" t="s">
        <v>99</v>
      </c>
      <c r="B937">
        <v>2016</v>
      </c>
      <c r="C937" t="s">
        <v>205</v>
      </c>
      <c r="D937" s="437" t="s">
        <v>348</v>
      </c>
      <c r="E937" s="437">
        <v>0</v>
      </c>
    </row>
    <row r="938" spans="1:5" x14ac:dyDescent="0.25">
      <c r="A938" t="s">
        <v>99</v>
      </c>
      <c r="B938">
        <v>2016</v>
      </c>
      <c r="C938" t="s">
        <v>205</v>
      </c>
      <c r="D938" s="437" t="s">
        <v>349</v>
      </c>
      <c r="E938" s="437">
        <v>1171</v>
      </c>
    </row>
    <row r="939" spans="1:5" x14ac:dyDescent="0.25">
      <c r="A939" t="s">
        <v>99</v>
      </c>
      <c r="B939">
        <v>2016</v>
      </c>
      <c r="C939" t="s">
        <v>205</v>
      </c>
      <c r="D939" s="437" t="s">
        <v>595</v>
      </c>
      <c r="E939" s="437">
        <v>4820</v>
      </c>
    </row>
    <row r="940" spans="1:5" x14ac:dyDescent="0.25">
      <c r="A940" t="s">
        <v>99</v>
      </c>
      <c r="B940">
        <v>2016</v>
      </c>
      <c r="C940" t="s">
        <v>205</v>
      </c>
      <c r="D940" s="437" t="s">
        <v>352</v>
      </c>
      <c r="E940" s="437">
        <v>1068</v>
      </c>
    </row>
    <row r="941" spans="1:5" x14ac:dyDescent="0.25">
      <c r="A941" t="s">
        <v>99</v>
      </c>
      <c r="B941">
        <v>2016</v>
      </c>
      <c r="C941" t="s">
        <v>205</v>
      </c>
      <c r="D941" s="437" t="s">
        <v>43</v>
      </c>
      <c r="E941" s="437">
        <v>2489</v>
      </c>
    </row>
    <row r="942" spans="1:5" x14ac:dyDescent="0.25">
      <c r="A942" t="s">
        <v>99</v>
      </c>
      <c r="B942">
        <v>2016</v>
      </c>
      <c r="C942" t="s">
        <v>205</v>
      </c>
      <c r="D942" s="437" t="s">
        <v>42</v>
      </c>
      <c r="E942" s="437">
        <v>0</v>
      </c>
    </row>
    <row r="943" spans="1:5" x14ac:dyDescent="0.25">
      <c r="A943" t="s">
        <v>99</v>
      </c>
      <c r="B943">
        <v>2016</v>
      </c>
      <c r="C943" t="s">
        <v>205</v>
      </c>
      <c r="D943" s="437" t="s">
        <v>44</v>
      </c>
      <c r="E943" s="437">
        <v>732</v>
      </c>
    </row>
    <row r="944" spans="1:5" x14ac:dyDescent="0.25">
      <c r="A944" t="s">
        <v>99</v>
      </c>
      <c r="B944">
        <v>2016</v>
      </c>
      <c r="C944" t="s">
        <v>205</v>
      </c>
      <c r="D944" s="437" t="s">
        <v>397</v>
      </c>
      <c r="E944" s="437">
        <v>596</v>
      </c>
    </row>
    <row r="945" spans="1:5" x14ac:dyDescent="0.25">
      <c r="A945" t="s">
        <v>99</v>
      </c>
      <c r="B945">
        <v>2016</v>
      </c>
      <c r="C945" t="s">
        <v>205</v>
      </c>
      <c r="D945" s="437" t="s">
        <v>133</v>
      </c>
      <c r="E945" s="437">
        <v>13656</v>
      </c>
    </row>
    <row r="946" spans="1:5" x14ac:dyDescent="0.25">
      <c r="A946" t="s">
        <v>99</v>
      </c>
      <c r="B946">
        <v>2016</v>
      </c>
      <c r="C946" t="s">
        <v>205</v>
      </c>
      <c r="D946" s="437" t="s">
        <v>597</v>
      </c>
      <c r="E946" s="437">
        <v>4664</v>
      </c>
    </row>
    <row r="947" spans="1:5" x14ac:dyDescent="0.25">
      <c r="A947" t="s">
        <v>99</v>
      </c>
      <c r="B947">
        <v>2016</v>
      </c>
      <c r="C947" t="s">
        <v>205</v>
      </c>
      <c r="D947" s="437" t="s">
        <v>596</v>
      </c>
      <c r="E947" s="437">
        <v>11728</v>
      </c>
    </row>
    <row r="948" spans="1:5" x14ac:dyDescent="0.25">
      <c r="A948" t="s">
        <v>99</v>
      </c>
      <c r="B948">
        <v>2016</v>
      </c>
      <c r="C948" t="s">
        <v>205</v>
      </c>
      <c r="D948" s="437" t="s">
        <v>413</v>
      </c>
      <c r="E948" s="437">
        <v>114</v>
      </c>
    </row>
    <row r="949" spans="1:5" x14ac:dyDescent="0.25">
      <c r="A949" t="s">
        <v>101</v>
      </c>
      <c r="B949">
        <v>2016</v>
      </c>
      <c r="C949" t="s">
        <v>205</v>
      </c>
      <c r="D949" s="437" t="s">
        <v>57</v>
      </c>
      <c r="E949" s="437">
        <v>5926</v>
      </c>
    </row>
    <row r="950" spans="1:5" x14ac:dyDescent="0.25">
      <c r="A950" t="s">
        <v>101</v>
      </c>
      <c r="B950">
        <v>2016</v>
      </c>
      <c r="C950" t="s">
        <v>205</v>
      </c>
      <c r="D950" s="437" t="s">
        <v>348</v>
      </c>
      <c r="E950" s="437">
        <v>0</v>
      </c>
    </row>
    <row r="951" spans="1:5" x14ac:dyDescent="0.25">
      <c r="A951" t="s">
        <v>101</v>
      </c>
      <c r="B951">
        <v>2016</v>
      </c>
      <c r="C951" t="s">
        <v>205</v>
      </c>
      <c r="D951" s="437" t="s">
        <v>349</v>
      </c>
      <c r="E951" s="437">
        <v>0</v>
      </c>
    </row>
    <row r="952" spans="1:5" x14ac:dyDescent="0.25">
      <c r="A952" t="s">
        <v>101</v>
      </c>
      <c r="B952">
        <v>2016</v>
      </c>
      <c r="C952" t="s">
        <v>205</v>
      </c>
      <c r="D952" s="437" t="s">
        <v>595</v>
      </c>
      <c r="E952" s="437">
        <v>6546</v>
      </c>
    </row>
    <row r="953" spans="1:5" x14ac:dyDescent="0.25">
      <c r="A953" t="s">
        <v>101</v>
      </c>
      <c r="B953">
        <v>2016</v>
      </c>
      <c r="C953" t="s">
        <v>205</v>
      </c>
      <c r="D953" s="437" t="s">
        <v>352</v>
      </c>
      <c r="E953" s="437">
        <v>160</v>
      </c>
    </row>
    <row r="954" spans="1:5" x14ac:dyDescent="0.25">
      <c r="A954" t="s">
        <v>101</v>
      </c>
      <c r="B954">
        <v>2016</v>
      </c>
      <c r="C954" t="s">
        <v>205</v>
      </c>
      <c r="D954" s="437" t="s">
        <v>43</v>
      </c>
      <c r="E954" s="437">
        <v>1580</v>
      </c>
    </row>
    <row r="955" spans="1:5" x14ac:dyDescent="0.25">
      <c r="A955" t="s">
        <v>101</v>
      </c>
      <c r="B955">
        <v>2016</v>
      </c>
      <c r="C955" t="s">
        <v>205</v>
      </c>
      <c r="D955" s="437" t="s">
        <v>42</v>
      </c>
      <c r="E955" s="437">
        <v>712</v>
      </c>
    </row>
    <row r="956" spans="1:5" x14ac:dyDescent="0.25">
      <c r="A956" t="s">
        <v>101</v>
      </c>
      <c r="B956">
        <v>2016</v>
      </c>
      <c r="C956" t="s">
        <v>205</v>
      </c>
      <c r="D956" s="437" t="s">
        <v>44</v>
      </c>
      <c r="E956" s="437">
        <v>3087</v>
      </c>
    </row>
    <row r="957" spans="1:5" x14ac:dyDescent="0.25">
      <c r="A957" t="s">
        <v>101</v>
      </c>
      <c r="B957">
        <v>2016</v>
      </c>
      <c r="C957" t="s">
        <v>205</v>
      </c>
      <c r="D957" s="437" t="s">
        <v>397</v>
      </c>
      <c r="E957" s="437">
        <v>823</v>
      </c>
    </row>
    <row r="958" spans="1:5" x14ac:dyDescent="0.25">
      <c r="A958" t="s">
        <v>101</v>
      </c>
      <c r="B958">
        <v>2016</v>
      </c>
      <c r="C958" t="s">
        <v>205</v>
      </c>
      <c r="D958" s="437" t="s">
        <v>133</v>
      </c>
      <c r="E958" s="437">
        <v>1430</v>
      </c>
    </row>
    <row r="959" spans="1:5" x14ac:dyDescent="0.25">
      <c r="A959" t="s">
        <v>101</v>
      </c>
      <c r="B959">
        <v>2016</v>
      </c>
      <c r="C959" t="s">
        <v>205</v>
      </c>
      <c r="D959" s="437" t="s">
        <v>597</v>
      </c>
      <c r="E959" s="437">
        <v>6012</v>
      </c>
    </row>
    <row r="960" spans="1:5" x14ac:dyDescent="0.25">
      <c r="A960" t="s">
        <v>101</v>
      </c>
      <c r="B960">
        <v>2016</v>
      </c>
      <c r="C960" t="s">
        <v>205</v>
      </c>
      <c r="D960" s="437" t="s">
        <v>596</v>
      </c>
      <c r="E960" s="437">
        <v>13147</v>
      </c>
    </row>
    <row r="961" spans="1:5" x14ac:dyDescent="0.25">
      <c r="A961" t="s">
        <v>101</v>
      </c>
      <c r="B961">
        <v>2016</v>
      </c>
      <c r="C961" t="s">
        <v>205</v>
      </c>
      <c r="D961" s="437" t="s">
        <v>413</v>
      </c>
      <c r="E961" s="437">
        <v>372</v>
      </c>
    </row>
    <row r="962" spans="1:5" x14ac:dyDescent="0.25">
      <c r="A962" t="s">
        <v>102</v>
      </c>
      <c r="B962">
        <v>2016</v>
      </c>
      <c r="C962" t="s">
        <v>205</v>
      </c>
      <c r="D962" s="437" t="s">
        <v>57</v>
      </c>
      <c r="E962" s="437">
        <v>2000</v>
      </c>
    </row>
    <row r="963" spans="1:5" x14ac:dyDescent="0.25">
      <c r="A963" t="s">
        <v>102</v>
      </c>
      <c r="B963">
        <v>2016</v>
      </c>
      <c r="C963" t="s">
        <v>205</v>
      </c>
      <c r="D963" s="437" t="s">
        <v>348</v>
      </c>
      <c r="E963" s="437">
        <v>4199</v>
      </c>
    </row>
    <row r="964" spans="1:5" x14ac:dyDescent="0.25">
      <c r="A964" t="s">
        <v>102</v>
      </c>
      <c r="B964">
        <v>2016</v>
      </c>
      <c r="C964" t="s">
        <v>205</v>
      </c>
      <c r="D964" s="437" t="s">
        <v>349</v>
      </c>
      <c r="E964" s="437">
        <v>708</v>
      </c>
    </row>
    <row r="965" spans="1:5" x14ac:dyDescent="0.25">
      <c r="A965" t="s">
        <v>102</v>
      </c>
      <c r="B965">
        <v>2016</v>
      </c>
      <c r="C965" t="s">
        <v>205</v>
      </c>
      <c r="D965" s="437" t="s">
        <v>595</v>
      </c>
      <c r="E965" s="437">
        <v>775</v>
      </c>
    </row>
    <row r="966" spans="1:5" x14ac:dyDescent="0.25">
      <c r="A966" t="s">
        <v>102</v>
      </c>
      <c r="B966">
        <v>2016</v>
      </c>
      <c r="C966" t="s">
        <v>205</v>
      </c>
      <c r="D966" s="437" t="s">
        <v>352</v>
      </c>
      <c r="E966" s="437">
        <v>0</v>
      </c>
    </row>
    <row r="967" spans="1:5" x14ac:dyDescent="0.25">
      <c r="A967" t="s">
        <v>102</v>
      </c>
      <c r="B967">
        <v>2016</v>
      </c>
      <c r="C967" t="s">
        <v>205</v>
      </c>
      <c r="D967" s="437" t="s">
        <v>43</v>
      </c>
      <c r="E967" s="437">
        <v>701</v>
      </c>
    </row>
    <row r="968" spans="1:5" x14ac:dyDescent="0.25">
      <c r="A968" t="s">
        <v>102</v>
      </c>
      <c r="B968">
        <v>2016</v>
      </c>
      <c r="C968" t="s">
        <v>205</v>
      </c>
      <c r="D968" s="437" t="s">
        <v>42</v>
      </c>
      <c r="E968" s="437">
        <v>0</v>
      </c>
    </row>
    <row r="969" spans="1:5" x14ac:dyDescent="0.25">
      <c r="A969" t="s">
        <v>102</v>
      </c>
      <c r="B969">
        <v>2016</v>
      </c>
      <c r="C969" t="s">
        <v>205</v>
      </c>
      <c r="D969" s="437" t="s">
        <v>44</v>
      </c>
      <c r="E969" s="437">
        <v>1043</v>
      </c>
    </row>
    <row r="970" spans="1:5" x14ac:dyDescent="0.25">
      <c r="A970" t="s">
        <v>102</v>
      </c>
      <c r="B970">
        <v>2016</v>
      </c>
      <c r="C970" t="s">
        <v>205</v>
      </c>
      <c r="D970" s="437" t="s">
        <v>397</v>
      </c>
      <c r="E970" s="437">
        <v>69</v>
      </c>
    </row>
    <row r="971" spans="1:5" x14ac:dyDescent="0.25">
      <c r="A971" t="s">
        <v>102</v>
      </c>
      <c r="B971">
        <v>2016</v>
      </c>
      <c r="C971" t="s">
        <v>205</v>
      </c>
      <c r="D971" s="437" t="s">
        <v>133</v>
      </c>
      <c r="E971" s="437">
        <v>3204</v>
      </c>
    </row>
    <row r="972" spans="1:5" x14ac:dyDescent="0.25">
      <c r="A972" t="s">
        <v>102</v>
      </c>
      <c r="B972">
        <v>2016</v>
      </c>
      <c r="C972" t="s">
        <v>205</v>
      </c>
      <c r="D972" s="437" t="s">
        <v>597</v>
      </c>
      <c r="E972" s="437">
        <v>2662</v>
      </c>
    </row>
    <row r="973" spans="1:5" x14ac:dyDescent="0.25">
      <c r="A973" t="s">
        <v>102</v>
      </c>
      <c r="B973">
        <v>2016</v>
      </c>
      <c r="C973" t="s">
        <v>205</v>
      </c>
      <c r="D973" s="437" t="s">
        <v>596</v>
      </c>
      <c r="E973" s="437">
        <v>7105</v>
      </c>
    </row>
    <row r="974" spans="1:5" x14ac:dyDescent="0.25">
      <c r="A974" t="s">
        <v>102</v>
      </c>
      <c r="B974">
        <v>2016</v>
      </c>
      <c r="C974" t="s">
        <v>205</v>
      </c>
      <c r="D974" s="437" t="s">
        <v>413</v>
      </c>
      <c r="E974" s="437">
        <v>0</v>
      </c>
    </row>
    <row r="975" spans="1:5" x14ac:dyDescent="0.25">
      <c r="A975" t="s">
        <v>103</v>
      </c>
      <c r="B975">
        <v>2016</v>
      </c>
      <c r="C975" t="s">
        <v>205</v>
      </c>
      <c r="D975" s="437" t="s">
        <v>57</v>
      </c>
      <c r="E975" s="437">
        <v>3333</v>
      </c>
    </row>
    <row r="976" spans="1:5" x14ac:dyDescent="0.25">
      <c r="A976" t="s">
        <v>103</v>
      </c>
      <c r="B976">
        <v>2016</v>
      </c>
      <c r="C976" t="s">
        <v>205</v>
      </c>
      <c r="D976" s="437" t="s">
        <v>348</v>
      </c>
      <c r="E976" s="437">
        <v>0</v>
      </c>
    </row>
    <row r="977" spans="1:5" x14ac:dyDescent="0.25">
      <c r="A977" t="s">
        <v>103</v>
      </c>
      <c r="B977">
        <v>2016</v>
      </c>
      <c r="C977" t="s">
        <v>205</v>
      </c>
      <c r="D977" s="437" t="s">
        <v>349</v>
      </c>
      <c r="E977" s="437">
        <v>0</v>
      </c>
    </row>
    <row r="978" spans="1:5" x14ac:dyDescent="0.25">
      <c r="A978" t="s">
        <v>103</v>
      </c>
      <c r="B978">
        <v>2016</v>
      </c>
      <c r="C978" t="s">
        <v>205</v>
      </c>
      <c r="D978" s="437" t="s">
        <v>595</v>
      </c>
      <c r="E978" s="437">
        <v>0</v>
      </c>
    </row>
    <row r="979" spans="1:5" x14ac:dyDescent="0.25">
      <c r="A979" t="s">
        <v>103</v>
      </c>
      <c r="B979">
        <v>2016</v>
      </c>
      <c r="C979" t="s">
        <v>205</v>
      </c>
      <c r="D979" s="437" t="s">
        <v>352</v>
      </c>
      <c r="E979" s="437">
        <v>501</v>
      </c>
    </row>
    <row r="980" spans="1:5" x14ac:dyDescent="0.25">
      <c r="A980" t="s">
        <v>103</v>
      </c>
      <c r="B980">
        <v>2016</v>
      </c>
      <c r="C980" t="s">
        <v>205</v>
      </c>
      <c r="D980" s="437" t="s">
        <v>43</v>
      </c>
      <c r="E980" s="437">
        <v>60</v>
      </c>
    </row>
    <row r="981" spans="1:5" x14ac:dyDescent="0.25">
      <c r="A981" t="s">
        <v>103</v>
      </c>
      <c r="B981">
        <v>2016</v>
      </c>
      <c r="C981" t="s">
        <v>205</v>
      </c>
      <c r="D981" s="437" t="s">
        <v>42</v>
      </c>
      <c r="E981" s="437">
        <v>0</v>
      </c>
    </row>
    <row r="982" spans="1:5" x14ac:dyDescent="0.25">
      <c r="A982" t="s">
        <v>103</v>
      </c>
      <c r="B982">
        <v>2016</v>
      </c>
      <c r="C982" t="s">
        <v>205</v>
      </c>
      <c r="D982" s="437" t="s">
        <v>44</v>
      </c>
      <c r="E982" s="437">
        <v>1061</v>
      </c>
    </row>
    <row r="983" spans="1:5" x14ac:dyDescent="0.25">
      <c r="A983" t="s">
        <v>103</v>
      </c>
      <c r="B983">
        <v>2016</v>
      </c>
      <c r="C983" t="s">
        <v>205</v>
      </c>
      <c r="D983" s="437" t="s">
        <v>397</v>
      </c>
      <c r="E983" s="437">
        <v>248</v>
      </c>
    </row>
    <row r="984" spans="1:5" x14ac:dyDescent="0.25">
      <c r="A984" t="s">
        <v>103</v>
      </c>
      <c r="B984">
        <v>2016</v>
      </c>
      <c r="C984" t="s">
        <v>205</v>
      </c>
      <c r="D984" s="437" t="s">
        <v>133</v>
      </c>
      <c r="E984" s="437">
        <v>13745</v>
      </c>
    </row>
    <row r="985" spans="1:5" x14ac:dyDescent="0.25">
      <c r="A985" t="s">
        <v>103</v>
      </c>
      <c r="B985">
        <v>2016</v>
      </c>
      <c r="C985" t="s">
        <v>205</v>
      </c>
      <c r="D985" s="437" t="s">
        <v>597</v>
      </c>
      <c r="E985" s="437">
        <v>4547</v>
      </c>
    </row>
    <row r="986" spans="1:5" x14ac:dyDescent="0.25">
      <c r="A986" t="s">
        <v>103</v>
      </c>
      <c r="B986">
        <v>2016</v>
      </c>
      <c r="C986" t="s">
        <v>205</v>
      </c>
      <c r="D986" s="437" t="s">
        <v>596</v>
      </c>
      <c r="E986" s="437">
        <v>10178</v>
      </c>
    </row>
    <row r="987" spans="1:5" x14ac:dyDescent="0.25">
      <c r="A987" t="s">
        <v>103</v>
      </c>
      <c r="B987">
        <v>2016</v>
      </c>
      <c r="C987" t="s">
        <v>205</v>
      </c>
      <c r="D987" s="437" t="s">
        <v>413</v>
      </c>
      <c r="E987" s="437">
        <v>244</v>
      </c>
    </row>
    <row r="988" spans="1:5" x14ac:dyDescent="0.25">
      <c r="A988" t="s">
        <v>198</v>
      </c>
      <c r="B988">
        <v>2016</v>
      </c>
      <c r="C988" t="s">
        <v>205</v>
      </c>
      <c r="D988" s="437" t="s">
        <v>57</v>
      </c>
      <c r="E988" s="437">
        <v>0</v>
      </c>
    </row>
    <row r="989" spans="1:5" x14ac:dyDescent="0.25">
      <c r="A989" t="s">
        <v>198</v>
      </c>
      <c r="B989">
        <v>2016</v>
      </c>
      <c r="C989" t="s">
        <v>205</v>
      </c>
      <c r="D989" s="437" t="s">
        <v>348</v>
      </c>
      <c r="E989" s="437">
        <v>0</v>
      </c>
    </row>
    <row r="990" spans="1:5" x14ac:dyDescent="0.25">
      <c r="A990" t="s">
        <v>198</v>
      </c>
      <c r="B990">
        <v>2016</v>
      </c>
      <c r="C990" t="s">
        <v>205</v>
      </c>
      <c r="D990" s="437" t="s">
        <v>349</v>
      </c>
      <c r="E990" s="437">
        <v>0</v>
      </c>
    </row>
    <row r="991" spans="1:5" x14ac:dyDescent="0.25">
      <c r="A991" t="s">
        <v>198</v>
      </c>
      <c r="B991">
        <v>2016</v>
      </c>
      <c r="C991" t="s">
        <v>205</v>
      </c>
      <c r="D991" s="437" t="s">
        <v>595</v>
      </c>
      <c r="E991" s="437">
        <v>0</v>
      </c>
    </row>
    <row r="992" spans="1:5" x14ac:dyDescent="0.25">
      <c r="A992" t="s">
        <v>198</v>
      </c>
      <c r="B992">
        <v>2016</v>
      </c>
      <c r="C992" t="s">
        <v>205</v>
      </c>
      <c r="D992" s="437" t="s">
        <v>352</v>
      </c>
      <c r="E992" s="437">
        <v>1478</v>
      </c>
    </row>
    <row r="993" spans="1:5" x14ac:dyDescent="0.25">
      <c r="A993" t="s">
        <v>198</v>
      </c>
      <c r="B993">
        <v>2016</v>
      </c>
      <c r="C993" t="s">
        <v>205</v>
      </c>
      <c r="D993" s="437" t="s">
        <v>43</v>
      </c>
      <c r="E993" s="437">
        <v>155</v>
      </c>
    </row>
    <row r="994" spans="1:5" x14ac:dyDescent="0.25">
      <c r="A994" t="s">
        <v>198</v>
      </c>
      <c r="B994">
        <v>2016</v>
      </c>
      <c r="C994" t="s">
        <v>205</v>
      </c>
      <c r="D994" s="437" t="s">
        <v>42</v>
      </c>
      <c r="E994" s="437">
        <v>0</v>
      </c>
    </row>
    <row r="995" spans="1:5" x14ac:dyDescent="0.25">
      <c r="A995" t="s">
        <v>198</v>
      </c>
      <c r="B995">
        <v>2016</v>
      </c>
      <c r="C995" t="s">
        <v>205</v>
      </c>
      <c r="D995" s="437" t="s">
        <v>44</v>
      </c>
      <c r="E995" s="437">
        <v>0</v>
      </c>
    </row>
    <row r="996" spans="1:5" x14ac:dyDescent="0.25">
      <c r="A996" t="s">
        <v>198</v>
      </c>
      <c r="B996">
        <v>2016</v>
      </c>
      <c r="C996" t="s">
        <v>205</v>
      </c>
      <c r="D996" s="437" t="s">
        <v>397</v>
      </c>
      <c r="E996" s="437">
        <v>0</v>
      </c>
    </row>
    <row r="997" spans="1:5" x14ac:dyDescent="0.25">
      <c r="A997" t="s">
        <v>198</v>
      </c>
      <c r="B997">
        <v>2016</v>
      </c>
      <c r="C997" t="s">
        <v>205</v>
      </c>
      <c r="D997" s="437" t="s">
        <v>133</v>
      </c>
      <c r="E997" s="437">
        <v>0</v>
      </c>
    </row>
    <row r="998" spans="1:5" x14ac:dyDescent="0.25">
      <c r="A998" t="s">
        <v>198</v>
      </c>
      <c r="B998">
        <v>2016</v>
      </c>
      <c r="C998" t="s">
        <v>205</v>
      </c>
      <c r="D998" s="437" t="s">
        <v>597</v>
      </c>
      <c r="E998" s="437">
        <v>285</v>
      </c>
    </row>
    <row r="999" spans="1:5" x14ac:dyDescent="0.25">
      <c r="A999" t="s">
        <v>198</v>
      </c>
      <c r="B999">
        <v>2016</v>
      </c>
      <c r="C999" t="s">
        <v>205</v>
      </c>
      <c r="D999" s="437" t="s">
        <v>596</v>
      </c>
      <c r="E999" s="437">
        <v>966</v>
      </c>
    </row>
    <row r="1000" spans="1:5" x14ac:dyDescent="0.25">
      <c r="A1000" t="s">
        <v>198</v>
      </c>
      <c r="B1000">
        <v>2016</v>
      </c>
      <c r="C1000" t="s">
        <v>205</v>
      </c>
      <c r="D1000" s="437" t="s">
        <v>413</v>
      </c>
      <c r="E1000" s="437">
        <v>98</v>
      </c>
    </row>
    <row r="1001" spans="1:5" x14ac:dyDescent="0.25">
      <c r="A1001" t="s">
        <v>104</v>
      </c>
      <c r="B1001">
        <v>2016</v>
      </c>
      <c r="C1001" t="s">
        <v>205</v>
      </c>
      <c r="D1001" s="437" t="s">
        <v>57</v>
      </c>
      <c r="E1001" s="437">
        <v>4040</v>
      </c>
    </row>
    <row r="1002" spans="1:5" x14ac:dyDescent="0.25">
      <c r="A1002" t="s">
        <v>104</v>
      </c>
      <c r="B1002">
        <v>2016</v>
      </c>
      <c r="C1002" t="s">
        <v>205</v>
      </c>
      <c r="D1002" s="437" t="s">
        <v>348</v>
      </c>
      <c r="E1002" s="437">
        <v>7929</v>
      </c>
    </row>
    <row r="1003" spans="1:5" x14ac:dyDescent="0.25">
      <c r="A1003" t="s">
        <v>104</v>
      </c>
      <c r="B1003">
        <v>2016</v>
      </c>
      <c r="C1003" t="s">
        <v>205</v>
      </c>
      <c r="D1003" s="437" t="s">
        <v>349</v>
      </c>
      <c r="E1003" s="437">
        <v>1200</v>
      </c>
    </row>
    <row r="1004" spans="1:5" x14ac:dyDescent="0.25">
      <c r="A1004" t="s">
        <v>104</v>
      </c>
      <c r="B1004">
        <v>2016</v>
      </c>
      <c r="C1004" t="s">
        <v>205</v>
      </c>
      <c r="D1004" s="437" t="s">
        <v>595</v>
      </c>
      <c r="E1004" s="437">
        <v>1606</v>
      </c>
    </row>
    <row r="1005" spans="1:5" x14ac:dyDescent="0.25">
      <c r="A1005" t="s">
        <v>104</v>
      </c>
      <c r="B1005">
        <v>2016</v>
      </c>
      <c r="C1005" t="s">
        <v>205</v>
      </c>
      <c r="D1005" s="437" t="s">
        <v>352</v>
      </c>
      <c r="E1005" s="437">
        <v>0</v>
      </c>
    </row>
    <row r="1006" spans="1:5" x14ac:dyDescent="0.25">
      <c r="A1006" t="s">
        <v>104</v>
      </c>
      <c r="B1006">
        <v>2016</v>
      </c>
      <c r="C1006" t="s">
        <v>205</v>
      </c>
      <c r="D1006" s="437" t="s">
        <v>43</v>
      </c>
      <c r="E1006" s="437">
        <v>277</v>
      </c>
    </row>
    <row r="1007" spans="1:5" x14ac:dyDescent="0.25">
      <c r="A1007" t="s">
        <v>104</v>
      </c>
      <c r="B1007">
        <v>2016</v>
      </c>
      <c r="C1007" t="s">
        <v>205</v>
      </c>
      <c r="D1007" s="437" t="s">
        <v>42</v>
      </c>
      <c r="E1007" s="437">
        <v>0</v>
      </c>
    </row>
    <row r="1008" spans="1:5" x14ac:dyDescent="0.25">
      <c r="A1008" t="s">
        <v>104</v>
      </c>
      <c r="B1008">
        <v>2016</v>
      </c>
      <c r="C1008" t="s">
        <v>205</v>
      </c>
      <c r="D1008" s="437" t="s">
        <v>44</v>
      </c>
      <c r="E1008" s="437">
        <v>2027</v>
      </c>
    </row>
    <row r="1009" spans="1:5" x14ac:dyDescent="0.25">
      <c r="A1009" t="s">
        <v>104</v>
      </c>
      <c r="B1009">
        <v>2016</v>
      </c>
      <c r="C1009" t="s">
        <v>205</v>
      </c>
      <c r="D1009" s="437" t="s">
        <v>397</v>
      </c>
      <c r="E1009" s="437">
        <v>850</v>
      </c>
    </row>
    <row r="1010" spans="1:5" x14ac:dyDescent="0.25">
      <c r="A1010" t="s">
        <v>104</v>
      </c>
      <c r="B1010">
        <v>2016</v>
      </c>
      <c r="C1010" t="s">
        <v>205</v>
      </c>
      <c r="D1010" s="437" t="s">
        <v>133</v>
      </c>
      <c r="E1010" s="437">
        <v>2259</v>
      </c>
    </row>
    <row r="1011" spans="1:5" x14ac:dyDescent="0.25">
      <c r="A1011" t="s">
        <v>104</v>
      </c>
      <c r="B1011">
        <v>2016</v>
      </c>
      <c r="C1011" t="s">
        <v>205</v>
      </c>
      <c r="D1011" s="437" t="s">
        <v>597</v>
      </c>
      <c r="E1011" s="437">
        <v>4446</v>
      </c>
    </row>
    <row r="1012" spans="1:5" x14ac:dyDescent="0.25">
      <c r="A1012" t="s">
        <v>104</v>
      </c>
      <c r="B1012">
        <v>2016</v>
      </c>
      <c r="C1012" t="s">
        <v>205</v>
      </c>
      <c r="D1012" s="437" t="s">
        <v>596</v>
      </c>
      <c r="E1012" s="437">
        <v>10512</v>
      </c>
    </row>
    <row r="1013" spans="1:5" x14ac:dyDescent="0.25">
      <c r="A1013" t="s">
        <v>104</v>
      </c>
      <c r="B1013">
        <v>2016</v>
      </c>
      <c r="C1013" t="s">
        <v>205</v>
      </c>
      <c r="D1013" s="437" t="s">
        <v>413</v>
      </c>
      <c r="E1013" s="437">
        <v>0</v>
      </c>
    </row>
    <row r="1014" spans="1:5" x14ac:dyDescent="0.25">
      <c r="A1014" t="s">
        <v>105</v>
      </c>
      <c r="B1014">
        <v>2016</v>
      </c>
      <c r="C1014" t="s">
        <v>205</v>
      </c>
      <c r="D1014" s="437" t="s">
        <v>57</v>
      </c>
      <c r="E1014" s="437">
        <v>10793</v>
      </c>
    </row>
    <row r="1015" spans="1:5" x14ac:dyDescent="0.25">
      <c r="A1015" t="s">
        <v>105</v>
      </c>
      <c r="B1015">
        <v>2016</v>
      </c>
      <c r="C1015" t="s">
        <v>205</v>
      </c>
      <c r="D1015" s="437" t="s">
        <v>348</v>
      </c>
      <c r="E1015" s="437">
        <v>20863</v>
      </c>
    </row>
    <row r="1016" spans="1:5" x14ac:dyDescent="0.25">
      <c r="A1016" t="s">
        <v>105</v>
      </c>
      <c r="B1016">
        <v>2016</v>
      </c>
      <c r="C1016" t="s">
        <v>205</v>
      </c>
      <c r="D1016" s="437" t="s">
        <v>349</v>
      </c>
      <c r="E1016" s="437">
        <v>26818</v>
      </c>
    </row>
    <row r="1017" spans="1:5" x14ac:dyDescent="0.25">
      <c r="A1017" t="s">
        <v>105</v>
      </c>
      <c r="B1017">
        <v>2016</v>
      </c>
      <c r="C1017" t="s">
        <v>205</v>
      </c>
      <c r="D1017" s="437" t="s">
        <v>595</v>
      </c>
      <c r="E1017" s="437">
        <v>28596</v>
      </c>
    </row>
    <row r="1018" spans="1:5" x14ac:dyDescent="0.25">
      <c r="A1018" t="s">
        <v>105</v>
      </c>
      <c r="B1018">
        <v>2016</v>
      </c>
      <c r="C1018" t="s">
        <v>205</v>
      </c>
      <c r="D1018" s="437" t="s">
        <v>352</v>
      </c>
      <c r="E1018" s="437">
        <v>7897</v>
      </c>
    </row>
    <row r="1019" spans="1:5" x14ac:dyDescent="0.25">
      <c r="A1019" t="s">
        <v>105</v>
      </c>
      <c r="B1019">
        <v>2016</v>
      </c>
      <c r="C1019" t="s">
        <v>205</v>
      </c>
      <c r="D1019" s="437" t="s">
        <v>43</v>
      </c>
      <c r="E1019" s="437">
        <v>45004</v>
      </c>
    </row>
    <row r="1020" spans="1:5" x14ac:dyDescent="0.25">
      <c r="A1020" t="s">
        <v>105</v>
      </c>
      <c r="B1020">
        <v>2016</v>
      </c>
      <c r="C1020" t="s">
        <v>205</v>
      </c>
      <c r="D1020" s="437" t="s">
        <v>42</v>
      </c>
      <c r="E1020" s="437">
        <v>4122</v>
      </c>
    </row>
    <row r="1021" spans="1:5" x14ac:dyDescent="0.25">
      <c r="A1021" t="s">
        <v>105</v>
      </c>
      <c r="B1021">
        <v>2016</v>
      </c>
      <c r="C1021" t="s">
        <v>205</v>
      </c>
      <c r="D1021" s="437" t="s">
        <v>44</v>
      </c>
      <c r="E1021" s="437">
        <v>39791</v>
      </c>
    </row>
    <row r="1022" spans="1:5" x14ac:dyDescent="0.25">
      <c r="A1022" t="s">
        <v>105</v>
      </c>
      <c r="B1022">
        <v>2016</v>
      </c>
      <c r="C1022" t="s">
        <v>205</v>
      </c>
      <c r="D1022" s="437" t="s">
        <v>397</v>
      </c>
      <c r="E1022" s="437">
        <v>6908</v>
      </c>
    </row>
    <row r="1023" spans="1:5" x14ac:dyDescent="0.25">
      <c r="A1023" t="s">
        <v>105</v>
      </c>
      <c r="B1023">
        <v>2016</v>
      </c>
      <c r="C1023" t="s">
        <v>205</v>
      </c>
      <c r="D1023" s="437" t="s">
        <v>133</v>
      </c>
      <c r="E1023" s="437">
        <v>10475</v>
      </c>
    </row>
    <row r="1024" spans="1:5" x14ac:dyDescent="0.25">
      <c r="A1024" t="s">
        <v>105</v>
      </c>
      <c r="B1024">
        <v>2016</v>
      </c>
      <c r="C1024" t="s">
        <v>205</v>
      </c>
      <c r="D1024" s="437" t="s">
        <v>597</v>
      </c>
      <c r="E1024" s="437">
        <v>36670</v>
      </c>
    </row>
    <row r="1025" spans="1:5" x14ac:dyDescent="0.25">
      <c r="A1025" t="s">
        <v>105</v>
      </c>
      <c r="B1025">
        <v>2016</v>
      </c>
      <c r="C1025" t="s">
        <v>205</v>
      </c>
      <c r="D1025" s="437" t="s">
        <v>596</v>
      </c>
      <c r="E1025" s="437">
        <v>81945</v>
      </c>
    </row>
    <row r="1026" spans="1:5" x14ac:dyDescent="0.25">
      <c r="A1026" t="s">
        <v>105</v>
      </c>
      <c r="B1026">
        <v>2016</v>
      </c>
      <c r="C1026" t="s">
        <v>205</v>
      </c>
      <c r="D1026" s="437" t="s">
        <v>413</v>
      </c>
      <c r="E1026" s="437">
        <v>1844</v>
      </c>
    </row>
    <row r="1027" spans="1:5" x14ac:dyDescent="0.25">
      <c r="A1027" t="s">
        <v>106</v>
      </c>
      <c r="B1027">
        <v>2016</v>
      </c>
      <c r="C1027" t="s">
        <v>205</v>
      </c>
      <c r="D1027" s="437" t="s">
        <v>57</v>
      </c>
      <c r="E1027" s="437">
        <v>0</v>
      </c>
    </row>
    <row r="1028" spans="1:5" x14ac:dyDescent="0.25">
      <c r="A1028" t="s">
        <v>106</v>
      </c>
      <c r="B1028">
        <v>2016</v>
      </c>
      <c r="C1028" t="s">
        <v>205</v>
      </c>
      <c r="D1028" s="437" t="s">
        <v>348</v>
      </c>
      <c r="E1028" s="437">
        <v>0</v>
      </c>
    </row>
    <row r="1029" spans="1:5" x14ac:dyDescent="0.25">
      <c r="A1029" t="s">
        <v>106</v>
      </c>
      <c r="B1029">
        <v>2016</v>
      </c>
      <c r="C1029" t="s">
        <v>205</v>
      </c>
      <c r="D1029" s="437" t="s">
        <v>349</v>
      </c>
      <c r="E1029" s="437">
        <v>4550</v>
      </c>
    </row>
    <row r="1030" spans="1:5" x14ac:dyDescent="0.25">
      <c r="A1030" t="s">
        <v>106</v>
      </c>
      <c r="B1030">
        <v>2016</v>
      </c>
      <c r="C1030" t="s">
        <v>205</v>
      </c>
      <c r="D1030" s="437" t="s">
        <v>595</v>
      </c>
      <c r="E1030" s="437">
        <v>2431</v>
      </c>
    </row>
    <row r="1031" spans="1:5" x14ac:dyDescent="0.25">
      <c r="A1031" t="s">
        <v>106</v>
      </c>
      <c r="B1031">
        <v>2016</v>
      </c>
      <c r="C1031" t="s">
        <v>205</v>
      </c>
      <c r="D1031" s="437" t="s">
        <v>352</v>
      </c>
      <c r="E1031" s="437">
        <v>883</v>
      </c>
    </row>
    <row r="1032" spans="1:5" x14ac:dyDescent="0.25">
      <c r="A1032" t="s">
        <v>106</v>
      </c>
      <c r="B1032">
        <v>2016</v>
      </c>
      <c r="C1032" t="s">
        <v>205</v>
      </c>
      <c r="D1032" s="437" t="s">
        <v>43</v>
      </c>
      <c r="E1032" s="437">
        <v>3978</v>
      </c>
    </row>
    <row r="1033" spans="1:5" x14ac:dyDescent="0.25">
      <c r="A1033" t="s">
        <v>106</v>
      </c>
      <c r="B1033">
        <v>2016</v>
      </c>
      <c r="C1033" t="s">
        <v>205</v>
      </c>
      <c r="D1033" s="437" t="s">
        <v>42</v>
      </c>
      <c r="E1033" s="437">
        <v>1271</v>
      </c>
    </row>
    <row r="1034" spans="1:5" x14ac:dyDescent="0.25">
      <c r="A1034" t="s">
        <v>106</v>
      </c>
      <c r="B1034">
        <v>2016</v>
      </c>
      <c r="C1034" t="s">
        <v>205</v>
      </c>
      <c r="D1034" s="437" t="s">
        <v>44</v>
      </c>
      <c r="E1034" s="437">
        <v>851</v>
      </c>
    </row>
    <row r="1035" spans="1:5" x14ac:dyDescent="0.25">
      <c r="A1035" t="s">
        <v>106</v>
      </c>
      <c r="B1035">
        <v>2016</v>
      </c>
      <c r="C1035" t="s">
        <v>205</v>
      </c>
      <c r="D1035" s="437" t="s">
        <v>397</v>
      </c>
      <c r="E1035" s="437">
        <v>1178</v>
      </c>
    </row>
    <row r="1036" spans="1:5" x14ac:dyDescent="0.25">
      <c r="A1036" t="s">
        <v>106</v>
      </c>
      <c r="B1036">
        <v>2016</v>
      </c>
      <c r="C1036" t="s">
        <v>205</v>
      </c>
      <c r="D1036" s="437" t="s">
        <v>133</v>
      </c>
      <c r="E1036" s="437">
        <v>8</v>
      </c>
    </row>
    <row r="1037" spans="1:5" x14ac:dyDescent="0.25">
      <c r="A1037" t="s">
        <v>106</v>
      </c>
      <c r="B1037">
        <v>2016</v>
      </c>
      <c r="C1037" t="s">
        <v>205</v>
      </c>
      <c r="D1037" s="437" t="s">
        <v>597</v>
      </c>
      <c r="E1037" s="437">
        <v>2213</v>
      </c>
    </row>
    <row r="1038" spans="1:5" x14ac:dyDescent="0.25">
      <c r="A1038" t="s">
        <v>106</v>
      </c>
      <c r="B1038">
        <v>2016</v>
      </c>
      <c r="C1038" t="s">
        <v>205</v>
      </c>
      <c r="D1038" s="437" t="s">
        <v>596</v>
      </c>
      <c r="E1038" s="437">
        <v>6115</v>
      </c>
    </row>
    <row r="1039" spans="1:5" x14ac:dyDescent="0.25">
      <c r="A1039" t="s">
        <v>106</v>
      </c>
      <c r="B1039">
        <v>2016</v>
      </c>
      <c r="C1039" t="s">
        <v>205</v>
      </c>
      <c r="D1039" s="437" t="s">
        <v>413</v>
      </c>
      <c r="E1039" s="437">
        <v>376</v>
      </c>
    </row>
    <row r="1040" spans="1:5" x14ac:dyDescent="0.25">
      <c r="A1040" t="s">
        <v>199</v>
      </c>
      <c r="B1040">
        <v>2016</v>
      </c>
      <c r="C1040" t="s">
        <v>205</v>
      </c>
      <c r="D1040" s="437" t="s">
        <v>57</v>
      </c>
      <c r="E1040" s="437">
        <v>0</v>
      </c>
    </row>
    <row r="1041" spans="1:5" x14ac:dyDescent="0.25">
      <c r="A1041" t="s">
        <v>199</v>
      </c>
      <c r="B1041">
        <v>2016</v>
      </c>
      <c r="C1041" t="s">
        <v>205</v>
      </c>
      <c r="D1041" s="437" t="s">
        <v>348</v>
      </c>
      <c r="E1041" s="437">
        <v>0</v>
      </c>
    </row>
    <row r="1042" spans="1:5" x14ac:dyDescent="0.25">
      <c r="A1042" t="s">
        <v>199</v>
      </c>
      <c r="B1042">
        <v>2016</v>
      </c>
      <c r="C1042" t="s">
        <v>205</v>
      </c>
      <c r="D1042" s="437" t="s">
        <v>349</v>
      </c>
      <c r="E1042" s="437">
        <v>0</v>
      </c>
    </row>
    <row r="1043" spans="1:5" x14ac:dyDescent="0.25">
      <c r="A1043" t="s">
        <v>199</v>
      </c>
      <c r="B1043">
        <v>2016</v>
      </c>
      <c r="C1043" t="s">
        <v>205</v>
      </c>
      <c r="D1043" s="437" t="s">
        <v>595</v>
      </c>
      <c r="E1043" s="437">
        <v>204</v>
      </c>
    </row>
    <row r="1044" spans="1:5" x14ac:dyDescent="0.25">
      <c r="A1044" t="s">
        <v>199</v>
      </c>
      <c r="B1044">
        <v>2016</v>
      </c>
      <c r="C1044" t="s">
        <v>205</v>
      </c>
      <c r="D1044" s="437" t="s">
        <v>352</v>
      </c>
      <c r="E1044" s="437">
        <v>2240</v>
      </c>
    </row>
    <row r="1045" spans="1:5" x14ac:dyDescent="0.25">
      <c r="A1045" t="s">
        <v>199</v>
      </c>
      <c r="B1045">
        <v>2016</v>
      </c>
      <c r="C1045" t="s">
        <v>205</v>
      </c>
      <c r="D1045" s="437" t="s">
        <v>43</v>
      </c>
      <c r="E1045" s="437">
        <v>375</v>
      </c>
    </row>
    <row r="1046" spans="1:5" x14ac:dyDescent="0.25">
      <c r="A1046" t="s">
        <v>199</v>
      </c>
      <c r="B1046">
        <v>2016</v>
      </c>
      <c r="C1046" t="s">
        <v>205</v>
      </c>
      <c r="D1046" s="437" t="s">
        <v>42</v>
      </c>
      <c r="E1046" s="437">
        <v>0</v>
      </c>
    </row>
    <row r="1047" spans="1:5" x14ac:dyDescent="0.25">
      <c r="A1047" t="s">
        <v>199</v>
      </c>
      <c r="B1047">
        <v>2016</v>
      </c>
      <c r="C1047" t="s">
        <v>205</v>
      </c>
      <c r="D1047" s="437" t="s">
        <v>44</v>
      </c>
      <c r="E1047" s="437">
        <v>1</v>
      </c>
    </row>
    <row r="1048" spans="1:5" x14ac:dyDescent="0.25">
      <c r="A1048" t="s">
        <v>199</v>
      </c>
      <c r="B1048">
        <v>2016</v>
      </c>
      <c r="C1048" t="s">
        <v>205</v>
      </c>
      <c r="D1048" s="437" t="s">
        <v>397</v>
      </c>
      <c r="E1048" s="437">
        <v>82</v>
      </c>
    </row>
    <row r="1049" spans="1:5" x14ac:dyDescent="0.25">
      <c r="A1049" t="s">
        <v>199</v>
      </c>
      <c r="B1049">
        <v>2016</v>
      </c>
      <c r="C1049" t="s">
        <v>205</v>
      </c>
      <c r="D1049" s="437" t="s">
        <v>133</v>
      </c>
      <c r="E1049" s="437">
        <v>8</v>
      </c>
    </row>
    <row r="1050" spans="1:5" x14ac:dyDescent="0.25">
      <c r="A1050" t="s">
        <v>199</v>
      </c>
      <c r="B1050">
        <v>2016</v>
      </c>
      <c r="C1050" t="s">
        <v>205</v>
      </c>
      <c r="D1050" s="437" t="s">
        <v>597</v>
      </c>
      <c r="E1050" s="437">
        <v>493</v>
      </c>
    </row>
    <row r="1051" spans="1:5" x14ac:dyDescent="0.25">
      <c r="A1051" t="s">
        <v>199</v>
      </c>
      <c r="B1051">
        <v>2016</v>
      </c>
      <c r="C1051" t="s">
        <v>205</v>
      </c>
      <c r="D1051" s="437" t="s">
        <v>596</v>
      </c>
      <c r="E1051" s="437">
        <v>1538</v>
      </c>
    </row>
    <row r="1052" spans="1:5" x14ac:dyDescent="0.25">
      <c r="A1052" t="s">
        <v>199</v>
      </c>
      <c r="B1052">
        <v>2016</v>
      </c>
      <c r="C1052" t="s">
        <v>205</v>
      </c>
      <c r="D1052" s="437" t="s">
        <v>413</v>
      </c>
      <c r="E1052" s="437">
        <v>31</v>
      </c>
    </row>
    <row r="1053" spans="1:5" x14ac:dyDescent="0.25">
      <c r="A1053" t="s">
        <v>107</v>
      </c>
      <c r="B1053">
        <v>2016</v>
      </c>
      <c r="C1053" t="s">
        <v>205</v>
      </c>
      <c r="D1053" s="437" t="s">
        <v>57</v>
      </c>
      <c r="E1053" s="437">
        <v>7573</v>
      </c>
    </row>
    <row r="1054" spans="1:5" x14ac:dyDescent="0.25">
      <c r="A1054" t="s">
        <v>107</v>
      </c>
      <c r="B1054">
        <v>2016</v>
      </c>
      <c r="C1054" t="s">
        <v>205</v>
      </c>
      <c r="D1054" s="437" t="s">
        <v>348</v>
      </c>
      <c r="E1054" s="437">
        <v>1056</v>
      </c>
    </row>
    <row r="1055" spans="1:5" x14ac:dyDescent="0.25">
      <c r="A1055" t="s">
        <v>107</v>
      </c>
      <c r="B1055">
        <v>2016</v>
      </c>
      <c r="C1055" t="s">
        <v>205</v>
      </c>
      <c r="D1055" s="437" t="s">
        <v>349</v>
      </c>
      <c r="E1055" s="437">
        <v>8949</v>
      </c>
    </row>
    <row r="1056" spans="1:5" x14ac:dyDescent="0.25">
      <c r="A1056" t="s">
        <v>107</v>
      </c>
      <c r="B1056">
        <v>2016</v>
      </c>
      <c r="C1056" t="s">
        <v>205</v>
      </c>
      <c r="D1056" s="437" t="s">
        <v>595</v>
      </c>
      <c r="E1056" s="437">
        <v>32323</v>
      </c>
    </row>
    <row r="1057" spans="1:5" x14ac:dyDescent="0.25">
      <c r="A1057" t="s">
        <v>107</v>
      </c>
      <c r="B1057">
        <v>2016</v>
      </c>
      <c r="C1057" t="s">
        <v>205</v>
      </c>
      <c r="D1057" s="437" t="s">
        <v>352</v>
      </c>
      <c r="E1057" s="437">
        <v>3425</v>
      </c>
    </row>
    <row r="1058" spans="1:5" x14ac:dyDescent="0.25">
      <c r="A1058" t="s">
        <v>107</v>
      </c>
      <c r="B1058">
        <v>2016</v>
      </c>
      <c r="C1058" t="s">
        <v>205</v>
      </c>
      <c r="D1058" s="437" t="s">
        <v>43</v>
      </c>
      <c r="E1058" s="437">
        <v>23057</v>
      </c>
    </row>
    <row r="1059" spans="1:5" x14ac:dyDescent="0.25">
      <c r="A1059" t="s">
        <v>107</v>
      </c>
      <c r="B1059">
        <v>2016</v>
      </c>
      <c r="C1059" t="s">
        <v>205</v>
      </c>
      <c r="D1059" s="437" t="s">
        <v>42</v>
      </c>
      <c r="E1059" s="437">
        <v>0</v>
      </c>
    </row>
    <row r="1060" spans="1:5" x14ac:dyDescent="0.25">
      <c r="A1060" t="s">
        <v>107</v>
      </c>
      <c r="B1060">
        <v>2016</v>
      </c>
      <c r="C1060" t="s">
        <v>205</v>
      </c>
      <c r="D1060" s="437" t="s">
        <v>44</v>
      </c>
      <c r="E1060" s="437">
        <v>4674</v>
      </c>
    </row>
    <row r="1061" spans="1:5" x14ac:dyDescent="0.25">
      <c r="A1061" t="s">
        <v>107</v>
      </c>
      <c r="B1061">
        <v>2016</v>
      </c>
      <c r="C1061" t="s">
        <v>205</v>
      </c>
      <c r="D1061" s="437" t="s">
        <v>397</v>
      </c>
      <c r="E1061" s="437">
        <v>744</v>
      </c>
    </row>
    <row r="1062" spans="1:5" x14ac:dyDescent="0.25">
      <c r="A1062" t="s">
        <v>107</v>
      </c>
      <c r="B1062">
        <v>2016</v>
      </c>
      <c r="C1062" t="s">
        <v>205</v>
      </c>
      <c r="D1062" s="437" t="s">
        <v>133</v>
      </c>
      <c r="E1062" s="437">
        <v>20354</v>
      </c>
    </row>
    <row r="1063" spans="1:5" x14ac:dyDescent="0.25">
      <c r="A1063" t="s">
        <v>107</v>
      </c>
      <c r="B1063">
        <v>2016</v>
      </c>
      <c r="C1063" t="s">
        <v>205</v>
      </c>
      <c r="D1063" s="437" t="s">
        <v>597</v>
      </c>
      <c r="E1063" s="437">
        <v>18054</v>
      </c>
    </row>
    <row r="1064" spans="1:5" x14ac:dyDescent="0.25">
      <c r="A1064" t="s">
        <v>107</v>
      </c>
      <c r="B1064">
        <v>2016</v>
      </c>
      <c r="C1064" t="s">
        <v>205</v>
      </c>
      <c r="D1064" s="437" t="s">
        <v>596</v>
      </c>
      <c r="E1064" s="437">
        <v>40144</v>
      </c>
    </row>
    <row r="1065" spans="1:5" x14ac:dyDescent="0.25">
      <c r="A1065" t="s">
        <v>107</v>
      </c>
      <c r="B1065">
        <v>2016</v>
      </c>
      <c r="C1065" t="s">
        <v>205</v>
      </c>
      <c r="D1065" s="437" t="s">
        <v>413</v>
      </c>
      <c r="E1065" s="437">
        <v>3127</v>
      </c>
    </row>
    <row r="1066" spans="1:5" x14ac:dyDescent="0.25">
      <c r="A1066" t="s">
        <v>108</v>
      </c>
      <c r="B1066">
        <v>2016</v>
      </c>
      <c r="C1066" t="s">
        <v>205</v>
      </c>
      <c r="D1066" s="437" t="s">
        <v>57</v>
      </c>
      <c r="E1066" s="437">
        <v>2782</v>
      </c>
    </row>
    <row r="1067" spans="1:5" x14ac:dyDescent="0.25">
      <c r="A1067" t="s">
        <v>108</v>
      </c>
      <c r="B1067">
        <v>2016</v>
      </c>
      <c r="C1067" t="s">
        <v>205</v>
      </c>
      <c r="D1067" s="437" t="s">
        <v>348</v>
      </c>
      <c r="E1067" s="437">
        <v>0</v>
      </c>
    </row>
    <row r="1068" spans="1:5" x14ac:dyDescent="0.25">
      <c r="A1068" t="s">
        <v>108</v>
      </c>
      <c r="B1068">
        <v>2016</v>
      </c>
      <c r="C1068" t="s">
        <v>205</v>
      </c>
      <c r="D1068" s="437" t="s">
        <v>349</v>
      </c>
      <c r="E1068" s="437">
        <v>2854</v>
      </c>
    </row>
    <row r="1069" spans="1:5" x14ac:dyDescent="0.25">
      <c r="A1069" t="s">
        <v>108</v>
      </c>
      <c r="B1069">
        <v>2016</v>
      </c>
      <c r="C1069" t="s">
        <v>205</v>
      </c>
      <c r="D1069" s="437" t="s">
        <v>595</v>
      </c>
      <c r="E1069" s="437">
        <v>1795</v>
      </c>
    </row>
    <row r="1070" spans="1:5" x14ac:dyDescent="0.25">
      <c r="A1070" t="s">
        <v>108</v>
      </c>
      <c r="B1070">
        <v>2016</v>
      </c>
      <c r="C1070" t="s">
        <v>205</v>
      </c>
      <c r="D1070" s="437" t="s">
        <v>352</v>
      </c>
      <c r="E1070" s="437">
        <v>3067</v>
      </c>
    </row>
    <row r="1071" spans="1:5" x14ac:dyDescent="0.25">
      <c r="A1071" t="s">
        <v>108</v>
      </c>
      <c r="B1071">
        <v>2016</v>
      </c>
      <c r="C1071" t="s">
        <v>205</v>
      </c>
      <c r="D1071" s="437" t="s">
        <v>43</v>
      </c>
      <c r="E1071" s="437">
        <v>1432</v>
      </c>
    </row>
    <row r="1072" spans="1:5" x14ac:dyDescent="0.25">
      <c r="A1072" t="s">
        <v>108</v>
      </c>
      <c r="B1072">
        <v>2016</v>
      </c>
      <c r="C1072" t="s">
        <v>205</v>
      </c>
      <c r="D1072" s="437" t="s">
        <v>42</v>
      </c>
      <c r="E1072" s="437">
        <v>0</v>
      </c>
    </row>
    <row r="1073" spans="1:5" x14ac:dyDescent="0.25">
      <c r="A1073" t="s">
        <v>108</v>
      </c>
      <c r="B1073">
        <v>2016</v>
      </c>
      <c r="C1073" t="s">
        <v>205</v>
      </c>
      <c r="D1073" s="437" t="s">
        <v>44</v>
      </c>
      <c r="E1073" s="437">
        <v>0</v>
      </c>
    </row>
    <row r="1074" spans="1:5" x14ac:dyDescent="0.25">
      <c r="A1074" t="s">
        <v>108</v>
      </c>
      <c r="B1074">
        <v>2016</v>
      </c>
      <c r="C1074" t="s">
        <v>205</v>
      </c>
      <c r="D1074" s="437" t="s">
        <v>397</v>
      </c>
      <c r="E1074" s="437">
        <v>1663</v>
      </c>
    </row>
    <row r="1075" spans="1:5" x14ac:dyDescent="0.25">
      <c r="A1075" t="s">
        <v>108</v>
      </c>
      <c r="B1075">
        <v>2016</v>
      </c>
      <c r="C1075" t="s">
        <v>205</v>
      </c>
      <c r="D1075" s="437" t="s">
        <v>133</v>
      </c>
      <c r="E1075" s="437">
        <v>3207</v>
      </c>
    </row>
    <row r="1076" spans="1:5" x14ac:dyDescent="0.25">
      <c r="A1076" t="s">
        <v>108</v>
      </c>
      <c r="B1076">
        <v>2016</v>
      </c>
      <c r="C1076" t="s">
        <v>205</v>
      </c>
      <c r="D1076" s="437" t="s">
        <v>597</v>
      </c>
      <c r="E1076" s="437">
        <v>5534</v>
      </c>
    </row>
    <row r="1077" spans="1:5" x14ac:dyDescent="0.25">
      <c r="A1077" t="s">
        <v>108</v>
      </c>
      <c r="B1077">
        <v>2016</v>
      </c>
      <c r="C1077" t="s">
        <v>205</v>
      </c>
      <c r="D1077" s="437" t="s">
        <v>596</v>
      </c>
      <c r="E1077" s="437">
        <v>15177</v>
      </c>
    </row>
    <row r="1078" spans="1:5" x14ac:dyDescent="0.25">
      <c r="A1078" t="s">
        <v>108</v>
      </c>
      <c r="B1078">
        <v>2016</v>
      </c>
      <c r="C1078" t="s">
        <v>205</v>
      </c>
      <c r="D1078" s="437" t="s">
        <v>413</v>
      </c>
      <c r="E1078" s="437">
        <v>211</v>
      </c>
    </row>
    <row r="1079" spans="1:5" x14ac:dyDescent="0.25">
      <c r="A1079" t="s">
        <v>109</v>
      </c>
      <c r="B1079">
        <v>2016</v>
      </c>
      <c r="C1079" t="s">
        <v>205</v>
      </c>
      <c r="D1079" s="437" t="s">
        <v>57</v>
      </c>
      <c r="E1079" s="437">
        <v>63130</v>
      </c>
    </row>
    <row r="1080" spans="1:5" x14ac:dyDescent="0.25">
      <c r="A1080" t="s">
        <v>109</v>
      </c>
      <c r="B1080">
        <v>2016</v>
      </c>
      <c r="C1080" t="s">
        <v>205</v>
      </c>
      <c r="D1080" s="437" t="s">
        <v>348</v>
      </c>
      <c r="E1080" s="437">
        <v>0</v>
      </c>
    </row>
    <row r="1081" spans="1:5" x14ac:dyDescent="0.25">
      <c r="A1081" t="s">
        <v>109</v>
      </c>
      <c r="B1081">
        <v>2016</v>
      </c>
      <c r="C1081" t="s">
        <v>205</v>
      </c>
      <c r="D1081" s="437" t="s">
        <v>349</v>
      </c>
      <c r="E1081" s="437">
        <v>2997</v>
      </c>
    </row>
    <row r="1082" spans="1:5" x14ac:dyDescent="0.25">
      <c r="A1082" t="s">
        <v>109</v>
      </c>
      <c r="B1082">
        <v>2016</v>
      </c>
      <c r="C1082" t="s">
        <v>205</v>
      </c>
      <c r="D1082" s="437" t="s">
        <v>595</v>
      </c>
      <c r="E1082" s="437">
        <v>11679</v>
      </c>
    </row>
    <row r="1083" spans="1:5" x14ac:dyDescent="0.25">
      <c r="A1083" t="s">
        <v>109</v>
      </c>
      <c r="B1083">
        <v>2016</v>
      </c>
      <c r="C1083" t="s">
        <v>205</v>
      </c>
      <c r="D1083" s="437" t="s">
        <v>352</v>
      </c>
      <c r="E1083" s="437">
        <v>7130</v>
      </c>
    </row>
    <row r="1084" spans="1:5" x14ac:dyDescent="0.25">
      <c r="A1084" t="s">
        <v>109</v>
      </c>
      <c r="B1084">
        <v>2016</v>
      </c>
      <c r="C1084" t="s">
        <v>205</v>
      </c>
      <c r="D1084" s="437" t="s">
        <v>43</v>
      </c>
      <c r="E1084" s="437">
        <v>11762</v>
      </c>
    </row>
    <row r="1085" spans="1:5" x14ac:dyDescent="0.25">
      <c r="A1085" t="s">
        <v>109</v>
      </c>
      <c r="B1085">
        <v>2016</v>
      </c>
      <c r="C1085" t="s">
        <v>205</v>
      </c>
      <c r="D1085" s="437" t="s">
        <v>42</v>
      </c>
      <c r="E1085" s="437">
        <v>0</v>
      </c>
    </row>
    <row r="1086" spans="1:5" x14ac:dyDescent="0.25">
      <c r="A1086" t="s">
        <v>109</v>
      </c>
      <c r="B1086">
        <v>2016</v>
      </c>
      <c r="C1086" t="s">
        <v>205</v>
      </c>
      <c r="D1086" s="437" t="s">
        <v>44</v>
      </c>
      <c r="E1086" s="437">
        <v>6772</v>
      </c>
    </row>
    <row r="1087" spans="1:5" x14ac:dyDescent="0.25">
      <c r="A1087" t="s">
        <v>109</v>
      </c>
      <c r="B1087">
        <v>2016</v>
      </c>
      <c r="C1087" t="s">
        <v>205</v>
      </c>
      <c r="D1087" s="437" t="s">
        <v>397</v>
      </c>
      <c r="E1087" s="437">
        <v>1046</v>
      </c>
    </row>
    <row r="1088" spans="1:5" x14ac:dyDescent="0.25">
      <c r="A1088" t="s">
        <v>109</v>
      </c>
      <c r="B1088">
        <v>2016</v>
      </c>
      <c r="C1088" t="s">
        <v>205</v>
      </c>
      <c r="D1088" s="437" t="s">
        <v>133</v>
      </c>
      <c r="E1088" s="437">
        <v>23751</v>
      </c>
    </row>
    <row r="1089" spans="1:5" x14ac:dyDescent="0.25">
      <c r="A1089" t="s">
        <v>109</v>
      </c>
      <c r="B1089">
        <v>2016</v>
      </c>
      <c r="C1089" t="s">
        <v>205</v>
      </c>
      <c r="D1089" s="437" t="s">
        <v>597</v>
      </c>
      <c r="E1089" s="437">
        <v>30584</v>
      </c>
    </row>
    <row r="1090" spans="1:5" x14ac:dyDescent="0.25">
      <c r="A1090" t="s">
        <v>109</v>
      </c>
      <c r="B1090">
        <v>2016</v>
      </c>
      <c r="C1090" t="s">
        <v>205</v>
      </c>
      <c r="D1090" s="437" t="s">
        <v>596</v>
      </c>
      <c r="E1090" s="437">
        <v>88571</v>
      </c>
    </row>
    <row r="1091" spans="1:5" x14ac:dyDescent="0.25">
      <c r="A1091" t="s">
        <v>109</v>
      </c>
      <c r="B1091">
        <v>2016</v>
      </c>
      <c r="C1091" t="s">
        <v>205</v>
      </c>
      <c r="D1091" s="437" t="s">
        <v>413</v>
      </c>
      <c r="E1091" s="437">
        <v>2609</v>
      </c>
    </row>
    <row r="1092" spans="1:5" x14ac:dyDescent="0.25">
      <c r="A1092" t="s">
        <v>110</v>
      </c>
      <c r="B1092">
        <v>2016</v>
      </c>
      <c r="C1092" t="s">
        <v>205</v>
      </c>
      <c r="D1092" s="437" t="s">
        <v>57</v>
      </c>
      <c r="E1092" s="437">
        <v>9230</v>
      </c>
    </row>
    <row r="1093" spans="1:5" x14ac:dyDescent="0.25">
      <c r="A1093" t="s">
        <v>110</v>
      </c>
      <c r="B1093">
        <v>2016</v>
      </c>
      <c r="C1093" t="s">
        <v>205</v>
      </c>
      <c r="D1093" s="437" t="s">
        <v>348</v>
      </c>
      <c r="E1093" s="437">
        <v>0</v>
      </c>
    </row>
    <row r="1094" spans="1:5" x14ac:dyDescent="0.25">
      <c r="A1094" t="s">
        <v>110</v>
      </c>
      <c r="B1094">
        <v>2016</v>
      </c>
      <c r="C1094" t="s">
        <v>205</v>
      </c>
      <c r="D1094" s="437" t="s">
        <v>349</v>
      </c>
      <c r="E1094" s="437">
        <v>15450</v>
      </c>
    </row>
    <row r="1095" spans="1:5" x14ac:dyDescent="0.25">
      <c r="A1095" t="s">
        <v>110</v>
      </c>
      <c r="B1095">
        <v>2016</v>
      </c>
      <c r="C1095" t="s">
        <v>205</v>
      </c>
      <c r="D1095" s="437" t="s">
        <v>595</v>
      </c>
      <c r="E1095" s="437">
        <v>30600</v>
      </c>
    </row>
    <row r="1096" spans="1:5" x14ac:dyDescent="0.25">
      <c r="A1096" t="s">
        <v>110</v>
      </c>
      <c r="B1096">
        <v>2016</v>
      </c>
      <c r="C1096" t="s">
        <v>205</v>
      </c>
      <c r="D1096" s="437" t="s">
        <v>352</v>
      </c>
      <c r="E1096" s="437">
        <v>880</v>
      </c>
    </row>
    <row r="1097" spans="1:5" x14ac:dyDescent="0.25">
      <c r="A1097" t="s">
        <v>110</v>
      </c>
      <c r="B1097">
        <v>2016</v>
      </c>
      <c r="C1097" t="s">
        <v>205</v>
      </c>
      <c r="D1097" s="437" t="s">
        <v>43</v>
      </c>
      <c r="E1097" s="437">
        <v>10000</v>
      </c>
    </row>
    <row r="1098" spans="1:5" x14ac:dyDescent="0.25">
      <c r="A1098" t="s">
        <v>110</v>
      </c>
      <c r="B1098">
        <v>2016</v>
      </c>
      <c r="C1098" t="s">
        <v>205</v>
      </c>
      <c r="D1098" s="437" t="s">
        <v>42</v>
      </c>
      <c r="E1098" s="437">
        <v>5000</v>
      </c>
    </row>
    <row r="1099" spans="1:5" x14ac:dyDescent="0.25">
      <c r="A1099" t="s">
        <v>110</v>
      </c>
      <c r="B1099">
        <v>2016</v>
      </c>
      <c r="C1099" t="s">
        <v>205</v>
      </c>
      <c r="D1099" s="437" t="s">
        <v>44</v>
      </c>
      <c r="E1099" s="437">
        <v>11500</v>
      </c>
    </row>
    <row r="1100" spans="1:5" x14ac:dyDescent="0.25">
      <c r="A1100" t="s">
        <v>110</v>
      </c>
      <c r="B1100">
        <v>2016</v>
      </c>
      <c r="C1100" t="s">
        <v>205</v>
      </c>
      <c r="D1100" s="437" t="s">
        <v>397</v>
      </c>
      <c r="E1100" s="437">
        <v>1377</v>
      </c>
    </row>
    <row r="1101" spans="1:5" x14ac:dyDescent="0.25">
      <c r="A1101" t="s">
        <v>110</v>
      </c>
      <c r="B1101">
        <v>2016</v>
      </c>
      <c r="C1101" t="s">
        <v>205</v>
      </c>
      <c r="D1101" s="437" t="s">
        <v>133</v>
      </c>
      <c r="E1101" s="437">
        <v>3920</v>
      </c>
    </row>
    <row r="1102" spans="1:5" x14ac:dyDescent="0.25">
      <c r="A1102" t="s">
        <v>110</v>
      </c>
      <c r="B1102">
        <v>2016</v>
      </c>
      <c r="C1102" t="s">
        <v>205</v>
      </c>
      <c r="D1102" s="437" t="s">
        <v>597</v>
      </c>
      <c r="E1102" s="437">
        <v>22590</v>
      </c>
    </row>
    <row r="1103" spans="1:5" x14ac:dyDescent="0.25">
      <c r="A1103" t="s">
        <v>110</v>
      </c>
      <c r="B1103">
        <v>2016</v>
      </c>
      <c r="C1103" t="s">
        <v>205</v>
      </c>
      <c r="D1103" s="437" t="s">
        <v>596</v>
      </c>
      <c r="E1103" s="437">
        <v>69392</v>
      </c>
    </row>
    <row r="1104" spans="1:5" x14ac:dyDescent="0.25">
      <c r="A1104" t="s">
        <v>110</v>
      </c>
      <c r="B1104">
        <v>2016</v>
      </c>
      <c r="C1104" t="s">
        <v>205</v>
      </c>
      <c r="D1104" s="437" t="s">
        <v>413</v>
      </c>
      <c r="E1104" s="437">
        <v>0</v>
      </c>
    </row>
    <row r="1105" spans="1:5" x14ac:dyDescent="0.25">
      <c r="A1105" t="s">
        <v>111</v>
      </c>
      <c r="B1105">
        <v>2016</v>
      </c>
      <c r="C1105" t="s">
        <v>205</v>
      </c>
      <c r="D1105" s="437" t="s">
        <v>57</v>
      </c>
      <c r="E1105" s="437">
        <v>0</v>
      </c>
    </row>
    <row r="1106" spans="1:5" x14ac:dyDescent="0.25">
      <c r="A1106" t="s">
        <v>111</v>
      </c>
      <c r="B1106">
        <v>2016</v>
      </c>
      <c r="C1106" t="s">
        <v>205</v>
      </c>
      <c r="D1106" s="437" t="s">
        <v>348</v>
      </c>
      <c r="E1106" s="437">
        <v>4456</v>
      </c>
    </row>
    <row r="1107" spans="1:5" x14ac:dyDescent="0.25">
      <c r="A1107" t="s">
        <v>111</v>
      </c>
      <c r="B1107">
        <v>2016</v>
      </c>
      <c r="C1107" t="s">
        <v>205</v>
      </c>
      <c r="D1107" s="437" t="s">
        <v>349</v>
      </c>
      <c r="E1107" s="437">
        <v>0</v>
      </c>
    </row>
    <row r="1108" spans="1:5" x14ac:dyDescent="0.25">
      <c r="A1108" t="s">
        <v>111</v>
      </c>
      <c r="B1108">
        <v>2016</v>
      </c>
      <c r="C1108" t="s">
        <v>205</v>
      </c>
      <c r="D1108" s="437" t="s">
        <v>595</v>
      </c>
      <c r="E1108" s="437">
        <v>5613</v>
      </c>
    </row>
    <row r="1109" spans="1:5" x14ac:dyDescent="0.25">
      <c r="A1109" t="s">
        <v>111</v>
      </c>
      <c r="B1109">
        <v>2016</v>
      </c>
      <c r="C1109" t="s">
        <v>205</v>
      </c>
      <c r="D1109" s="437" t="s">
        <v>352</v>
      </c>
      <c r="E1109" s="437">
        <v>2451</v>
      </c>
    </row>
    <row r="1110" spans="1:5" x14ac:dyDescent="0.25">
      <c r="A1110" t="s">
        <v>111</v>
      </c>
      <c r="B1110">
        <v>2016</v>
      </c>
      <c r="C1110" t="s">
        <v>205</v>
      </c>
      <c r="D1110" s="437" t="s">
        <v>43</v>
      </c>
      <c r="E1110" s="437">
        <v>2092</v>
      </c>
    </row>
    <row r="1111" spans="1:5" x14ac:dyDescent="0.25">
      <c r="A1111" t="s">
        <v>111</v>
      </c>
      <c r="B1111">
        <v>2016</v>
      </c>
      <c r="C1111" t="s">
        <v>205</v>
      </c>
      <c r="D1111" s="437" t="s">
        <v>42</v>
      </c>
      <c r="E1111" s="437">
        <v>0</v>
      </c>
    </row>
    <row r="1112" spans="1:5" x14ac:dyDescent="0.25">
      <c r="A1112" t="s">
        <v>111</v>
      </c>
      <c r="B1112">
        <v>2016</v>
      </c>
      <c r="C1112" t="s">
        <v>205</v>
      </c>
      <c r="D1112" s="437" t="s">
        <v>44</v>
      </c>
      <c r="E1112" s="437">
        <v>2605</v>
      </c>
    </row>
    <row r="1113" spans="1:5" x14ac:dyDescent="0.25">
      <c r="A1113" t="s">
        <v>111</v>
      </c>
      <c r="B1113">
        <v>2016</v>
      </c>
      <c r="C1113" t="s">
        <v>205</v>
      </c>
      <c r="D1113" s="437" t="s">
        <v>397</v>
      </c>
      <c r="E1113" s="437">
        <v>52</v>
      </c>
    </row>
    <row r="1114" spans="1:5" x14ac:dyDescent="0.25">
      <c r="A1114" t="s">
        <v>111</v>
      </c>
      <c r="B1114">
        <v>2016</v>
      </c>
      <c r="C1114" t="s">
        <v>205</v>
      </c>
      <c r="D1114" s="437" t="s">
        <v>133</v>
      </c>
      <c r="E1114" s="437">
        <v>3393</v>
      </c>
    </row>
    <row r="1115" spans="1:5" x14ac:dyDescent="0.25">
      <c r="A1115" t="s">
        <v>111</v>
      </c>
      <c r="B1115">
        <v>2016</v>
      </c>
      <c r="C1115" t="s">
        <v>205</v>
      </c>
      <c r="D1115" s="437" t="s">
        <v>597</v>
      </c>
      <c r="E1115" s="437">
        <v>3314</v>
      </c>
    </row>
    <row r="1116" spans="1:5" x14ac:dyDescent="0.25">
      <c r="A1116" t="s">
        <v>111</v>
      </c>
      <c r="B1116">
        <v>2016</v>
      </c>
      <c r="C1116" t="s">
        <v>205</v>
      </c>
      <c r="D1116" s="437" t="s">
        <v>596</v>
      </c>
      <c r="E1116" s="437">
        <v>9207</v>
      </c>
    </row>
    <row r="1117" spans="1:5" x14ac:dyDescent="0.25">
      <c r="A1117" t="s">
        <v>111</v>
      </c>
      <c r="B1117">
        <v>2016</v>
      </c>
      <c r="C1117" t="s">
        <v>205</v>
      </c>
      <c r="D1117" s="437" t="s">
        <v>413</v>
      </c>
      <c r="E1117" s="437">
        <v>235</v>
      </c>
    </row>
    <row r="1118" spans="1:5" x14ac:dyDescent="0.25">
      <c r="A1118" t="s">
        <v>112</v>
      </c>
      <c r="B1118">
        <v>2016</v>
      </c>
      <c r="C1118" t="s">
        <v>205</v>
      </c>
      <c r="D1118" s="437" t="s">
        <v>57</v>
      </c>
      <c r="E1118" s="437">
        <v>0</v>
      </c>
    </row>
    <row r="1119" spans="1:5" x14ac:dyDescent="0.25">
      <c r="A1119" t="s">
        <v>112</v>
      </c>
      <c r="B1119">
        <v>2016</v>
      </c>
      <c r="C1119" t="s">
        <v>205</v>
      </c>
      <c r="D1119" s="437" t="s">
        <v>348</v>
      </c>
      <c r="E1119" s="437">
        <v>0</v>
      </c>
    </row>
    <row r="1120" spans="1:5" x14ac:dyDescent="0.25">
      <c r="A1120" t="s">
        <v>112</v>
      </c>
      <c r="B1120">
        <v>2016</v>
      </c>
      <c r="C1120" t="s">
        <v>205</v>
      </c>
      <c r="D1120" s="437" t="s">
        <v>349</v>
      </c>
      <c r="E1120" s="437">
        <v>325</v>
      </c>
    </row>
    <row r="1121" spans="1:5" x14ac:dyDescent="0.25">
      <c r="A1121" t="s">
        <v>112</v>
      </c>
      <c r="B1121">
        <v>2016</v>
      </c>
      <c r="C1121" t="s">
        <v>205</v>
      </c>
      <c r="D1121" s="437" t="s">
        <v>595</v>
      </c>
      <c r="E1121" s="437">
        <v>731</v>
      </c>
    </row>
    <row r="1122" spans="1:5" x14ac:dyDescent="0.25">
      <c r="A1122" t="s">
        <v>112</v>
      </c>
      <c r="B1122">
        <v>2016</v>
      </c>
      <c r="C1122" t="s">
        <v>205</v>
      </c>
      <c r="D1122" s="437" t="s">
        <v>352</v>
      </c>
      <c r="E1122" s="437">
        <v>949</v>
      </c>
    </row>
    <row r="1123" spans="1:5" x14ac:dyDescent="0.25">
      <c r="A1123" t="s">
        <v>112</v>
      </c>
      <c r="B1123">
        <v>2016</v>
      </c>
      <c r="C1123" t="s">
        <v>205</v>
      </c>
      <c r="D1123" s="437" t="s">
        <v>43</v>
      </c>
      <c r="E1123" s="437">
        <v>429</v>
      </c>
    </row>
    <row r="1124" spans="1:5" x14ac:dyDescent="0.25">
      <c r="A1124" t="s">
        <v>112</v>
      </c>
      <c r="B1124">
        <v>2016</v>
      </c>
      <c r="C1124" t="s">
        <v>205</v>
      </c>
      <c r="D1124" s="437" t="s">
        <v>42</v>
      </c>
      <c r="E1124" s="437">
        <v>0</v>
      </c>
    </row>
    <row r="1125" spans="1:5" x14ac:dyDescent="0.25">
      <c r="A1125" t="s">
        <v>112</v>
      </c>
      <c r="B1125">
        <v>2016</v>
      </c>
      <c r="C1125" t="s">
        <v>205</v>
      </c>
      <c r="D1125" s="437" t="s">
        <v>44</v>
      </c>
      <c r="E1125" s="437">
        <v>48</v>
      </c>
    </row>
    <row r="1126" spans="1:5" x14ac:dyDescent="0.25">
      <c r="A1126" t="s">
        <v>112</v>
      </c>
      <c r="B1126">
        <v>2016</v>
      </c>
      <c r="C1126" t="s">
        <v>205</v>
      </c>
      <c r="D1126" s="437" t="s">
        <v>397</v>
      </c>
      <c r="E1126" s="437">
        <v>54</v>
      </c>
    </row>
    <row r="1127" spans="1:5" x14ac:dyDescent="0.25">
      <c r="A1127" t="s">
        <v>112</v>
      </c>
      <c r="B1127">
        <v>2016</v>
      </c>
      <c r="C1127" t="s">
        <v>205</v>
      </c>
      <c r="D1127" s="437" t="s">
        <v>133</v>
      </c>
      <c r="E1127" s="437">
        <v>2112</v>
      </c>
    </row>
    <row r="1128" spans="1:5" x14ac:dyDescent="0.25">
      <c r="A1128" t="s">
        <v>112</v>
      </c>
      <c r="B1128">
        <v>2016</v>
      </c>
      <c r="C1128" t="s">
        <v>205</v>
      </c>
      <c r="D1128" s="437" t="s">
        <v>597</v>
      </c>
      <c r="E1128" s="437">
        <v>1155</v>
      </c>
    </row>
    <row r="1129" spans="1:5" x14ac:dyDescent="0.25">
      <c r="A1129" t="s">
        <v>112</v>
      </c>
      <c r="B1129">
        <v>2016</v>
      </c>
      <c r="C1129" t="s">
        <v>205</v>
      </c>
      <c r="D1129" s="437" t="s">
        <v>596</v>
      </c>
      <c r="E1129" s="437">
        <v>2869</v>
      </c>
    </row>
    <row r="1130" spans="1:5" x14ac:dyDescent="0.25">
      <c r="A1130" t="s">
        <v>112</v>
      </c>
      <c r="B1130">
        <v>2016</v>
      </c>
      <c r="C1130" t="s">
        <v>205</v>
      </c>
      <c r="D1130" s="437" t="s">
        <v>413</v>
      </c>
      <c r="E1130" s="437">
        <v>22</v>
      </c>
    </row>
    <row r="1131" spans="1:5" x14ac:dyDescent="0.25">
      <c r="A1131" t="s">
        <v>113</v>
      </c>
      <c r="B1131">
        <v>2016</v>
      </c>
      <c r="C1131" t="s">
        <v>205</v>
      </c>
      <c r="D1131" s="437" t="s">
        <v>57</v>
      </c>
      <c r="E1131" s="437">
        <v>1887</v>
      </c>
    </row>
    <row r="1132" spans="1:5" x14ac:dyDescent="0.25">
      <c r="A1132" t="s">
        <v>113</v>
      </c>
      <c r="B1132">
        <v>2016</v>
      </c>
      <c r="C1132" t="s">
        <v>205</v>
      </c>
      <c r="D1132" s="437" t="s">
        <v>348</v>
      </c>
      <c r="E1132" s="437">
        <v>1049</v>
      </c>
    </row>
    <row r="1133" spans="1:5" x14ac:dyDescent="0.25">
      <c r="A1133" t="s">
        <v>113</v>
      </c>
      <c r="B1133">
        <v>2016</v>
      </c>
      <c r="C1133" t="s">
        <v>205</v>
      </c>
      <c r="D1133" s="437" t="s">
        <v>349</v>
      </c>
      <c r="E1133" s="437">
        <v>292</v>
      </c>
    </row>
    <row r="1134" spans="1:5" x14ac:dyDescent="0.25">
      <c r="A1134" t="s">
        <v>113</v>
      </c>
      <c r="B1134">
        <v>2016</v>
      </c>
      <c r="C1134" t="s">
        <v>205</v>
      </c>
      <c r="D1134" s="437" t="s">
        <v>595</v>
      </c>
      <c r="E1134" s="437">
        <v>3860</v>
      </c>
    </row>
    <row r="1135" spans="1:5" x14ac:dyDescent="0.25">
      <c r="A1135" t="s">
        <v>113</v>
      </c>
      <c r="B1135">
        <v>2016</v>
      </c>
      <c r="C1135" t="s">
        <v>205</v>
      </c>
      <c r="D1135" s="437" t="s">
        <v>352</v>
      </c>
      <c r="E1135" s="437">
        <v>410</v>
      </c>
    </row>
    <row r="1136" spans="1:5" x14ac:dyDescent="0.25">
      <c r="A1136" t="s">
        <v>113</v>
      </c>
      <c r="B1136">
        <v>2016</v>
      </c>
      <c r="C1136" t="s">
        <v>205</v>
      </c>
      <c r="D1136" s="437" t="s">
        <v>43</v>
      </c>
      <c r="E1136" s="437">
        <v>328</v>
      </c>
    </row>
    <row r="1137" spans="1:5" x14ac:dyDescent="0.25">
      <c r="A1137" t="s">
        <v>113</v>
      </c>
      <c r="B1137">
        <v>2016</v>
      </c>
      <c r="C1137" t="s">
        <v>205</v>
      </c>
      <c r="D1137" s="437" t="s">
        <v>42</v>
      </c>
      <c r="E1137" s="437">
        <v>0</v>
      </c>
    </row>
    <row r="1138" spans="1:5" x14ac:dyDescent="0.25">
      <c r="A1138" t="s">
        <v>113</v>
      </c>
      <c r="B1138">
        <v>2016</v>
      </c>
      <c r="C1138" t="s">
        <v>205</v>
      </c>
      <c r="D1138" s="437" t="s">
        <v>44</v>
      </c>
      <c r="E1138" s="437">
        <v>49</v>
      </c>
    </row>
    <row r="1139" spans="1:5" x14ac:dyDescent="0.25">
      <c r="A1139" t="s">
        <v>113</v>
      </c>
      <c r="B1139">
        <v>2016</v>
      </c>
      <c r="C1139" t="s">
        <v>205</v>
      </c>
      <c r="D1139" s="437" t="s">
        <v>397</v>
      </c>
      <c r="E1139" s="437">
        <v>276</v>
      </c>
    </row>
    <row r="1140" spans="1:5" x14ac:dyDescent="0.25">
      <c r="A1140" t="s">
        <v>113</v>
      </c>
      <c r="B1140">
        <v>2016</v>
      </c>
      <c r="C1140" t="s">
        <v>205</v>
      </c>
      <c r="D1140" s="437" t="s">
        <v>133</v>
      </c>
      <c r="E1140" s="437">
        <v>57</v>
      </c>
    </row>
    <row r="1141" spans="1:5" x14ac:dyDescent="0.25">
      <c r="A1141" t="s">
        <v>113</v>
      </c>
      <c r="B1141">
        <v>2016</v>
      </c>
      <c r="C1141" t="s">
        <v>205</v>
      </c>
      <c r="D1141" s="437" t="s">
        <v>597</v>
      </c>
      <c r="E1141" s="437">
        <v>2994</v>
      </c>
    </row>
    <row r="1142" spans="1:5" x14ac:dyDescent="0.25">
      <c r="A1142" t="s">
        <v>113</v>
      </c>
      <c r="B1142">
        <v>2016</v>
      </c>
      <c r="C1142" t="s">
        <v>205</v>
      </c>
      <c r="D1142" s="437" t="s">
        <v>596</v>
      </c>
      <c r="E1142" s="437">
        <v>6437</v>
      </c>
    </row>
    <row r="1143" spans="1:5" x14ac:dyDescent="0.25">
      <c r="A1143" t="s">
        <v>113</v>
      </c>
      <c r="B1143">
        <v>2016</v>
      </c>
      <c r="C1143" t="s">
        <v>205</v>
      </c>
      <c r="D1143" s="437" t="s">
        <v>413</v>
      </c>
      <c r="E1143" s="437">
        <v>28</v>
      </c>
    </row>
    <row r="1144" spans="1:5" x14ac:dyDescent="0.25">
      <c r="A1144" t="s">
        <v>114</v>
      </c>
      <c r="B1144">
        <v>2016</v>
      </c>
      <c r="C1144" t="s">
        <v>205</v>
      </c>
      <c r="D1144" s="437" t="s">
        <v>57</v>
      </c>
      <c r="E1144" s="437">
        <v>0</v>
      </c>
    </row>
    <row r="1145" spans="1:5" x14ac:dyDescent="0.25">
      <c r="A1145" t="s">
        <v>114</v>
      </c>
      <c r="B1145">
        <v>2016</v>
      </c>
      <c r="C1145" t="s">
        <v>205</v>
      </c>
      <c r="D1145" s="437" t="s">
        <v>348</v>
      </c>
      <c r="E1145" s="437">
        <v>0</v>
      </c>
    </row>
    <row r="1146" spans="1:5" x14ac:dyDescent="0.25">
      <c r="A1146" t="s">
        <v>114</v>
      </c>
      <c r="B1146">
        <v>2016</v>
      </c>
      <c r="C1146" t="s">
        <v>205</v>
      </c>
      <c r="D1146" s="437" t="s">
        <v>349</v>
      </c>
      <c r="E1146" s="437">
        <v>855</v>
      </c>
    </row>
    <row r="1147" spans="1:5" x14ac:dyDescent="0.25">
      <c r="A1147" t="s">
        <v>114</v>
      </c>
      <c r="B1147">
        <v>2016</v>
      </c>
      <c r="C1147" t="s">
        <v>205</v>
      </c>
      <c r="D1147" s="437" t="s">
        <v>595</v>
      </c>
      <c r="E1147" s="437">
        <v>4215</v>
      </c>
    </row>
    <row r="1148" spans="1:5" x14ac:dyDescent="0.25">
      <c r="A1148" t="s">
        <v>114</v>
      </c>
      <c r="B1148">
        <v>2016</v>
      </c>
      <c r="C1148" t="s">
        <v>205</v>
      </c>
      <c r="D1148" s="437" t="s">
        <v>352</v>
      </c>
      <c r="E1148" s="437">
        <v>1144</v>
      </c>
    </row>
    <row r="1149" spans="1:5" x14ac:dyDescent="0.25">
      <c r="A1149" t="s">
        <v>114</v>
      </c>
      <c r="B1149">
        <v>2016</v>
      </c>
      <c r="C1149" t="s">
        <v>205</v>
      </c>
      <c r="D1149" s="437" t="s">
        <v>43</v>
      </c>
      <c r="E1149" s="437">
        <v>2740</v>
      </c>
    </row>
    <row r="1150" spans="1:5" x14ac:dyDescent="0.25">
      <c r="A1150" t="s">
        <v>114</v>
      </c>
      <c r="B1150">
        <v>2016</v>
      </c>
      <c r="C1150" t="s">
        <v>205</v>
      </c>
      <c r="D1150" s="437" t="s">
        <v>42</v>
      </c>
      <c r="E1150" s="437">
        <v>0</v>
      </c>
    </row>
    <row r="1151" spans="1:5" x14ac:dyDescent="0.25">
      <c r="A1151" t="s">
        <v>114</v>
      </c>
      <c r="B1151">
        <v>2016</v>
      </c>
      <c r="C1151" t="s">
        <v>205</v>
      </c>
      <c r="D1151" s="437" t="s">
        <v>44</v>
      </c>
      <c r="E1151" s="437">
        <v>0</v>
      </c>
    </row>
    <row r="1152" spans="1:5" x14ac:dyDescent="0.25">
      <c r="A1152" t="s">
        <v>114</v>
      </c>
      <c r="B1152">
        <v>2016</v>
      </c>
      <c r="C1152" t="s">
        <v>205</v>
      </c>
      <c r="D1152" s="437" t="s">
        <v>397</v>
      </c>
      <c r="E1152" s="437">
        <v>0</v>
      </c>
    </row>
    <row r="1153" spans="1:5" x14ac:dyDescent="0.25">
      <c r="A1153" t="s">
        <v>114</v>
      </c>
      <c r="B1153">
        <v>2016</v>
      </c>
      <c r="C1153" t="s">
        <v>205</v>
      </c>
      <c r="D1153" s="437" t="s">
        <v>133</v>
      </c>
      <c r="E1153" s="437">
        <v>530</v>
      </c>
    </row>
    <row r="1154" spans="1:5" x14ac:dyDescent="0.25">
      <c r="A1154" t="s">
        <v>114</v>
      </c>
      <c r="B1154">
        <v>2016</v>
      </c>
      <c r="C1154" t="s">
        <v>205</v>
      </c>
      <c r="D1154" s="437" t="s">
        <v>597</v>
      </c>
      <c r="E1154" s="437">
        <v>1798</v>
      </c>
    </row>
    <row r="1155" spans="1:5" x14ac:dyDescent="0.25">
      <c r="A1155" t="s">
        <v>114</v>
      </c>
      <c r="B1155">
        <v>2016</v>
      </c>
      <c r="C1155" t="s">
        <v>205</v>
      </c>
      <c r="D1155" s="437" t="s">
        <v>596</v>
      </c>
      <c r="E1155" s="437">
        <v>4737</v>
      </c>
    </row>
    <row r="1156" spans="1:5" x14ac:dyDescent="0.25">
      <c r="A1156" t="s">
        <v>114</v>
      </c>
      <c r="B1156">
        <v>2016</v>
      </c>
      <c r="C1156" t="s">
        <v>205</v>
      </c>
      <c r="D1156" s="437" t="s">
        <v>413</v>
      </c>
      <c r="E1156" s="437">
        <v>624</v>
      </c>
    </row>
    <row r="1157" spans="1:5" x14ac:dyDescent="0.25">
      <c r="A1157" t="s">
        <v>200</v>
      </c>
      <c r="B1157">
        <v>2016</v>
      </c>
      <c r="C1157" t="s">
        <v>205</v>
      </c>
      <c r="D1157" s="437" t="s">
        <v>57</v>
      </c>
      <c r="E1157" s="437">
        <v>0</v>
      </c>
    </row>
    <row r="1158" spans="1:5" x14ac:dyDescent="0.25">
      <c r="A1158" t="s">
        <v>200</v>
      </c>
      <c r="B1158">
        <v>2016</v>
      </c>
      <c r="C1158" t="s">
        <v>205</v>
      </c>
      <c r="D1158" s="437" t="s">
        <v>348</v>
      </c>
      <c r="E1158" s="437">
        <v>0</v>
      </c>
    </row>
    <row r="1159" spans="1:5" x14ac:dyDescent="0.25">
      <c r="A1159" t="s">
        <v>200</v>
      </c>
      <c r="B1159">
        <v>2016</v>
      </c>
      <c r="C1159" t="s">
        <v>205</v>
      </c>
      <c r="D1159" s="437" t="s">
        <v>349</v>
      </c>
      <c r="E1159" s="437">
        <v>0</v>
      </c>
    </row>
    <row r="1160" spans="1:5" x14ac:dyDescent="0.25">
      <c r="A1160" t="s">
        <v>200</v>
      </c>
      <c r="B1160">
        <v>2016</v>
      </c>
      <c r="C1160" t="s">
        <v>205</v>
      </c>
      <c r="D1160" s="437" t="s">
        <v>595</v>
      </c>
      <c r="E1160" s="437">
        <v>0</v>
      </c>
    </row>
    <row r="1161" spans="1:5" x14ac:dyDescent="0.25">
      <c r="A1161" t="s">
        <v>200</v>
      </c>
      <c r="B1161">
        <v>2016</v>
      </c>
      <c r="C1161" t="s">
        <v>205</v>
      </c>
      <c r="D1161" s="437" t="s">
        <v>352</v>
      </c>
      <c r="E1161" s="437">
        <v>11</v>
      </c>
    </row>
    <row r="1162" spans="1:5" x14ac:dyDescent="0.25">
      <c r="A1162" t="s">
        <v>200</v>
      </c>
      <c r="B1162">
        <v>2016</v>
      </c>
      <c r="C1162" t="s">
        <v>205</v>
      </c>
      <c r="D1162" s="437" t="s">
        <v>43</v>
      </c>
      <c r="E1162" s="437">
        <v>2</v>
      </c>
    </row>
    <row r="1163" spans="1:5" x14ac:dyDescent="0.25">
      <c r="A1163" t="s">
        <v>200</v>
      </c>
      <c r="B1163">
        <v>2016</v>
      </c>
      <c r="C1163" t="s">
        <v>205</v>
      </c>
      <c r="D1163" s="437" t="s">
        <v>42</v>
      </c>
      <c r="E1163" s="437">
        <v>0</v>
      </c>
    </row>
    <row r="1164" spans="1:5" x14ac:dyDescent="0.25">
      <c r="A1164" t="s">
        <v>200</v>
      </c>
      <c r="B1164">
        <v>2016</v>
      </c>
      <c r="C1164" t="s">
        <v>205</v>
      </c>
      <c r="D1164" s="437" t="s">
        <v>44</v>
      </c>
      <c r="E1164" s="437">
        <v>0</v>
      </c>
    </row>
    <row r="1165" spans="1:5" x14ac:dyDescent="0.25">
      <c r="A1165" t="s">
        <v>200</v>
      </c>
      <c r="B1165">
        <v>2016</v>
      </c>
      <c r="C1165" t="s">
        <v>205</v>
      </c>
      <c r="D1165" s="437" t="s">
        <v>397</v>
      </c>
      <c r="E1165" s="437">
        <v>0</v>
      </c>
    </row>
    <row r="1166" spans="1:5" x14ac:dyDescent="0.25">
      <c r="A1166" t="s">
        <v>200</v>
      </c>
      <c r="B1166">
        <v>2016</v>
      </c>
      <c r="C1166" t="s">
        <v>205</v>
      </c>
      <c r="D1166" s="437" t="s">
        <v>133</v>
      </c>
      <c r="E1166" s="437">
        <v>1973</v>
      </c>
    </row>
    <row r="1167" spans="1:5" x14ac:dyDescent="0.25">
      <c r="A1167" t="s">
        <v>200</v>
      </c>
      <c r="B1167">
        <v>2016</v>
      </c>
      <c r="C1167" t="s">
        <v>205</v>
      </c>
      <c r="D1167" s="437" t="s">
        <v>597</v>
      </c>
      <c r="E1167" s="437">
        <v>1692</v>
      </c>
    </row>
    <row r="1168" spans="1:5" x14ac:dyDescent="0.25">
      <c r="A1168" t="s">
        <v>200</v>
      </c>
      <c r="B1168">
        <v>2016</v>
      </c>
      <c r="C1168" t="s">
        <v>205</v>
      </c>
      <c r="D1168" s="437" t="s">
        <v>596</v>
      </c>
      <c r="E1168" s="437">
        <v>2320</v>
      </c>
    </row>
    <row r="1169" spans="1:5" x14ac:dyDescent="0.25">
      <c r="A1169" t="s">
        <v>200</v>
      </c>
      <c r="B1169">
        <v>2016</v>
      </c>
      <c r="C1169" t="s">
        <v>205</v>
      </c>
      <c r="D1169" s="437" t="s">
        <v>413</v>
      </c>
      <c r="E1169" s="437">
        <v>661</v>
      </c>
    </row>
    <row r="1170" spans="1:5" x14ac:dyDescent="0.25">
      <c r="A1170" t="s">
        <v>115</v>
      </c>
      <c r="B1170">
        <v>2016</v>
      </c>
      <c r="C1170" t="s">
        <v>205</v>
      </c>
      <c r="D1170" s="437" t="s">
        <v>57</v>
      </c>
      <c r="E1170" s="437">
        <v>0</v>
      </c>
    </row>
    <row r="1171" spans="1:5" x14ac:dyDescent="0.25">
      <c r="A1171" t="s">
        <v>115</v>
      </c>
      <c r="B1171">
        <v>2016</v>
      </c>
      <c r="C1171" t="s">
        <v>205</v>
      </c>
      <c r="D1171" s="437" t="s">
        <v>348</v>
      </c>
      <c r="E1171" s="437">
        <v>0</v>
      </c>
    </row>
    <row r="1172" spans="1:5" x14ac:dyDescent="0.25">
      <c r="A1172" t="s">
        <v>115</v>
      </c>
      <c r="B1172">
        <v>2016</v>
      </c>
      <c r="C1172" t="s">
        <v>205</v>
      </c>
      <c r="D1172" s="437" t="s">
        <v>349</v>
      </c>
      <c r="E1172" s="437">
        <v>6357</v>
      </c>
    </row>
    <row r="1173" spans="1:5" x14ac:dyDescent="0.25">
      <c r="A1173" t="s">
        <v>115</v>
      </c>
      <c r="B1173">
        <v>2016</v>
      </c>
      <c r="C1173" t="s">
        <v>205</v>
      </c>
      <c r="D1173" s="437" t="s">
        <v>595</v>
      </c>
      <c r="E1173" s="437">
        <v>40289</v>
      </c>
    </row>
    <row r="1174" spans="1:5" x14ac:dyDescent="0.25">
      <c r="A1174" t="s">
        <v>115</v>
      </c>
      <c r="B1174">
        <v>2016</v>
      </c>
      <c r="C1174" t="s">
        <v>205</v>
      </c>
      <c r="D1174" s="437" t="s">
        <v>352</v>
      </c>
      <c r="E1174" s="437">
        <v>22221</v>
      </c>
    </row>
    <row r="1175" spans="1:5" x14ac:dyDescent="0.25">
      <c r="A1175" t="s">
        <v>115</v>
      </c>
      <c r="B1175">
        <v>2016</v>
      </c>
      <c r="C1175" t="s">
        <v>205</v>
      </c>
      <c r="D1175" s="437" t="s">
        <v>43</v>
      </c>
      <c r="E1175" s="437">
        <v>9416</v>
      </c>
    </row>
    <row r="1176" spans="1:5" x14ac:dyDescent="0.25">
      <c r="A1176" t="s">
        <v>115</v>
      </c>
      <c r="B1176">
        <v>2016</v>
      </c>
      <c r="C1176" t="s">
        <v>205</v>
      </c>
      <c r="D1176" s="437" t="s">
        <v>42</v>
      </c>
      <c r="E1176" s="437">
        <v>0</v>
      </c>
    </row>
    <row r="1177" spans="1:5" x14ac:dyDescent="0.25">
      <c r="A1177" t="s">
        <v>115</v>
      </c>
      <c r="B1177">
        <v>2016</v>
      </c>
      <c r="C1177" t="s">
        <v>205</v>
      </c>
      <c r="D1177" s="437" t="s">
        <v>44</v>
      </c>
      <c r="E1177" s="437">
        <v>19288</v>
      </c>
    </row>
    <row r="1178" spans="1:5" x14ac:dyDescent="0.25">
      <c r="A1178" t="s">
        <v>115</v>
      </c>
      <c r="B1178">
        <v>2016</v>
      </c>
      <c r="C1178" t="s">
        <v>205</v>
      </c>
      <c r="D1178" s="437" t="s">
        <v>397</v>
      </c>
      <c r="E1178" s="437">
        <v>3971</v>
      </c>
    </row>
    <row r="1179" spans="1:5" x14ac:dyDescent="0.25">
      <c r="A1179" t="s">
        <v>115</v>
      </c>
      <c r="B1179">
        <v>2016</v>
      </c>
      <c r="C1179" t="s">
        <v>205</v>
      </c>
      <c r="D1179" s="437" t="s">
        <v>133</v>
      </c>
      <c r="E1179" s="437">
        <v>26527</v>
      </c>
    </row>
    <row r="1180" spans="1:5" x14ac:dyDescent="0.25">
      <c r="A1180" t="s">
        <v>115</v>
      </c>
      <c r="B1180">
        <v>2016</v>
      </c>
      <c r="C1180" t="s">
        <v>205</v>
      </c>
      <c r="D1180" s="437" t="s">
        <v>597</v>
      </c>
      <c r="E1180" s="437">
        <v>18656</v>
      </c>
    </row>
    <row r="1181" spans="1:5" x14ac:dyDescent="0.25">
      <c r="A1181" t="s">
        <v>115</v>
      </c>
      <c r="B1181">
        <v>2016</v>
      </c>
      <c r="C1181" t="s">
        <v>205</v>
      </c>
      <c r="D1181" s="437" t="s">
        <v>596</v>
      </c>
      <c r="E1181" s="437">
        <v>53748</v>
      </c>
    </row>
    <row r="1182" spans="1:5" x14ac:dyDescent="0.25">
      <c r="A1182" t="s">
        <v>115</v>
      </c>
      <c r="B1182">
        <v>2016</v>
      </c>
      <c r="C1182" t="s">
        <v>205</v>
      </c>
      <c r="D1182" s="437" t="s">
        <v>413</v>
      </c>
      <c r="E1182" s="437">
        <v>5186</v>
      </c>
    </row>
    <row r="1183" spans="1:5" x14ac:dyDescent="0.25">
      <c r="A1183" t="s">
        <v>116</v>
      </c>
      <c r="B1183">
        <v>2016</v>
      </c>
      <c r="C1183" t="s">
        <v>205</v>
      </c>
      <c r="D1183" s="437" t="s">
        <v>57</v>
      </c>
      <c r="E1183" s="437">
        <v>0</v>
      </c>
    </row>
    <row r="1184" spans="1:5" x14ac:dyDescent="0.25">
      <c r="A1184" t="s">
        <v>116</v>
      </c>
      <c r="B1184">
        <v>2016</v>
      </c>
      <c r="C1184" t="s">
        <v>205</v>
      </c>
      <c r="D1184" s="437" t="s">
        <v>348</v>
      </c>
      <c r="E1184" s="437">
        <v>0</v>
      </c>
    </row>
    <row r="1185" spans="1:5" x14ac:dyDescent="0.25">
      <c r="A1185" t="s">
        <v>116</v>
      </c>
      <c r="B1185">
        <v>2016</v>
      </c>
      <c r="C1185" t="s">
        <v>205</v>
      </c>
      <c r="D1185" s="437" t="s">
        <v>349</v>
      </c>
      <c r="E1185" s="437">
        <v>0</v>
      </c>
    </row>
    <row r="1186" spans="1:5" x14ac:dyDescent="0.25">
      <c r="A1186" t="s">
        <v>116</v>
      </c>
      <c r="B1186">
        <v>2016</v>
      </c>
      <c r="C1186" t="s">
        <v>205</v>
      </c>
      <c r="D1186" s="437" t="s">
        <v>595</v>
      </c>
      <c r="E1186" s="437">
        <v>615</v>
      </c>
    </row>
    <row r="1187" spans="1:5" x14ac:dyDescent="0.25">
      <c r="A1187" t="s">
        <v>116</v>
      </c>
      <c r="B1187">
        <v>2016</v>
      </c>
      <c r="C1187" t="s">
        <v>205</v>
      </c>
      <c r="D1187" s="437" t="s">
        <v>352</v>
      </c>
      <c r="E1187" s="437">
        <v>1119</v>
      </c>
    </row>
    <row r="1188" spans="1:5" x14ac:dyDescent="0.25">
      <c r="A1188" t="s">
        <v>116</v>
      </c>
      <c r="B1188">
        <v>2016</v>
      </c>
      <c r="C1188" t="s">
        <v>205</v>
      </c>
      <c r="D1188" s="437" t="s">
        <v>43</v>
      </c>
      <c r="E1188" s="437">
        <v>438</v>
      </c>
    </row>
    <row r="1189" spans="1:5" x14ac:dyDescent="0.25">
      <c r="A1189" t="s">
        <v>116</v>
      </c>
      <c r="B1189">
        <v>2016</v>
      </c>
      <c r="C1189" t="s">
        <v>205</v>
      </c>
      <c r="D1189" s="437" t="s">
        <v>42</v>
      </c>
      <c r="E1189" s="437">
        <v>0</v>
      </c>
    </row>
    <row r="1190" spans="1:5" x14ac:dyDescent="0.25">
      <c r="A1190" t="s">
        <v>116</v>
      </c>
      <c r="B1190">
        <v>2016</v>
      </c>
      <c r="C1190" t="s">
        <v>205</v>
      </c>
      <c r="D1190" s="437" t="s">
        <v>44</v>
      </c>
      <c r="E1190" s="437">
        <v>73</v>
      </c>
    </row>
    <row r="1191" spans="1:5" x14ac:dyDescent="0.25">
      <c r="A1191" t="s">
        <v>116</v>
      </c>
      <c r="B1191">
        <v>2016</v>
      </c>
      <c r="C1191" t="s">
        <v>205</v>
      </c>
      <c r="D1191" s="437" t="s">
        <v>397</v>
      </c>
      <c r="E1191" s="437">
        <v>78</v>
      </c>
    </row>
    <row r="1192" spans="1:5" x14ac:dyDescent="0.25">
      <c r="A1192" t="s">
        <v>116</v>
      </c>
      <c r="B1192">
        <v>2016</v>
      </c>
      <c r="C1192" t="s">
        <v>205</v>
      </c>
      <c r="D1192" s="437" t="s">
        <v>133</v>
      </c>
      <c r="E1192" s="437">
        <v>1026</v>
      </c>
    </row>
    <row r="1193" spans="1:5" x14ac:dyDescent="0.25">
      <c r="A1193" t="s">
        <v>116</v>
      </c>
      <c r="B1193">
        <v>2016</v>
      </c>
      <c r="C1193" t="s">
        <v>205</v>
      </c>
      <c r="D1193" s="437" t="s">
        <v>597</v>
      </c>
      <c r="E1193" s="437">
        <v>813</v>
      </c>
    </row>
    <row r="1194" spans="1:5" x14ac:dyDescent="0.25">
      <c r="A1194" t="s">
        <v>116</v>
      </c>
      <c r="B1194">
        <v>2016</v>
      </c>
      <c r="C1194" t="s">
        <v>205</v>
      </c>
      <c r="D1194" s="437" t="s">
        <v>596</v>
      </c>
      <c r="E1194" s="437">
        <v>1979</v>
      </c>
    </row>
    <row r="1195" spans="1:5" x14ac:dyDescent="0.25">
      <c r="A1195" t="s">
        <v>116</v>
      </c>
      <c r="B1195">
        <v>2016</v>
      </c>
      <c r="C1195" t="s">
        <v>205</v>
      </c>
      <c r="D1195" s="437" t="s">
        <v>413</v>
      </c>
      <c r="E1195" s="437">
        <v>32</v>
      </c>
    </row>
    <row r="1196" spans="1:5" x14ac:dyDescent="0.25">
      <c r="A1196" t="s">
        <v>117</v>
      </c>
      <c r="B1196">
        <v>2016</v>
      </c>
      <c r="C1196" t="s">
        <v>205</v>
      </c>
      <c r="D1196" s="437" t="s">
        <v>57</v>
      </c>
      <c r="E1196" s="437">
        <v>0</v>
      </c>
    </row>
    <row r="1197" spans="1:5" x14ac:dyDescent="0.25">
      <c r="A1197" t="s">
        <v>117</v>
      </c>
      <c r="B1197">
        <v>2016</v>
      </c>
      <c r="C1197" t="s">
        <v>205</v>
      </c>
      <c r="D1197" s="437" t="s">
        <v>348</v>
      </c>
      <c r="E1197" s="437">
        <v>0</v>
      </c>
    </row>
    <row r="1198" spans="1:5" x14ac:dyDescent="0.25">
      <c r="A1198" t="s">
        <v>117</v>
      </c>
      <c r="B1198">
        <v>2016</v>
      </c>
      <c r="C1198" t="s">
        <v>205</v>
      </c>
      <c r="D1198" s="437" t="s">
        <v>349</v>
      </c>
      <c r="E1198" s="437">
        <v>0</v>
      </c>
    </row>
    <row r="1199" spans="1:5" x14ac:dyDescent="0.25">
      <c r="A1199" t="s">
        <v>117</v>
      </c>
      <c r="B1199">
        <v>2016</v>
      </c>
      <c r="C1199" t="s">
        <v>205</v>
      </c>
      <c r="D1199" s="437" t="s">
        <v>595</v>
      </c>
      <c r="E1199" s="437">
        <v>495</v>
      </c>
    </row>
    <row r="1200" spans="1:5" x14ac:dyDescent="0.25">
      <c r="A1200" t="s">
        <v>117</v>
      </c>
      <c r="B1200">
        <v>2016</v>
      </c>
      <c r="C1200" t="s">
        <v>205</v>
      </c>
      <c r="D1200" s="437" t="s">
        <v>352</v>
      </c>
      <c r="E1200" s="437">
        <v>0</v>
      </c>
    </row>
    <row r="1201" spans="1:5" x14ac:dyDescent="0.25">
      <c r="A1201" t="s">
        <v>117</v>
      </c>
      <c r="B1201">
        <v>2016</v>
      </c>
      <c r="C1201" t="s">
        <v>205</v>
      </c>
      <c r="D1201" s="437" t="s">
        <v>43</v>
      </c>
      <c r="E1201" s="437">
        <v>120</v>
      </c>
    </row>
    <row r="1202" spans="1:5" x14ac:dyDescent="0.25">
      <c r="A1202" t="s">
        <v>117</v>
      </c>
      <c r="B1202">
        <v>2016</v>
      </c>
      <c r="C1202" t="s">
        <v>205</v>
      </c>
      <c r="D1202" s="437" t="s">
        <v>42</v>
      </c>
      <c r="E1202" s="437">
        <v>0</v>
      </c>
    </row>
    <row r="1203" spans="1:5" x14ac:dyDescent="0.25">
      <c r="A1203" t="s">
        <v>117</v>
      </c>
      <c r="B1203">
        <v>2016</v>
      </c>
      <c r="C1203" t="s">
        <v>205</v>
      </c>
      <c r="D1203" s="437" t="s">
        <v>44</v>
      </c>
      <c r="E1203" s="437">
        <v>121</v>
      </c>
    </row>
    <row r="1204" spans="1:5" x14ac:dyDescent="0.25">
      <c r="A1204" t="s">
        <v>117</v>
      </c>
      <c r="B1204">
        <v>2016</v>
      </c>
      <c r="C1204" t="s">
        <v>205</v>
      </c>
      <c r="D1204" s="437" t="s">
        <v>397</v>
      </c>
      <c r="E1204" s="437">
        <v>11</v>
      </c>
    </row>
    <row r="1205" spans="1:5" x14ac:dyDescent="0.25">
      <c r="A1205" t="s">
        <v>117</v>
      </c>
      <c r="B1205">
        <v>2016</v>
      </c>
      <c r="C1205" t="s">
        <v>205</v>
      </c>
      <c r="D1205" s="437" t="s">
        <v>133</v>
      </c>
      <c r="E1205" s="437">
        <v>1322</v>
      </c>
    </row>
    <row r="1206" spans="1:5" x14ac:dyDescent="0.25">
      <c r="A1206" t="s">
        <v>117</v>
      </c>
      <c r="B1206">
        <v>2016</v>
      </c>
      <c r="C1206" t="s">
        <v>205</v>
      </c>
      <c r="D1206" s="437" t="s">
        <v>597</v>
      </c>
      <c r="E1206" s="437">
        <v>394</v>
      </c>
    </row>
    <row r="1207" spans="1:5" x14ac:dyDescent="0.25">
      <c r="A1207" t="s">
        <v>117</v>
      </c>
      <c r="B1207">
        <v>2016</v>
      </c>
      <c r="C1207" t="s">
        <v>205</v>
      </c>
      <c r="D1207" s="437" t="s">
        <v>596</v>
      </c>
      <c r="E1207" s="437">
        <v>1025</v>
      </c>
    </row>
    <row r="1208" spans="1:5" x14ac:dyDescent="0.25">
      <c r="A1208" t="s">
        <v>117</v>
      </c>
      <c r="B1208">
        <v>2016</v>
      </c>
      <c r="C1208" t="s">
        <v>205</v>
      </c>
      <c r="D1208" s="437" t="s">
        <v>413</v>
      </c>
      <c r="E1208" s="437">
        <v>21</v>
      </c>
    </row>
    <row r="1209" spans="1:5" x14ac:dyDescent="0.25">
      <c r="A1209" t="s">
        <v>201</v>
      </c>
      <c r="B1209">
        <v>2016</v>
      </c>
      <c r="C1209" t="s">
        <v>205</v>
      </c>
      <c r="D1209" s="437" t="s">
        <v>57</v>
      </c>
      <c r="E1209" s="437">
        <v>0</v>
      </c>
    </row>
    <row r="1210" spans="1:5" x14ac:dyDescent="0.25">
      <c r="A1210" t="s">
        <v>201</v>
      </c>
      <c r="B1210">
        <v>2016</v>
      </c>
      <c r="C1210" t="s">
        <v>205</v>
      </c>
      <c r="D1210" s="437" t="s">
        <v>348</v>
      </c>
      <c r="E1210" s="437">
        <v>0</v>
      </c>
    </row>
    <row r="1211" spans="1:5" x14ac:dyDescent="0.25">
      <c r="A1211" t="s">
        <v>201</v>
      </c>
      <c r="B1211">
        <v>2016</v>
      </c>
      <c r="C1211" t="s">
        <v>205</v>
      </c>
      <c r="D1211" s="437" t="s">
        <v>349</v>
      </c>
      <c r="E1211" s="437">
        <v>0</v>
      </c>
    </row>
    <row r="1212" spans="1:5" x14ac:dyDescent="0.25">
      <c r="A1212" t="s">
        <v>201</v>
      </c>
      <c r="B1212">
        <v>2016</v>
      </c>
      <c r="C1212" t="s">
        <v>205</v>
      </c>
      <c r="D1212" s="437" t="s">
        <v>595</v>
      </c>
      <c r="E1212" s="437">
        <v>1031</v>
      </c>
    </row>
    <row r="1213" spans="1:5" x14ac:dyDescent="0.25">
      <c r="A1213" t="s">
        <v>201</v>
      </c>
      <c r="B1213">
        <v>2016</v>
      </c>
      <c r="C1213" t="s">
        <v>205</v>
      </c>
      <c r="D1213" s="437" t="s">
        <v>352</v>
      </c>
      <c r="E1213" s="437">
        <v>118</v>
      </c>
    </row>
    <row r="1214" spans="1:5" x14ac:dyDescent="0.25">
      <c r="A1214" t="s">
        <v>201</v>
      </c>
      <c r="B1214">
        <v>2016</v>
      </c>
      <c r="C1214" t="s">
        <v>205</v>
      </c>
      <c r="D1214" s="437" t="s">
        <v>43</v>
      </c>
      <c r="E1214" s="437">
        <v>71</v>
      </c>
    </row>
    <row r="1215" spans="1:5" x14ac:dyDescent="0.25">
      <c r="A1215" t="s">
        <v>201</v>
      </c>
      <c r="B1215">
        <v>2016</v>
      </c>
      <c r="C1215" t="s">
        <v>205</v>
      </c>
      <c r="D1215" s="437" t="s">
        <v>42</v>
      </c>
      <c r="E1215" s="437">
        <v>0</v>
      </c>
    </row>
    <row r="1216" spans="1:5" x14ac:dyDescent="0.25">
      <c r="A1216" t="s">
        <v>201</v>
      </c>
      <c r="B1216">
        <v>2016</v>
      </c>
      <c r="C1216" t="s">
        <v>205</v>
      </c>
      <c r="D1216" s="437" t="s">
        <v>44</v>
      </c>
      <c r="E1216" s="437">
        <v>0</v>
      </c>
    </row>
    <row r="1217" spans="1:5" x14ac:dyDescent="0.25">
      <c r="A1217" t="s">
        <v>201</v>
      </c>
      <c r="B1217">
        <v>2016</v>
      </c>
      <c r="C1217" t="s">
        <v>205</v>
      </c>
      <c r="D1217" s="437" t="s">
        <v>397</v>
      </c>
      <c r="E1217" s="437">
        <v>136</v>
      </c>
    </row>
    <row r="1218" spans="1:5" x14ac:dyDescent="0.25">
      <c r="A1218" t="s">
        <v>201</v>
      </c>
      <c r="B1218">
        <v>2016</v>
      </c>
      <c r="C1218" t="s">
        <v>205</v>
      </c>
      <c r="D1218" s="437" t="s">
        <v>133</v>
      </c>
      <c r="E1218" s="437">
        <v>1578</v>
      </c>
    </row>
    <row r="1219" spans="1:5" x14ac:dyDescent="0.25">
      <c r="A1219" t="s">
        <v>201</v>
      </c>
      <c r="B1219">
        <v>2016</v>
      </c>
      <c r="C1219" t="s">
        <v>205</v>
      </c>
      <c r="D1219" s="437" t="s">
        <v>597</v>
      </c>
      <c r="E1219" s="437">
        <v>449</v>
      </c>
    </row>
    <row r="1220" spans="1:5" x14ac:dyDescent="0.25">
      <c r="A1220" t="s">
        <v>201</v>
      </c>
      <c r="B1220">
        <v>2016</v>
      </c>
      <c r="C1220" t="s">
        <v>205</v>
      </c>
      <c r="D1220" s="437" t="s">
        <v>596</v>
      </c>
      <c r="E1220" s="437">
        <v>1300</v>
      </c>
    </row>
    <row r="1221" spans="1:5" x14ac:dyDescent="0.25">
      <c r="A1221" t="s">
        <v>201</v>
      </c>
      <c r="B1221">
        <v>2016</v>
      </c>
      <c r="C1221" t="s">
        <v>205</v>
      </c>
      <c r="D1221" s="437" t="s">
        <v>413</v>
      </c>
      <c r="E1221" s="437">
        <v>0</v>
      </c>
    </row>
    <row r="1222" spans="1:5" x14ac:dyDescent="0.25">
      <c r="A1222" t="s">
        <v>120</v>
      </c>
      <c r="B1222">
        <v>2016</v>
      </c>
      <c r="C1222" t="s">
        <v>205</v>
      </c>
      <c r="D1222" s="437" t="s">
        <v>57</v>
      </c>
      <c r="E1222" s="437">
        <v>486</v>
      </c>
    </row>
    <row r="1223" spans="1:5" x14ac:dyDescent="0.25">
      <c r="A1223" t="s">
        <v>120</v>
      </c>
      <c r="B1223">
        <v>2016</v>
      </c>
      <c r="C1223" t="s">
        <v>205</v>
      </c>
      <c r="D1223" s="437" t="s">
        <v>348</v>
      </c>
      <c r="E1223" s="437">
        <v>0</v>
      </c>
    </row>
    <row r="1224" spans="1:5" x14ac:dyDescent="0.25">
      <c r="A1224" t="s">
        <v>120</v>
      </c>
      <c r="B1224">
        <v>2016</v>
      </c>
      <c r="C1224" t="s">
        <v>205</v>
      </c>
      <c r="D1224" s="437" t="s">
        <v>349</v>
      </c>
      <c r="E1224" s="437">
        <v>4608</v>
      </c>
    </row>
    <row r="1225" spans="1:5" x14ac:dyDescent="0.25">
      <c r="A1225" t="s">
        <v>120</v>
      </c>
      <c r="B1225">
        <v>2016</v>
      </c>
      <c r="C1225" t="s">
        <v>205</v>
      </c>
      <c r="D1225" s="437" t="s">
        <v>595</v>
      </c>
      <c r="E1225" s="437">
        <v>19297</v>
      </c>
    </row>
    <row r="1226" spans="1:5" x14ac:dyDescent="0.25">
      <c r="A1226" t="s">
        <v>120</v>
      </c>
      <c r="B1226">
        <v>2016</v>
      </c>
      <c r="C1226" t="s">
        <v>205</v>
      </c>
      <c r="D1226" s="437" t="s">
        <v>352</v>
      </c>
      <c r="E1226" s="437">
        <v>0</v>
      </c>
    </row>
    <row r="1227" spans="1:5" x14ac:dyDescent="0.25">
      <c r="A1227" t="s">
        <v>120</v>
      </c>
      <c r="B1227">
        <v>2016</v>
      </c>
      <c r="C1227" t="s">
        <v>205</v>
      </c>
      <c r="D1227" s="437" t="s">
        <v>43</v>
      </c>
      <c r="E1227" s="437">
        <v>3479</v>
      </c>
    </row>
    <row r="1228" spans="1:5" x14ac:dyDescent="0.25">
      <c r="A1228" t="s">
        <v>120</v>
      </c>
      <c r="B1228">
        <v>2016</v>
      </c>
      <c r="C1228" t="s">
        <v>205</v>
      </c>
      <c r="D1228" s="437" t="s">
        <v>42</v>
      </c>
      <c r="E1228" s="437">
        <v>638</v>
      </c>
    </row>
    <row r="1229" spans="1:5" x14ac:dyDescent="0.25">
      <c r="A1229" t="s">
        <v>120</v>
      </c>
      <c r="B1229">
        <v>2016</v>
      </c>
      <c r="C1229" t="s">
        <v>205</v>
      </c>
      <c r="D1229" s="437" t="s">
        <v>44</v>
      </c>
      <c r="E1229" s="437">
        <v>2039</v>
      </c>
    </row>
    <row r="1230" spans="1:5" x14ac:dyDescent="0.25">
      <c r="A1230" t="s">
        <v>120</v>
      </c>
      <c r="B1230">
        <v>2016</v>
      </c>
      <c r="C1230" t="s">
        <v>205</v>
      </c>
      <c r="D1230" s="437" t="s">
        <v>397</v>
      </c>
      <c r="E1230" s="437">
        <v>486</v>
      </c>
    </row>
    <row r="1231" spans="1:5" x14ac:dyDescent="0.25">
      <c r="A1231" t="s">
        <v>120</v>
      </c>
      <c r="B1231">
        <v>2016</v>
      </c>
      <c r="C1231" t="s">
        <v>205</v>
      </c>
      <c r="D1231" s="437" t="s">
        <v>133</v>
      </c>
      <c r="E1231" s="437">
        <v>38</v>
      </c>
    </row>
    <row r="1232" spans="1:5" x14ac:dyDescent="0.25">
      <c r="A1232" t="s">
        <v>120</v>
      </c>
      <c r="B1232">
        <v>2016</v>
      </c>
      <c r="C1232" t="s">
        <v>205</v>
      </c>
      <c r="D1232" s="437" t="s">
        <v>597</v>
      </c>
      <c r="E1232" s="437">
        <v>9115</v>
      </c>
    </row>
    <row r="1233" spans="1:5" x14ac:dyDescent="0.25">
      <c r="A1233" t="s">
        <v>120</v>
      </c>
      <c r="B1233">
        <v>2016</v>
      </c>
      <c r="C1233" t="s">
        <v>205</v>
      </c>
      <c r="D1233" s="437" t="s">
        <v>596</v>
      </c>
      <c r="E1233" s="437">
        <v>18243</v>
      </c>
    </row>
    <row r="1234" spans="1:5" x14ac:dyDescent="0.25">
      <c r="A1234" t="s">
        <v>120</v>
      </c>
      <c r="B1234">
        <v>2016</v>
      </c>
      <c r="C1234" t="s">
        <v>205</v>
      </c>
      <c r="D1234" s="437" t="s">
        <v>413</v>
      </c>
      <c r="E1234" s="437">
        <v>678</v>
      </c>
    </row>
    <row r="1235" spans="1:5" x14ac:dyDescent="0.25">
      <c r="A1235" t="s">
        <v>121</v>
      </c>
      <c r="B1235">
        <v>2016</v>
      </c>
      <c r="C1235" t="s">
        <v>205</v>
      </c>
      <c r="D1235" s="437" t="s">
        <v>57</v>
      </c>
      <c r="E1235" s="437">
        <v>0</v>
      </c>
    </row>
    <row r="1236" spans="1:5" x14ac:dyDescent="0.25">
      <c r="A1236" t="s">
        <v>121</v>
      </c>
      <c r="B1236">
        <v>2016</v>
      </c>
      <c r="C1236" t="s">
        <v>205</v>
      </c>
      <c r="D1236" s="437" t="s">
        <v>348</v>
      </c>
      <c r="E1236" s="437">
        <v>0</v>
      </c>
    </row>
    <row r="1237" spans="1:5" x14ac:dyDescent="0.25">
      <c r="A1237" t="s">
        <v>121</v>
      </c>
      <c r="B1237">
        <v>2016</v>
      </c>
      <c r="C1237" t="s">
        <v>205</v>
      </c>
      <c r="D1237" s="437" t="s">
        <v>349</v>
      </c>
      <c r="E1237" s="437">
        <v>0</v>
      </c>
    </row>
    <row r="1238" spans="1:5" x14ac:dyDescent="0.25">
      <c r="A1238" t="s">
        <v>121</v>
      </c>
      <c r="B1238">
        <v>2016</v>
      </c>
      <c r="C1238" t="s">
        <v>205</v>
      </c>
      <c r="D1238" s="437" t="s">
        <v>595</v>
      </c>
      <c r="E1238" s="437">
        <v>445</v>
      </c>
    </row>
    <row r="1239" spans="1:5" x14ac:dyDescent="0.25">
      <c r="A1239" t="s">
        <v>121</v>
      </c>
      <c r="B1239">
        <v>2016</v>
      </c>
      <c r="C1239" t="s">
        <v>205</v>
      </c>
      <c r="D1239" s="437" t="s">
        <v>352</v>
      </c>
      <c r="E1239" s="437">
        <v>0</v>
      </c>
    </row>
    <row r="1240" spans="1:5" x14ac:dyDescent="0.25">
      <c r="A1240" t="s">
        <v>121</v>
      </c>
      <c r="B1240">
        <v>2016</v>
      </c>
      <c r="C1240" t="s">
        <v>205</v>
      </c>
      <c r="D1240" s="437" t="s">
        <v>43</v>
      </c>
      <c r="E1240" s="437">
        <v>869</v>
      </c>
    </row>
    <row r="1241" spans="1:5" x14ac:dyDescent="0.25">
      <c r="A1241" t="s">
        <v>121</v>
      </c>
      <c r="B1241">
        <v>2016</v>
      </c>
      <c r="C1241" t="s">
        <v>205</v>
      </c>
      <c r="D1241" s="437" t="s">
        <v>42</v>
      </c>
      <c r="E1241" s="437">
        <v>0</v>
      </c>
    </row>
    <row r="1242" spans="1:5" x14ac:dyDescent="0.25">
      <c r="A1242" t="s">
        <v>121</v>
      </c>
      <c r="B1242">
        <v>2016</v>
      </c>
      <c r="C1242" t="s">
        <v>205</v>
      </c>
      <c r="D1242" s="437" t="s">
        <v>44</v>
      </c>
      <c r="E1242" s="437">
        <v>0</v>
      </c>
    </row>
    <row r="1243" spans="1:5" x14ac:dyDescent="0.25">
      <c r="A1243" t="s">
        <v>121</v>
      </c>
      <c r="B1243">
        <v>2016</v>
      </c>
      <c r="C1243" t="s">
        <v>205</v>
      </c>
      <c r="D1243" s="437" t="s">
        <v>397</v>
      </c>
      <c r="E1243" s="437">
        <v>2</v>
      </c>
    </row>
    <row r="1244" spans="1:5" x14ac:dyDescent="0.25">
      <c r="A1244" t="s">
        <v>121</v>
      </c>
      <c r="B1244">
        <v>2016</v>
      </c>
      <c r="C1244" t="s">
        <v>205</v>
      </c>
      <c r="D1244" s="437" t="s">
        <v>133</v>
      </c>
      <c r="E1244" s="437">
        <v>30767</v>
      </c>
    </row>
    <row r="1245" spans="1:5" x14ac:dyDescent="0.25">
      <c r="A1245" t="s">
        <v>121</v>
      </c>
      <c r="B1245">
        <v>2016</v>
      </c>
      <c r="C1245" t="s">
        <v>205</v>
      </c>
      <c r="D1245" s="437" t="s">
        <v>597</v>
      </c>
      <c r="E1245" s="437">
        <v>9156</v>
      </c>
    </row>
    <row r="1246" spans="1:5" x14ac:dyDescent="0.25">
      <c r="A1246" t="s">
        <v>121</v>
      </c>
      <c r="B1246">
        <v>2016</v>
      </c>
      <c r="C1246" t="s">
        <v>205</v>
      </c>
      <c r="D1246" s="437" t="s">
        <v>596</v>
      </c>
      <c r="E1246" s="437">
        <v>24485</v>
      </c>
    </row>
    <row r="1247" spans="1:5" x14ac:dyDescent="0.25">
      <c r="A1247" t="s">
        <v>121</v>
      </c>
      <c r="B1247">
        <v>2016</v>
      </c>
      <c r="C1247" t="s">
        <v>205</v>
      </c>
      <c r="D1247" s="437" t="s">
        <v>413</v>
      </c>
      <c r="E1247" s="437">
        <v>0</v>
      </c>
    </row>
    <row r="1248" spans="1:5" x14ac:dyDescent="0.25">
      <c r="A1248" t="s">
        <v>122</v>
      </c>
      <c r="B1248">
        <v>2016</v>
      </c>
      <c r="C1248" t="s">
        <v>205</v>
      </c>
      <c r="D1248" s="437" t="s">
        <v>57</v>
      </c>
      <c r="E1248" s="437">
        <v>0</v>
      </c>
    </row>
    <row r="1249" spans="1:5" x14ac:dyDescent="0.25">
      <c r="A1249" t="s">
        <v>122</v>
      </c>
      <c r="B1249">
        <v>2016</v>
      </c>
      <c r="C1249" t="s">
        <v>205</v>
      </c>
      <c r="D1249" s="437" t="s">
        <v>348</v>
      </c>
      <c r="E1249" s="437">
        <v>8576</v>
      </c>
    </row>
    <row r="1250" spans="1:5" x14ac:dyDescent="0.25">
      <c r="A1250" t="s">
        <v>122</v>
      </c>
      <c r="B1250">
        <v>2016</v>
      </c>
      <c r="C1250" t="s">
        <v>205</v>
      </c>
      <c r="D1250" s="437" t="s">
        <v>349</v>
      </c>
      <c r="E1250" s="437">
        <v>17906</v>
      </c>
    </row>
    <row r="1251" spans="1:5" x14ac:dyDescent="0.25">
      <c r="A1251" t="s">
        <v>122</v>
      </c>
      <c r="B1251">
        <v>2016</v>
      </c>
      <c r="C1251" t="s">
        <v>205</v>
      </c>
      <c r="D1251" s="437" t="s">
        <v>595</v>
      </c>
      <c r="E1251" s="437">
        <v>1384</v>
      </c>
    </row>
    <row r="1252" spans="1:5" x14ac:dyDescent="0.25">
      <c r="A1252" t="s">
        <v>122</v>
      </c>
      <c r="B1252">
        <v>2016</v>
      </c>
      <c r="C1252" t="s">
        <v>205</v>
      </c>
      <c r="D1252" s="437" t="s">
        <v>352</v>
      </c>
      <c r="E1252" s="437">
        <v>332</v>
      </c>
    </row>
    <row r="1253" spans="1:5" x14ac:dyDescent="0.25">
      <c r="A1253" t="s">
        <v>122</v>
      </c>
      <c r="B1253">
        <v>2016</v>
      </c>
      <c r="C1253" t="s">
        <v>205</v>
      </c>
      <c r="D1253" s="437" t="s">
        <v>43</v>
      </c>
      <c r="E1253" s="437">
        <v>5697</v>
      </c>
    </row>
    <row r="1254" spans="1:5" x14ac:dyDescent="0.25">
      <c r="A1254" t="s">
        <v>122</v>
      </c>
      <c r="B1254">
        <v>2016</v>
      </c>
      <c r="C1254" t="s">
        <v>205</v>
      </c>
      <c r="D1254" s="437" t="s">
        <v>42</v>
      </c>
      <c r="E1254" s="437">
        <v>0</v>
      </c>
    </row>
    <row r="1255" spans="1:5" x14ac:dyDescent="0.25">
      <c r="A1255" t="s">
        <v>122</v>
      </c>
      <c r="B1255">
        <v>2016</v>
      </c>
      <c r="C1255" t="s">
        <v>205</v>
      </c>
      <c r="D1255" s="437" t="s">
        <v>44</v>
      </c>
      <c r="E1255" s="437">
        <v>186</v>
      </c>
    </row>
    <row r="1256" spans="1:5" x14ac:dyDescent="0.25">
      <c r="A1256" t="s">
        <v>122</v>
      </c>
      <c r="B1256">
        <v>2016</v>
      </c>
      <c r="C1256" t="s">
        <v>205</v>
      </c>
      <c r="D1256" s="437" t="s">
        <v>397</v>
      </c>
      <c r="E1256" s="437">
        <v>933</v>
      </c>
    </row>
    <row r="1257" spans="1:5" x14ac:dyDescent="0.25">
      <c r="A1257" t="s">
        <v>122</v>
      </c>
      <c r="B1257">
        <v>2016</v>
      </c>
      <c r="C1257" t="s">
        <v>205</v>
      </c>
      <c r="D1257" s="437" t="s">
        <v>133</v>
      </c>
      <c r="E1257" s="437">
        <v>2361</v>
      </c>
    </row>
    <row r="1258" spans="1:5" x14ac:dyDescent="0.25">
      <c r="A1258" t="s">
        <v>122</v>
      </c>
      <c r="B1258">
        <v>2016</v>
      </c>
      <c r="C1258" t="s">
        <v>205</v>
      </c>
      <c r="D1258" s="437" t="s">
        <v>597</v>
      </c>
      <c r="E1258" s="437">
        <v>10509</v>
      </c>
    </row>
    <row r="1259" spans="1:5" x14ac:dyDescent="0.25">
      <c r="A1259" t="s">
        <v>122</v>
      </c>
      <c r="B1259">
        <v>2016</v>
      </c>
      <c r="C1259" t="s">
        <v>205</v>
      </c>
      <c r="D1259" s="437" t="s">
        <v>596</v>
      </c>
      <c r="E1259" s="437">
        <v>23779</v>
      </c>
    </row>
    <row r="1260" spans="1:5" x14ac:dyDescent="0.25">
      <c r="A1260" t="s">
        <v>122</v>
      </c>
      <c r="B1260">
        <v>2016</v>
      </c>
      <c r="C1260" t="s">
        <v>205</v>
      </c>
      <c r="D1260" s="437" t="s">
        <v>413</v>
      </c>
      <c r="E1260" s="437">
        <v>903</v>
      </c>
    </row>
    <row r="1261" spans="1:5" x14ac:dyDescent="0.25">
      <c r="A1261" t="s">
        <v>123</v>
      </c>
      <c r="B1261">
        <v>2016</v>
      </c>
      <c r="C1261" t="s">
        <v>205</v>
      </c>
      <c r="D1261" s="437" t="s">
        <v>57</v>
      </c>
      <c r="E1261" s="437">
        <v>0</v>
      </c>
    </row>
    <row r="1262" spans="1:5" x14ac:dyDescent="0.25">
      <c r="A1262" t="s">
        <v>123</v>
      </c>
      <c r="B1262">
        <v>2016</v>
      </c>
      <c r="C1262" t="s">
        <v>205</v>
      </c>
      <c r="D1262" s="437" t="s">
        <v>348</v>
      </c>
      <c r="E1262" s="437">
        <v>0</v>
      </c>
    </row>
    <row r="1263" spans="1:5" x14ac:dyDescent="0.25">
      <c r="A1263" t="s">
        <v>123</v>
      </c>
      <c r="B1263">
        <v>2016</v>
      </c>
      <c r="C1263" t="s">
        <v>205</v>
      </c>
      <c r="D1263" s="437" t="s">
        <v>349</v>
      </c>
      <c r="E1263" s="437">
        <v>1756</v>
      </c>
    </row>
    <row r="1264" spans="1:5" x14ac:dyDescent="0.25">
      <c r="A1264" t="s">
        <v>123</v>
      </c>
      <c r="B1264">
        <v>2016</v>
      </c>
      <c r="C1264" t="s">
        <v>205</v>
      </c>
      <c r="D1264" s="437" t="s">
        <v>595</v>
      </c>
      <c r="E1264" s="437">
        <v>4657</v>
      </c>
    </row>
    <row r="1265" spans="1:5" x14ac:dyDescent="0.25">
      <c r="A1265" t="s">
        <v>123</v>
      </c>
      <c r="B1265">
        <v>2016</v>
      </c>
      <c r="C1265" t="s">
        <v>205</v>
      </c>
      <c r="D1265" s="437" t="s">
        <v>352</v>
      </c>
      <c r="E1265" s="437">
        <v>42</v>
      </c>
    </row>
    <row r="1266" spans="1:5" x14ac:dyDescent="0.25">
      <c r="A1266" t="s">
        <v>123</v>
      </c>
      <c r="B1266">
        <v>2016</v>
      </c>
      <c r="C1266" t="s">
        <v>205</v>
      </c>
      <c r="D1266" s="437" t="s">
        <v>43</v>
      </c>
      <c r="E1266" s="437">
        <v>5046</v>
      </c>
    </row>
    <row r="1267" spans="1:5" x14ac:dyDescent="0.25">
      <c r="A1267" t="s">
        <v>123</v>
      </c>
      <c r="B1267">
        <v>2016</v>
      </c>
      <c r="C1267" t="s">
        <v>205</v>
      </c>
      <c r="D1267" s="437" t="s">
        <v>42</v>
      </c>
      <c r="E1267" s="437">
        <v>0</v>
      </c>
    </row>
    <row r="1268" spans="1:5" x14ac:dyDescent="0.25">
      <c r="A1268" t="s">
        <v>123</v>
      </c>
      <c r="B1268">
        <v>2016</v>
      </c>
      <c r="C1268" t="s">
        <v>205</v>
      </c>
      <c r="D1268" s="437" t="s">
        <v>44</v>
      </c>
      <c r="E1268" s="437">
        <v>439</v>
      </c>
    </row>
    <row r="1269" spans="1:5" x14ac:dyDescent="0.25">
      <c r="A1269" t="s">
        <v>123</v>
      </c>
      <c r="B1269">
        <v>2016</v>
      </c>
      <c r="C1269" t="s">
        <v>205</v>
      </c>
      <c r="D1269" s="437" t="s">
        <v>397</v>
      </c>
      <c r="E1269" s="437">
        <v>615</v>
      </c>
    </row>
    <row r="1270" spans="1:5" x14ac:dyDescent="0.25">
      <c r="A1270" t="s">
        <v>123</v>
      </c>
      <c r="B1270">
        <v>2016</v>
      </c>
      <c r="C1270" t="s">
        <v>205</v>
      </c>
      <c r="D1270" s="437" t="s">
        <v>133</v>
      </c>
      <c r="E1270" s="437">
        <v>6945</v>
      </c>
    </row>
    <row r="1271" spans="1:5" x14ac:dyDescent="0.25">
      <c r="A1271" t="s">
        <v>123</v>
      </c>
      <c r="B1271">
        <v>2016</v>
      </c>
      <c r="C1271" t="s">
        <v>205</v>
      </c>
      <c r="D1271" s="437" t="s">
        <v>597</v>
      </c>
      <c r="E1271" s="437">
        <v>3458</v>
      </c>
    </row>
    <row r="1272" spans="1:5" x14ac:dyDescent="0.25">
      <c r="A1272" t="s">
        <v>123</v>
      </c>
      <c r="B1272">
        <v>2016</v>
      </c>
      <c r="C1272" t="s">
        <v>205</v>
      </c>
      <c r="D1272" s="437" t="s">
        <v>596</v>
      </c>
      <c r="E1272" s="437">
        <v>8139</v>
      </c>
    </row>
    <row r="1273" spans="1:5" x14ac:dyDescent="0.25">
      <c r="A1273" t="s">
        <v>123</v>
      </c>
      <c r="B1273">
        <v>2016</v>
      </c>
      <c r="C1273" t="s">
        <v>205</v>
      </c>
      <c r="D1273" s="437" t="s">
        <v>413</v>
      </c>
      <c r="E1273" s="437">
        <v>0</v>
      </c>
    </row>
    <row r="1274" spans="1:5" x14ac:dyDescent="0.25">
      <c r="A1274" t="s">
        <v>124</v>
      </c>
      <c r="B1274">
        <v>2016</v>
      </c>
      <c r="C1274" t="s">
        <v>205</v>
      </c>
      <c r="D1274" s="437" t="s">
        <v>57</v>
      </c>
      <c r="E1274" s="437">
        <v>1300</v>
      </c>
    </row>
    <row r="1275" spans="1:5" x14ac:dyDescent="0.25">
      <c r="A1275" t="s">
        <v>124</v>
      </c>
      <c r="B1275">
        <v>2016</v>
      </c>
      <c r="C1275" t="s">
        <v>205</v>
      </c>
      <c r="D1275" s="437" t="s">
        <v>348</v>
      </c>
      <c r="E1275" s="437">
        <v>3448</v>
      </c>
    </row>
    <row r="1276" spans="1:5" x14ac:dyDescent="0.25">
      <c r="A1276" t="s">
        <v>124</v>
      </c>
      <c r="B1276">
        <v>2016</v>
      </c>
      <c r="C1276" t="s">
        <v>205</v>
      </c>
      <c r="D1276" s="437" t="s">
        <v>349</v>
      </c>
      <c r="E1276" s="437">
        <v>1148</v>
      </c>
    </row>
    <row r="1277" spans="1:5" x14ac:dyDescent="0.25">
      <c r="A1277" t="s">
        <v>124</v>
      </c>
      <c r="B1277">
        <v>2016</v>
      </c>
      <c r="C1277" t="s">
        <v>205</v>
      </c>
      <c r="D1277" s="437" t="s">
        <v>595</v>
      </c>
      <c r="E1277" s="437">
        <v>1881</v>
      </c>
    </row>
    <row r="1278" spans="1:5" x14ac:dyDescent="0.25">
      <c r="A1278" t="s">
        <v>124</v>
      </c>
      <c r="B1278">
        <v>2016</v>
      </c>
      <c r="C1278" t="s">
        <v>205</v>
      </c>
      <c r="D1278" s="437" t="s">
        <v>352</v>
      </c>
      <c r="E1278" s="437">
        <v>1708</v>
      </c>
    </row>
    <row r="1279" spans="1:5" x14ac:dyDescent="0.25">
      <c r="A1279" t="s">
        <v>124</v>
      </c>
      <c r="B1279">
        <v>2016</v>
      </c>
      <c r="C1279" t="s">
        <v>205</v>
      </c>
      <c r="D1279" s="437" t="s">
        <v>43</v>
      </c>
      <c r="E1279" s="437">
        <v>2965</v>
      </c>
    </row>
    <row r="1280" spans="1:5" x14ac:dyDescent="0.25">
      <c r="A1280" t="s">
        <v>124</v>
      </c>
      <c r="B1280">
        <v>2016</v>
      </c>
      <c r="C1280" t="s">
        <v>205</v>
      </c>
      <c r="D1280" s="437" t="s">
        <v>42</v>
      </c>
      <c r="E1280" s="437">
        <v>0</v>
      </c>
    </row>
    <row r="1281" spans="1:5" x14ac:dyDescent="0.25">
      <c r="A1281" t="s">
        <v>124</v>
      </c>
      <c r="B1281">
        <v>2016</v>
      </c>
      <c r="C1281" t="s">
        <v>205</v>
      </c>
      <c r="D1281" s="437" t="s">
        <v>44</v>
      </c>
      <c r="E1281" s="437">
        <v>1301</v>
      </c>
    </row>
    <row r="1282" spans="1:5" x14ac:dyDescent="0.25">
      <c r="A1282" t="s">
        <v>124</v>
      </c>
      <c r="B1282">
        <v>2016</v>
      </c>
      <c r="C1282" t="s">
        <v>205</v>
      </c>
      <c r="D1282" s="437" t="s">
        <v>397</v>
      </c>
      <c r="E1282" s="437">
        <v>118</v>
      </c>
    </row>
    <row r="1283" spans="1:5" x14ac:dyDescent="0.25">
      <c r="A1283" t="s">
        <v>124</v>
      </c>
      <c r="B1283">
        <v>2016</v>
      </c>
      <c r="C1283" t="s">
        <v>205</v>
      </c>
      <c r="D1283" s="437" t="s">
        <v>133</v>
      </c>
      <c r="E1283" s="437">
        <v>6405</v>
      </c>
    </row>
    <row r="1284" spans="1:5" x14ac:dyDescent="0.25">
      <c r="A1284" t="s">
        <v>124</v>
      </c>
      <c r="B1284">
        <v>2016</v>
      </c>
      <c r="C1284" t="s">
        <v>205</v>
      </c>
      <c r="D1284" s="437" t="s">
        <v>597</v>
      </c>
      <c r="E1284" s="437">
        <v>3785</v>
      </c>
    </row>
    <row r="1285" spans="1:5" x14ac:dyDescent="0.25">
      <c r="A1285" t="s">
        <v>124</v>
      </c>
      <c r="B1285">
        <v>2016</v>
      </c>
      <c r="C1285" t="s">
        <v>205</v>
      </c>
      <c r="D1285" s="437" t="s">
        <v>596</v>
      </c>
      <c r="E1285" s="437">
        <v>8752</v>
      </c>
    </row>
    <row r="1286" spans="1:5" x14ac:dyDescent="0.25">
      <c r="A1286" t="s">
        <v>124</v>
      </c>
      <c r="B1286">
        <v>2016</v>
      </c>
      <c r="C1286" t="s">
        <v>205</v>
      </c>
      <c r="D1286" s="437" t="s">
        <v>413</v>
      </c>
      <c r="E1286" s="437">
        <v>0</v>
      </c>
    </row>
    <row r="1287" spans="1:5" x14ac:dyDescent="0.25">
      <c r="A1287" t="s">
        <v>126</v>
      </c>
      <c r="B1287">
        <v>2016</v>
      </c>
      <c r="C1287" t="s">
        <v>205</v>
      </c>
      <c r="D1287" s="437" t="s">
        <v>57</v>
      </c>
      <c r="E1287" s="437">
        <v>9714</v>
      </c>
    </row>
    <row r="1288" spans="1:5" x14ac:dyDescent="0.25">
      <c r="A1288" t="s">
        <v>126</v>
      </c>
      <c r="B1288">
        <v>2016</v>
      </c>
      <c r="C1288" t="s">
        <v>205</v>
      </c>
      <c r="D1288" s="437" t="s">
        <v>348</v>
      </c>
      <c r="E1288" s="437">
        <v>0</v>
      </c>
    </row>
    <row r="1289" spans="1:5" x14ac:dyDescent="0.25">
      <c r="A1289" t="s">
        <v>126</v>
      </c>
      <c r="B1289">
        <v>2016</v>
      </c>
      <c r="C1289" t="s">
        <v>205</v>
      </c>
      <c r="D1289" s="437" t="s">
        <v>349</v>
      </c>
      <c r="E1289" s="437">
        <v>225</v>
      </c>
    </row>
    <row r="1290" spans="1:5" x14ac:dyDescent="0.25">
      <c r="A1290" t="s">
        <v>126</v>
      </c>
      <c r="B1290">
        <v>2016</v>
      </c>
      <c r="C1290" t="s">
        <v>205</v>
      </c>
      <c r="D1290" s="437" t="s">
        <v>595</v>
      </c>
      <c r="E1290" s="437">
        <v>879</v>
      </c>
    </row>
    <row r="1291" spans="1:5" x14ac:dyDescent="0.25">
      <c r="A1291" t="s">
        <v>126</v>
      </c>
      <c r="B1291">
        <v>2016</v>
      </c>
      <c r="C1291" t="s">
        <v>205</v>
      </c>
      <c r="D1291" s="437" t="s">
        <v>352</v>
      </c>
      <c r="E1291" s="437">
        <v>3397</v>
      </c>
    </row>
    <row r="1292" spans="1:5" x14ac:dyDescent="0.25">
      <c r="A1292" t="s">
        <v>126</v>
      </c>
      <c r="B1292">
        <v>2016</v>
      </c>
      <c r="C1292" t="s">
        <v>205</v>
      </c>
      <c r="D1292" s="437" t="s">
        <v>43</v>
      </c>
      <c r="E1292" s="437">
        <v>6029</v>
      </c>
    </row>
    <row r="1293" spans="1:5" x14ac:dyDescent="0.25">
      <c r="A1293" t="s">
        <v>126</v>
      </c>
      <c r="B1293">
        <v>2016</v>
      </c>
      <c r="C1293" t="s">
        <v>205</v>
      </c>
      <c r="D1293" s="437" t="s">
        <v>42</v>
      </c>
      <c r="E1293" s="437">
        <v>0</v>
      </c>
    </row>
    <row r="1294" spans="1:5" x14ac:dyDescent="0.25">
      <c r="A1294" t="s">
        <v>126</v>
      </c>
      <c r="B1294">
        <v>2016</v>
      </c>
      <c r="C1294" t="s">
        <v>205</v>
      </c>
      <c r="D1294" s="437" t="s">
        <v>44</v>
      </c>
      <c r="E1294" s="437">
        <v>0</v>
      </c>
    </row>
    <row r="1295" spans="1:5" x14ac:dyDescent="0.25">
      <c r="A1295" t="s">
        <v>126</v>
      </c>
      <c r="B1295">
        <v>2016</v>
      </c>
      <c r="C1295" t="s">
        <v>205</v>
      </c>
      <c r="D1295" s="437" t="s">
        <v>397</v>
      </c>
      <c r="E1295" s="437">
        <v>2978</v>
      </c>
    </row>
    <row r="1296" spans="1:5" x14ac:dyDescent="0.25">
      <c r="A1296" t="s">
        <v>126</v>
      </c>
      <c r="B1296">
        <v>2016</v>
      </c>
      <c r="C1296" t="s">
        <v>205</v>
      </c>
      <c r="D1296" s="437" t="s">
        <v>133</v>
      </c>
      <c r="E1296" s="437">
        <v>16184</v>
      </c>
    </row>
    <row r="1297" spans="1:5" x14ac:dyDescent="0.25">
      <c r="A1297" t="s">
        <v>126</v>
      </c>
      <c r="B1297">
        <v>2016</v>
      </c>
      <c r="C1297" t="s">
        <v>205</v>
      </c>
      <c r="D1297" s="437" t="s">
        <v>597</v>
      </c>
      <c r="E1297" s="437">
        <v>8722</v>
      </c>
    </row>
    <row r="1298" spans="1:5" x14ac:dyDescent="0.25">
      <c r="A1298" t="s">
        <v>126</v>
      </c>
      <c r="B1298">
        <v>2016</v>
      </c>
      <c r="C1298" t="s">
        <v>205</v>
      </c>
      <c r="D1298" s="437" t="s">
        <v>596</v>
      </c>
      <c r="E1298" s="437">
        <v>26576</v>
      </c>
    </row>
    <row r="1299" spans="1:5" x14ac:dyDescent="0.25">
      <c r="A1299" t="s">
        <v>126</v>
      </c>
      <c r="B1299">
        <v>2016</v>
      </c>
      <c r="C1299" t="s">
        <v>205</v>
      </c>
      <c r="D1299" s="437" t="s">
        <v>413</v>
      </c>
      <c r="E1299" s="437">
        <v>0</v>
      </c>
    </row>
    <row r="1300" spans="1:5" x14ac:dyDescent="0.25">
      <c r="A1300" t="s">
        <v>127</v>
      </c>
      <c r="B1300">
        <v>2016</v>
      </c>
      <c r="C1300" t="s">
        <v>205</v>
      </c>
      <c r="D1300" s="437" t="s">
        <v>57</v>
      </c>
      <c r="E1300" s="437">
        <v>696</v>
      </c>
    </row>
    <row r="1301" spans="1:5" x14ac:dyDescent="0.25">
      <c r="A1301" t="s">
        <v>127</v>
      </c>
      <c r="B1301">
        <v>2016</v>
      </c>
      <c r="C1301" t="s">
        <v>205</v>
      </c>
      <c r="D1301" s="437" t="s">
        <v>348</v>
      </c>
      <c r="E1301" s="437">
        <v>924</v>
      </c>
    </row>
    <row r="1302" spans="1:5" x14ac:dyDescent="0.25">
      <c r="A1302" t="s">
        <v>127</v>
      </c>
      <c r="B1302">
        <v>2016</v>
      </c>
      <c r="C1302" t="s">
        <v>205</v>
      </c>
      <c r="D1302" s="437" t="s">
        <v>349</v>
      </c>
      <c r="E1302" s="437">
        <v>0</v>
      </c>
    </row>
    <row r="1303" spans="1:5" x14ac:dyDescent="0.25">
      <c r="A1303" t="s">
        <v>127</v>
      </c>
      <c r="B1303">
        <v>2016</v>
      </c>
      <c r="C1303" t="s">
        <v>205</v>
      </c>
      <c r="D1303" s="437" t="s">
        <v>595</v>
      </c>
      <c r="E1303" s="437">
        <v>455</v>
      </c>
    </row>
    <row r="1304" spans="1:5" x14ac:dyDescent="0.25">
      <c r="A1304" t="s">
        <v>127</v>
      </c>
      <c r="B1304">
        <v>2016</v>
      </c>
      <c r="C1304" t="s">
        <v>205</v>
      </c>
      <c r="D1304" s="437" t="s">
        <v>352</v>
      </c>
      <c r="E1304" s="437">
        <v>0</v>
      </c>
    </row>
    <row r="1305" spans="1:5" x14ac:dyDescent="0.25">
      <c r="A1305" t="s">
        <v>127</v>
      </c>
      <c r="B1305">
        <v>2016</v>
      </c>
      <c r="C1305" t="s">
        <v>205</v>
      </c>
      <c r="D1305" s="437" t="s">
        <v>43</v>
      </c>
      <c r="E1305" s="437">
        <v>3</v>
      </c>
    </row>
    <row r="1306" spans="1:5" x14ac:dyDescent="0.25">
      <c r="A1306" t="s">
        <v>127</v>
      </c>
      <c r="B1306">
        <v>2016</v>
      </c>
      <c r="C1306" t="s">
        <v>205</v>
      </c>
      <c r="D1306" s="437" t="s">
        <v>42</v>
      </c>
      <c r="E1306" s="437">
        <v>0</v>
      </c>
    </row>
    <row r="1307" spans="1:5" x14ac:dyDescent="0.25">
      <c r="A1307" t="s">
        <v>127</v>
      </c>
      <c r="B1307">
        <v>2016</v>
      </c>
      <c r="C1307" t="s">
        <v>205</v>
      </c>
      <c r="D1307" s="437" t="s">
        <v>44</v>
      </c>
      <c r="E1307" s="437">
        <v>271</v>
      </c>
    </row>
    <row r="1308" spans="1:5" x14ac:dyDescent="0.25">
      <c r="A1308" t="s">
        <v>127</v>
      </c>
      <c r="B1308">
        <v>2016</v>
      </c>
      <c r="C1308" t="s">
        <v>205</v>
      </c>
      <c r="D1308" s="437" t="s">
        <v>397</v>
      </c>
      <c r="E1308" s="437">
        <v>41</v>
      </c>
    </row>
    <row r="1309" spans="1:5" x14ac:dyDescent="0.25">
      <c r="A1309" t="s">
        <v>127</v>
      </c>
      <c r="B1309">
        <v>2016</v>
      </c>
      <c r="C1309" t="s">
        <v>205</v>
      </c>
      <c r="D1309" s="437" t="s">
        <v>133</v>
      </c>
      <c r="E1309" s="437">
        <v>1297</v>
      </c>
    </row>
    <row r="1310" spans="1:5" x14ac:dyDescent="0.25">
      <c r="A1310" t="s">
        <v>127</v>
      </c>
      <c r="B1310">
        <v>2016</v>
      </c>
      <c r="C1310" t="s">
        <v>205</v>
      </c>
      <c r="D1310" s="437" t="s">
        <v>597</v>
      </c>
      <c r="E1310" s="437">
        <v>929</v>
      </c>
    </row>
    <row r="1311" spans="1:5" x14ac:dyDescent="0.25">
      <c r="A1311" t="s">
        <v>127</v>
      </c>
      <c r="B1311">
        <v>2016</v>
      </c>
      <c r="C1311" t="s">
        <v>205</v>
      </c>
      <c r="D1311" s="437" t="s">
        <v>596</v>
      </c>
      <c r="E1311" s="437">
        <v>2144</v>
      </c>
    </row>
    <row r="1312" spans="1:5" x14ac:dyDescent="0.25">
      <c r="A1312" t="s">
        <v>127</v>
      </c>
      <c r="B1312">
        <v>2016</v>
      </c>
      <c r="C1312" t="s">
        <v>205</v>
      </c>
      <c r="D1312" s="437" t="s">
        <v>413</v>
      </c>
      <c r="E1312" s="437">
        <v>115</v>
      </c>
    </row>
    <row r="1313" spans="1:5" x14ac:dyDescent="0.25">
      <c r="A1313" t="s">
        <v>128</v>
      </c>
      <c r="B1313">
        <v>2016</v>
      </c>
      <c r="C1313" t="s">
        <v>205</v>
      </c>
      <c r="D1313" s="437" t="s">
        <v>57</v>
      </c>
      <c r="E1313" s="437">
        <v>1940</v>
      </c>
    </row>
    <row r="1314" spans="1:5" x14ac:dyDescent="0.25">
      <c r="A1314" t="s">
        <v>128</v>
      </c>
      <c r="B1314">
        <v>2016</v>
      </c>
      <c r="C1314" t="s">
        <v>205</v>
      </c>
      <c r="D1314" s="437" t="s">
        <v>348</v>
      </c>
      <c r="E1314" s="437">
        <v>458</v>
      </c>
    </row>
    <row r="1315" spans="1:5" x14ac:dyDescent="0.25">
      <c r="A1315" t="s">
        <v>128</v>
      </c>
      <c r="B1315">
        <v>2016</v>
      </c>
      <c r="C1315" t="s">
        <v>205</v>
      </c>
      <c r="D1315" s="437" t="s">
        <v>349</v>
      </c>
      <c r="E1315" s="437">
        <v>220</v>
      </c>
    </row>
    <row r="1316" spans="1:5" x14ac:dyDescent="0.25">
      <c r="A1316" t="s">
        <v>128</v>
      </c>
      <c r="B1316">
        <v>2016</v>
      </c>
      <c r="C1316" t="s">
        <v>205</v>
      </c>
      <c r="D1316" s="437" t="s">
        <v>595</v>
      </c>
      <c r="E1316" s="437">
        <v>1121</v>
      </c>
    </row>
    <row r="1317" spans="1:5" x14ac:dyDescent="0.25">
      <c r="A1317" t="s">
        <v>128</v>
      </c>
      <c r="B1317">
        <v>2016</v>
      </c>
      <c r="C1317" t="s">
        <v>205</v>
      </c>
      <c r="D1317" s="437" t="s">
        <v>352</v>
      </c>
      <c r="E1317" s="437">
        <v>677</v>
      </c>
    </row>
    <row r="1318" spans="1:5" x14ac:dyDescent="0.25">
      <c r="A1318" t="s">
        <v>128</v>
      </c>
      <c r="B1318">
        <v>2016</v>
      </c>
      <c r="C1318" t="s">
        <v>205</v>
      </c>
      <c r="D1318" s="437" t="s">
        <v>43</v>
      </c>
      <c r="E1318" s="437">
        <v>3</v>
      </c>
    </row>
    <row r="1319" spans="1:5" x14ac:dyDescent="0.25">
      <c r="A1319" t="s">
        <v>128</v>
      </c>
      <c r="B1319">
        <v>2016</v>
      </c>
      <c r="C1319" t="s">
        <v>205</v>
      </c>
      <c r="D1319" s="437" t="s">
        <v>42</v>
      </c>
      <c r="E1319" s="437">
        <v>0</v>
      </c>
    </row>
    <row r="1320" spans="1:5" x14ac:dyDescent="0.25">
      <c r="A1320" t="s">
        <v>128</v>
      </c>
      <c r="B1320">
        <v>2016</v>
      </c>
      <c r="C1320" t="s">
        <v>205</v>
      </c>
      <c r="D1320" s="437" t="s">
        <v>44</v>
      </c>
      <c r="E1320" s="437">
        <v>530</v>
      </c>
    </row>
    <row r="1321" spans="1:5" x14ac:dyDescent="0.25">
      <c r="A1321" t="s">
        <v>128</v>
      </c>
      <c r="B1321">
        <v>2016</v>
      </c>
      <c r="C1321" t="s">
        <v>205</v>
      </c>
      <c r="D1321" s="437" t="s">
        <v>397</v>
      </c>
      <c r="E1321" s="437">
        <v>329</v>
      </c>
    </row>
    <row r="1322" spans="1:5" x14ac:dyDescent="0.25">
      <c r="A1322" t="s">
        <v>128</v>
      </c>
      <c r="B1322">
        <v>2016</v>
      </c>
      <c r="C1322" t="s">
        <v>205</v>
      </c>
      <c r="D1322" s="437" t="s">
        <v>133</v>
      </c>
      <c r="E1322" s="437">
        <v>2537</v>
      </c>
    </row>
    <row r="1323" spans="1:5" x14ac:dyDescent="0.25">
      <c r="A1323" t="s">
        <v>128</v>
      </c>
      <c r="B1323">
        <v>2016</v>
      </c>
      <c r="C1323" t="s">
        <v>205</v>
      </c>
      <c r="D1323" s="437" t="s">
        <v>597</v>
      </c>
      <c r="E1323" s="437">
        <v>2285</v>
      </c>
    </row>
    <row r="1324" spans="1:5" x14ac:dyDescent="0.25">
      <c r="A1324" t="s">
        <v>128</v>
      </c>
      <c r="B1324">
        <v>2016</v>
      </c>
      <c r="C1324" t="s">
        <v>205</v>
      </c>
      <c r="D1324" s="437" t="s">
        <v>596</v>
      </c>
      <c r="E1324" s="437">
        <v>4360</v>
      </c>
    </row>
    <row r="1325" spans="1:5" x14ac:dyDescent="0.25">
      <c r="A1325" t="s">
        <v>128</v>
      </c>
      <c r="B1325">
        <v>2016</v>
      </c>
      <c r="C1325" t="s">
        <v>205</v>
      </c>
      <c r="D1325" s="437" t="s">
        <v>413</v>
      </c>
      <c r="E1325" s="437">
        <v>33</v>
      </c>
    </row>
    <row r="1326" spans="1:5" x14ac:dyDescent="0.25">
      <c r="A1326" t="s">
        <v>129</v>
      </c>
      <c r="B1326">
        <v>2016</v>
      </c>
      <c r="C1326" t="s">
        <v>205</v>
      </c>
      <c r="D1326" s="437" t="s">
        <v>57</v>
      </c>
      <c r="E1326" s="437">
        <v>0</v>
      </c>
    </row>
    <row r="1327" spans="1:5" x14ac:dyDescent="0.25">
      <c r="A1327" t="s">
        <v>129</v>
      </c>
      <c r="B1327">
        <v>2016</v>
      </c>
      <c r="C1327" t="s">
        <v>205</v>
      </c>
      <c r="D1327" s="437" t="s">
        <v>348</v>
      </c>
      <c r="E1327" s="437">
        <v>9755</v>
      </c>
    </row>
    <row r="1328" spans="1:5" x14ac:dyDescent="0.25">
      <c r="A1328" t="s">
        <v>129</v>
      </c>
      <c r="B1328">
        <v>2016</v>
      </c>
      <c r="C1328" t="s">
        <v>205</v>
      </c>
      <c r="D1328" s="437" t="s">
        <v>349</v>
      </c>
      <c r="E1328" s="437">
        <v>8229</v>
      </c>
    </row>
    <row r="1329" spans="1:5" x14ac:dyDescent="0.25">
      <c r="A1329" t="s">
        <v>129</v>
      </c>
      <c r="B1329">
        <v>2016</v>
      </c>
      <c r="C1329" t="s">
        <v>205</v>
      </c>
      <c r="D1329" s="437" t="s">
        <v>595</v>
      </c>
      <c r="E1329" s="437">
        <v>25569</v>
      </c>
    </row>
    <row r="1330" spans="1:5" x14ac:dyDescent="0.25">
      <c r="A1330" t="s">
        <v>129</v>
      </c>
      <c r="B1330">
        <v>2016</v>
      </c>
      <c r="C1330" t="s">
        <v>205</v>
      </c>
      <c r="D1330" s="437" t="s">
        <v>352</v>
      </c>
      <c r="E1330" s="437">
        <v>371</v>
      </c>
    </row>
    <row r="1331" spans="1:5" x14ac:dyDescent="0.25">
      <c r="A1331" t="s">
        <v>129</v>
      </c>
      <c r="B1331">
        <v>2016</v>
      </c>
      <c r="C1331" t="s">
        <v>205</v>
      </c>
      <c r="D1331" s="437" t="s">
        <v>43</v>
      </c>
      <c r="E1331" s="437">
        <v>5751</v>
      </c>
    </row>
    <row r="1332" spans="1:5" x14ac:dyDescent="0.25">
      <c r="A1332" t="s">
        <v>129</v>
      </c>
      <c r="B1332">
        <v>2016</v>
      </c>
      <c r="C1332" t="s">
        <v>205</v>
      </c>
      <c r="D1332" s="437" t="s">
        <v>42</v>
      </c>
      <c r="E1332" s="437">
        <v>0</v>
      </c>
    </row>
    <row r="1333" spans="1:5" x14ac:dyDescent="0.25">
      <c r="A1333" t="s">
        <v>129</v>
      </c>
      <c r="B1333">
        <v>2016</v>
      </c>
      <c r="C1333" t="s">
        <v>205</v>
      </c>
      <c r="D1333" s="437" t="s">
        <v>44</v>
      </c>
      <c r="E1333" s="437">
        <v>833</v>
      </c>
    </row>
    <row r="1334" spans="1:5" x14ac:dyDescent="0.25">
      <c r="A1334" t="s">
        <v>129</v>
      </c>
      <c r="B1334">
        <v>2016</v>
      </c>
      <c r="C1334" t="s">
        <v>205</v>
      </c>
      <c r="D1334" s="437" t="s">
        <v>397</v>
      </c>
      <c r="E1334" s="437">
        <v>489</v>
      </c>
    </row>
    <row r="1335" spans="1:5" x14ac:dyDescent="0.25">
      <c r="A1335" t="s">
        <v>129</v>
      </c>
      <c r="B1335">
        <v>2016</v>
      </c>
      <c r="C1335" t="s">
        <v>205</v>
      </c>
      <c r="D1335" s="437" t="s">
        <v>133</v>
      </c>
      <c r="E1335" s="437">
        <v>26682</v>
      </c>
    </row>
    <row r="1336" spans="1:5" x14ac:dyDescent="0.25">
      <c r="A1336" t="s">
        <v>129</v>
      </c>
      <c r="B1336">
        <v>2016</v>
      </c>
      <c r="C1336" t="s">
        <v>205</v>
      </c>
      <c r="D1336" s="437" t="s">
        <v>597</v>
      </c>
      <c r="E1336" s="437">
        <v>17796</v>
      </c>
    </row>
    <row r="1337" spans="1:5" x14ac:dyDescent="0.25">
      <c r="A1337" t="s">
        <v>129</v>
      </c>
      <c r="B1337">
        <v>2016</v>
      </c>
      <c r="C1337" t="s">
        <v>205</v>
      </c>
      <c r="D1337" s="437" t="s">
        <v>596</v>
      </c>
      <c r="E1337" s="437">
        <v>44341</v>
      </c>
    </row>
    <row r="1338" spans="1:5" x14ac:dyDescent="0.25">
      <c r="A1338" t="s">
        <v>129</v>
      </c>
      <c r="B1338">
        <v>2016</v>
      </c>
      <c r="C1338" t="s">
        <v>205</v>
      </c>
      <c r="D1338" s="437" t="s">
        <v>413</v>
      </c>
      <c r="E1338" s="437">
        <v>821</v>
      </c>
    </row>
    <row r="1339" spans="1:5" x14ac:dyDescent="0.25">
      <c r="A1339" t="s">
        <v>100</v>
      </c>
      <c r="B1339">
        <v>2016</v>
      </c>
      <c r="C1339" t="s">
        <v>205</v>
      </c>
      <c r="D1339" s="437" t="s">
        <v>57</v>
      </c>
      <c r="E1339" s="437">
        <v>0</v>
      </c>
    </row>
    <row r="1340" spans="1:5" x14ac:dyDescent="0.25">
      <c r="A1340" t="s">
        <v>100</v>
      </c>
      <c r="B1340">
        <v>2016</v>
      </c>
      <c r="C1340" t="s">
        <v>205</v>
      </c>
      <c r="D1340" s="437" t="s">
        <v>348</v>
      </c>
      <c r="E1340" s="437">
        <v>1876</v>
      </c>
    </row>
    <row r="1341" spans="1:5" x14ac:dyDescent="0.25">
      <c r="A1341" t="s">
        <v>100</v>
      </c>
      <c r="B1341">
        <v>2016</v>
      </c>
      <c r="C1341" t="s">
        <v>205</v>
      </c>
      <c r="D1341" s="437" t="s">
        <v>349</v>
      </c>
      <c r="E1341" s="437">
        <v>0</v>
      </c>
    </row>
    <row r="1342" spans="1:5" x14ac:dyDescent="0.25">
      <c r="A1342" t="s">
        <v>100</v>
      </c>
      <c r="B1342">
        <v>2016</v>
      </c>
      <c r="C1342" t="s">
        <v>205</v>
      </c>
      <c r="D1342" s="437" t="s">
        <v>595</v>
      </c>
      <c r="E1342" s="437">
        <v>0</v>
      </c>
    </row>
    <row r="1343" spans="1:5" x14ac:dyDescent="0.25">
      <c r="A1343" t="s">
        <v>100</v>
      </c>
      <c r="B1343">
        <v>2016</v>
      </c>
      <c r="C1343" t="s">
        <v>205</v>
      </c>
      <c r="D1343" s="437" t="s">
        <v>352</v>
      </c>
      <c r="E1343" s="437">
        <v>0</v>
      </c>
    </row>
    <row r="1344" spans="1:5" x14ac:dyDescent="0.25">
      <c r="A1344" t="s">
        <v>100</v>
      </c>
      <c r="B1344">
        <v>2016</v>
      </c>
      <c r="C1344" t="s">
        <v>205</v>
      </c>
      <c r="D1344" s="437" t="s">
        <v>43</v>
      </c>
      <c r="E1344" s="437">
        <v>0</v>
      </c>
    </row>
    <row r="1345" spans="1:5" x14ac:dyDescent="0.25">
      <c r="A1345" t="s">
        <v>100</v>
      </c>
      <c r="B1345">
        <v>2016</v>
      </c>
      <c r="C1345" t="s">
        <v>205</v>
      </c>
      <c r="D1345" s="437" t="s">
        <v>42</v>
      </c>
      <c r="E1345" s="437">
        <v>0</v>
      </c>
    </row>
    <row r="1346" spans="1:5" x14ac:dyDescent="0.25">
      <c r="A1346" t="s">
        <v>100</v>
      </c>
      <c r="B1346">
        <v>2016</v>
      </c>
      <c r="C1346" t="s">
        <v>205</v>
      </c>
      <c r="D1346" s="437" t="s">
        <v>44</v>
      </c>
      <c r="E1346" s="437">
        <v>0</v>
      </c>
    </row>
    <row r="1347" spans="1:5" x14ac:dyDescent="0.25">
      <c r="A1347" t="s">
        <v>100</v>
      </c>
      <c r="B1347">
        <v>2016</v>
      </c>
      <c r="C1347" t="s">
        <v>205</v>
      </c>
      <c r="D1347" s="437" t="s">
        <v>397</v>
      </c>
      <c r="E1347" s="437">
        <v>0</v>
      </c>
    </row>
    <row r="1348" spans="1:5" x14ac:dyDescent="0.25">
      <c r="A1348" t="s">
        <v>100</v>
      </c>
      <c r="B1348">
        <v>2016</v>
      </c>
      <c r="C1348" t="s">
        <v>205</v>
      </c>
      <c r="D1348" s="437" t="s">
        <v>133</v>
      </c>
      <c r="E1348" s="437">
        <v>2096</v>
      </c>
    </row>
    <row r="1349" spans="1:5" x14ac:dyDescent="0.25">
      <c r="A1349" t="s">
        <v>100</v>
      </c>
      <c r="B1349">
        <v>2016</v>
      </c>
      <c r="C1349" t="s">
        <v>205</v>
      </c>
      <c r="D1349" s="437" t="s">
        <v>597</v>
      </c>
      <c r="E1349" s="437">
        <v>868</v>
      </c>
    </row>
    <row r="1350" spans="1:5" x14ac:dyDescent="0.25">
      <c r="A1350" t="s">
        <v>100</v>
      </c>
      <c r="B1350">
        <v>2016</v>
      </c>
      <c r="C1350" t="s">
        <v>205</v>
      </c>
      <c r="D1350" s="437" t="s">
        <v>596</v>
      </c>
      <c r="E1350" s="437">
        <v>2142</v>
      </c>
    </row>
    <row r="1351" spans="1:5" x14ac:dyDescent="0.25">
      <c r="A1351" t="s">
        <v>100</v>
      </c>
      <c r="B1351">
        <v>2016</v>
      </c>
      <c r="C1351" t="s">
        <v>205</v>
      </c>
      <c r="D1351" s="437" t="s">
        <v>413</v>
      </c>
      <c r="E1351" s="437">
        <v>0</v>
      </c>
    </row>
    <row r="1352" spans="1:5" x14ac:dyDescent="0.25">
      <c r="A1352" t="s">
        <v>118</v>
      </c>
      <c r="B1352">
        <v>2016</v>
      </c>
      <c r="C1352" t="s">
        <v>205</v>
      </c>
      <c r="D1352" s="437" t="s">
        <v>57</v>
      </c>
      <c r="E1352" s="437">
        <v>0</v>
      </c>
    </row>
    <row r="1353" spans="1:5" x14ac:dyDescent="0.25">
      <c r="A1353" t="s">
        <v>118</v>
      </c>
      <c r="B1353">
        <v>2016</v>
      </c>
      <c r="C1353" t="s">
        <v>205</v>
      </c>
      <c r="D1353" s="437" t="s">
        <v>348</v>
      </c>
      <c r="E1353" s="437">
        <v>220</v>
      </c>
    </row>
    <row r="1354" spans="1:5" x14ac:dyDescent="0.25">
      <c r="A1354" t="s">
        <v>118</v>
      </c>
      <c r="B1354">
        <v>2016</v>
      </c>
      <c r="C1354" t="s">
        <v>205</v>
      </c>
      <c r="D1354" s="437" t="s">
        <v>349</v>
      </c>
      <c r="E1354" s="437">
        <v>0</v>
      </c>
    </row>
    <row r="1355" spans="1:5" x14ac:dyDescent="0.25">
      <c r="A1355" t="s">
        <v>118</v>
      </c>
      <c r="B1355">
        <v>2016</v>
      </c>
      <c r="C1355" t="s">
        <v>205</v>
      </c>
      <c r="D1355" s="437" t="s">
        <v>595</v>
      </c>
      <c r="E1355" s="437">
        <v>0</v>
      </c>
    </row>
    <row r="1356" spans="1:5" x14ac:dyDescent="0.25">
      <c r="A1356" t="s">
        <v>118</v>
      </c>
      <c r="B1356">
        <v>2016</v>
      </c>
      <c r="C1356" t="s">
        <v>205</v>
      </c>
      <c r="D1356" s="437" t="s">
        <v>352</v>
      </c>
      <c r="E1356" s="437">
        <v>0</v>
      </c>
    </row>
    <row r="1357" spans="1:5" x14ac:dyDescent="0.25">
      <c r="A1357" t="s">
        <v>118</v>
      </c>
      <c r="B1357">
        <v>2016</v>
      </c>
      <c r="C1357" t="s">
        <v>205</v>
      </c>
      <c r="D1357" s="437" t="s">
        <v>43</v>
      </c>
      <c r="E1357" s="437">
        <v>0</v>
      </c>
    </row>
    <row r="1358" spans="1:5" x14ac:dyDescent="0.25">
      <c r="A1358" t="s">
        <v>118</v>
      </c>
      <c r="B1358">
        <v>2016</v>
      </c>
      <c r="C1358" t="s">
        <v>205</v>
      </c>
      <c r="D1358" s="437" t="s">
        <v>42</v>
      </c>
      <c r="E1358" s="437">
        <v>0</v>
      </c>
    </row>
    <row r="1359" spans="1:5" x14ac:dyDescent="0.25">
      <c r="A1359" t="s">
        <v>118</v>
      </c>
      <c r="B1359">
        <v>2016</v>
      </c>
      <c r="C1359" t="s">
        <v>205</v>
      </c>
      <c r="D1359" s="437" t="s">
        <v>44</v>
      </c>
      <c r="E1359" s="437">
        <v>0</v>
      </c>
    </row>
    <row r="1360" spans="1:5" x14ac:dyDescent="0.25">
      <c r="A1360" t="s">
        <v>118</v>
      </c>
      <c r="B1360">
        <v>2016</v>
      </c>
      <c r="C1360" t="s">
        <v>205</v>
      </c>
      <c r="D1360" s="437" t="s">
        <v>397</v>
      </c>
      <c r="E1360" s="437">
        <v>0</v>
      </c>
    </row>
    <row r="1361" spans="1:5" x14ac:dyDescent="0.25">
      <c r="A1361" t="s">
        <v>118</v>
      </c>
      <c r="B1361">
        <v>2016</v>
      </c>
      <c r="C1361" t="s">
        <v>205</v>
      </c>
      <c r="D1361" s="437" t="s">
        <v>133</v>
      </c>
      <c r="E1361" s="437">
        <v>660</v>
      </c>
    </row>
    <row r="1362" spans="1:5" x14ac:dyDescent="0.25">
      <c r="A1362" t="s">
        <v>118</v>
      </c>
      <c r="B1362">
        <v>2016</v>
      </c>
      <c r="C1362" t="s">
        <v>205</v>
      </c>
      <c r="D1362" s="437" t="s">
        <v>597</v>
      </c>
      <c r="E1362" s="437">
        <v>174</v>
      </c>
    </row>
    <row r="1363" spans="1:5" x14ac:dyDescent="0.25">
      <c r="A1363" t="s">
        <v>118</v>
      </c>
      <c r="B1363">
        <v>2016</v>
      </c>
      <c r="C1363" t="s">
        <v>205</v>
      </c>
      <c r="D1363" s="437" t="s">
        <v>596</v>
      </c>
      <c r="E1363" s="437">
        <v>576</v>
      </c>
    </row>
    <row r="1364" spans="1:5" x14ac:dyDescent="0.25">
      <c r="A1364" t="s">
        <v>118</v>
      </c>
      <c r="B1364">
        <v>2016</v>
      </c>
      <c r="C1364" t="s">
        <v>205</v>
      </c>
      <c r="D1364" s="437" t="s">
        <v>413</v>
      </c>
      <c r="E1364" s="437">
        <v>0</v>
      </c>
    </row>
    <row r="1365" spans="1:5" x14ac:dyDescent="0.25">
      <c r="A1365" t="s">
        <v>119</v>
      </c>
      <c r="B1365">
        <v>2016</v>
      </c>
      <c r="C1365" t="s">
        <v>205</v>
      </c>
      <c r="D1365" s="437" t="s">
        <v>57</v>
      </c>
      <c r="E1365" s="437">
        <v>0</v>
      </c>
    </row>
    <row r="1366" spans="1:5" x14ac:dyDescent="0.25">
      <c r="A1366" t="s">
        <v>119</v>
      </c>
      <c r="B1366">
        <v>2016</v>
      </c>
      <c r="C1366" t="s">
        <v>205</v>
      </c>
      <c r="D1366" s="437" t="s">
        <v>348</v>
      </c>
      <c r="E1366" s="437">
        <v>718</v>
      </c>
    </row>
    <row r="1367" spans="1:5" x14ac:dyDescent="0.25">
      <c r="A1367" t="s">
        <v>119</v>
      </c>
      <c r="B1367">
        <v>2016</v>
      </c>
      <c r="C1367" t="s">
        <v>205</v>
      </c>
      <c r="D1367" s="437" t="s">
        <v>349</v>
      </c>
      <c r="E1367" s="437">
        <v>0</v>
      </c>
    </row>
    <row r="1368" spans="1:5" x14ac:dyDescent="0.25">
      <c r="A1368" t="s">
        <v>119</v>
      </c>
      <c r="B1368">
        <v>2016</v>
      </c>
      <c r="C1368" t="s">
        <v>205</v>
      </c>
      <c r="D1368" s="437" t="s">
        <v>595</v>
      </c>
      <c r="E1368" s="437">
        <v>250</v>
      </c>
    </row>
    <row r="1369" spans="1:5" x14ac:dyDescent="0.25">
      <c r="A1369" t="s">
        <v>119</v>
      </c>
      <c r="B1369">
        <v>2016</v>
      </c>
      <c r="C1369" t="s">
        <v>205</v>
      </c>
      <c r="D1369" s="437" t="s">
        <v>352</v>
      </c>
      <c r="E1369" s="437">
        <v>189</v>
      </c>
    </row>
    <row r="1370" spans="1:5" x14ac:dyDescent="0.25">
      <c r="A1370" t="s">
        <v>119</v>
      </c>
      <c r="B1370">
        <v>2016</v>
      </c>
      <c r="C1370" t="s">
        <v>205</v>
      </c>
      <c r="D1370" s="437" t="s">
        <v>43</v>
      </c>
      <c r="E1370" s="437">
        <v>36</v>
      </c>
    </row>
    <row r="1371" spans="1:5" x14ac:dyDescent="0.25">
      <c r="A1371" t="s">
        <v>119</v>
      </c>
      <c r="B1371">
        <v>2016</v>
      </c>
      <c r="C1371" t="s">
        <v>205</v>
      </c>
      <c r="D1371" s="437" t="s">
        <v>42</v>
      </c>
      <c r="E1371" s="437">
        <v>0</v>
      </c>
    </row>
    <row r="1372" spans="1:5" x14ac:dyDescent="0.25">
      <c r="A1372" t="s">
        <v>119</v>
      </c>
      <c r="B1372">
        <v>2016</v>
      </c>
      <c r="C1372" t="s">
        <v>205</v>
      </c>
      <c r="D1372" s="437" t="s">
        <v>44</v>
      </c>
      <c r="E1372" s="437">
        <v>17</v>
      </c>
    </row>
    <row r="1373" spans="1:5" x14ac:dyDescent="0.25">
      <c r="A1373" t="s">
        <v>119</v>
      </c>
      <c r="B1373">
        <v>2016</v>
      </c>
      <c r="C1373" t="s">
        <v>205</v>
      </c>
      <c r="D1373" s="437" t="s">
        <v>397</v>
      </c>
      <c r="E1373" s="437">
        <v>4</v>
      </c>
    </row>
    <row r="1374" spans="1:5" x14ac:dyDescent="0.25">
      <c r="A1374" t="s">
        <v>119</v>
      </c>
      <c r="B1374">
        <v>2016</v>
      </c>
      <c r="C1374" t="s">
        <v>205</v>
      </c>
      <c r="D1374" s="437" t="s">
        <v>133</v>
      </c>
      <c r="E1374" s="437">
        <v>676</v>
      </c>
    </row>
    <row r="1375" spans="1:5" x14ac:dyDescent="0.25">
      <c r="A1375" t="s">
        <v>119</v>
      </c>
      <c r="B1375">
        <v>2016</v>
      </c>
      <c r="C1375" t="s">
        <v>205</v>
      </c>
      <c r="D1375" s="437" t="s">
        <v>597</v>
      </c>
      <c r="E1375" s="437">
        <v>487</v>
      </c>
    </row>
    <row r="1376" spans="1:5" x14ac:dyDescent="0.25">
      <c r="A1376" t="s">
        <v>119</v>
      </c>
      <c r="B1376">
        <v>2016</v>
      </c>
      <c r="C1376" t="s">
        <v>205</v>
      </c>
      <c r="D1376" s="437" t="s">
        <v>596</v>
      </c>
      <c r="E1376" s="437">
        <v>1457</v>
      </c>
    </row>
    <row r="1377" spans="1:5" x14ac:dyDescent="0.25">
      <c r="A1377" t="s">
        <v>119</v>
      </c>
      <c r="B1377">
        <v>2016</v>
      </c>
      <c r="C1377" t="s">
        <v>205</v>
      </c>
      <c r="D1377" s="437" t="s">
        <v>413</v>
      </c>
      <c r="E1377" s="437">
        <v>0</v>
      </c>
    </row>
    <row r="1378" spans="1:5" x14ac:dyDescent="0.25">
      <c r="A1378" t="s">
        <v>125</v>
      </c>
      <c r="B1378">
        <v>2016</v>
      </c>
      <c r="C1378" t="s">
        <v>205</v>
      </c>
      <c r="D1378" s="437" t="s">
        <v>57</v>
      </c>
      <c r="E1378" s="437">
        <v>0</v>
      </c>
    </row>
    <row r="1379" spans="1:5" x14ac:dyDescent="0.25">
      <c r="A1379" t="s">
        <v>125</v>
      </c>
      <c r="B1379">
        <v>2016</v>
      </c>
      <c r="C1379" t="s">
        <v>205</v>
      </c>
      <c r="D1379" s="437" t="s">
        <v>348</v>
      </c>
      <c r="E1379" s="437">
        <v>5283</v>
      </c>
    </row>
    <row r="1380" spans="1:5" x14ac:dyDescent="0.25">
      <c r="A1380" t="s">
        <v>125</v>
      </c>
      <c r="B1380">
        <v>2016</v>
      </c>
      <c r="C1380" t="s">
        <v>205</v>
      </c>
      <c r="D1380" s="437" t="s">
        <v>349</v>
      </c>
      <c r="E1380" s="437">
        <v>0</v>
      </c>
    </row>
    <row r="1381" spans="1:5" x14ac:dyDescent="0.25">
      <c r="A1381" t="s">
        <v>125</v>
      </c>
      <c r="B1381">
        <v>2016</v>
      </c>
      <c r="C1381" t="s">
        <v>205</v>
      </c>
      <c r="D1381" s="437" t="s">
        <v>595</v>
      </c>
      <c r="E1381" s="437">
        <v>311</v>
      </c>
    </row>
    <row r="1382" spans="1:5" x14ac:dyDescent="0.25">
      <c r="A1382" t="s">
        <v>125</v>
      </c>
      <c r="B1382">
        <v>2016</v>
      </c>
      <c r="C1382" t="s">
        <v>205</v>
      </c>
      <c r="D1382" s="437" t="s">
        <v>352</v>
      </c>
      <c r="E1382" s="437">
        <v>0</v>
      </c>
    </row>
    <row r="1383" spans="1:5" x14ac:dyDescent="0.25">
      <c r="A1383" t="s">
        <v>125</v>
      </c>
      <c r="B1383">
        <v>2016</v>
      </c>
      <c r="C1383" t="s">
        <v>205</v>
      </c>
      <c r="D1383" s="437" t="s">
        <v>43</v>
      </c>
      <c r="E1383" s="437">
        <v>0</v>
      </c>
    </row>
    <row r="1384" spans="1:5" x14ac:dyDescent="0.25">
      <c r="A1384" t="s">
        <v>125</v>
      </c>
      <c r="B1384">
        <v>2016</v>
      </c>
      <c r="C1384" t="s">
        <v>205</v>
      </c>
      <c r="D1384" s="437" t="s">
        <v>42</v>
      </c>
      <c r="E1384" s="437">
        <v>0</v>
      </c>
    </row>
    <row r="1385" spans="1:5" x14ac:dyDescent="0.25">
      <c r="A1385" t="s">
        <v>125</v>
      </c>
      <c r="B1385">
        <v>2016</v>
      </c>
      <c r="C1385" t="s">
        <v>205</v>
      </c>
      <c r="D1385" s="437" t="s">
        <v>44</v>
      </c>
      <c r="E1385" s="437">
        <v>0</v>
      </c>
    </row>
    <row r="1386" spans="1:5" x14ac:dyDescent="0.25">
      <c r="A1386" t="s">
        <v>125</v>
      </c>
      <c r="B1386">
        <v>2016</v>
      </c>
      <c r="C1386" t="s">
        <v>205</v>
      </c>
      <c r="D1386" s="437" t="s">
        <v>397</v>
      </c>
      <c r="E1386" s="437">
        <v>0</v>
      </c>
    </row>
    <row r="1387" spans="1:5" x14ac:dyDescent="0.25">
      <c r="A1387" t="s">
        <v>125</v>
      </c>
      <c r="B1387">
        <v>2016</v>
      </c>
      <c r="C1387" t="s">
        <v>205</v>
      </c>
      <c r="D1387" s="437" t="s">
        <v>133</v>
      </c>
      <c r="E1387" s="437">
        <v>3015</v>
      </c>
    </row>
    <row r="1388" spans="1:5" x14ac:dyDescent="0.25">
      <c r="A1388" t="s">
        <v>125</v>
      </c>
      <c r="B1388">
        <v>2016</v>
      </c>
      <c r="C1388" t="s">
        <v>205</v>
      </c>
      <c r="D1388" s="437" t="s">
        <v>597</v>
      </c>
      <c r="E1388" s="437">
        <v>2414</v>
      </c>
    </row>
    <row r="1389" spans="1:5" x14ac:dyDescent="0.25">
      <c r="A1389" t="s">
        <v>125</v>
      </c>
      <c r="B1389">
        <v>2016</v>
      </c>
      <c r="C1389" t="s">
        <v>205</v>
      </c>
      <c r="D1389" s="437" t="s">
        <v>596</v>
      </c>
      <c r="E1389" s="437">
        <v>6958</v>
      </c>
    </row>
    <row r="1390" spans="1:5" x14ac:dyDescent="0.25">
      <c r="A1390" t="s">
        <v>125</v>
      </c>
      <c r="B1390">
        <v>2016</v>
      </c>
      <c r="C1390" t="s">
        <v>205</v>
      </c>
      <c r="D1390" s="437" t="s">
        <v>413</v>
      </c>
      <c r="E1390" s="437">
        <v>0</v>
      </c>
    </row>
    <row r="1391" spans="1:5" x14ac:dyDescent="0.25">
      <c r="A1391" t="s">
        <v>643</v>
      </c>
      <c r="B1391">
        <v>2016</v>
      </c>
      <c r="C1391" t="s">
        <v>205</v>
      </c>
      <c r="D1391" s="437" t="s">
        <v>57</v>
      </c>
      <c r="E1391" s="437">
        <v>124830</v>
      </c>
    </row>
    <row r="1392" spans="1:5" x14ac:dyDescent="0.25">
      <c r="A1392" t="s">
        <v>643</v>
      </c>
      <c r="B1392">
        <v>2016</v>
      </c>
      <c r="C1392" t="s">
        <v>205</v>
      </c>
      <c r="D1392" s="437" t="s">
        <v>348</v>
      </c>
      <c r="E1392" s="437">
        <v>70809</v>
      </c>
    </row>
    <row r="1393" spans="1:5" x14ac:dyDescent="0.25">
      <c r="A1393" t="s">
        <v>643</v>
      </c>
      <c r="B1393">
        <v>2016</v>
      </c>
      <c r="C1393" t="s">
        <v>205</v>
      </c>
      <c r="D1393" s="437" t="s">
        <v>349</v>
      </c>
      <c r="E1393" s="437">
        <v>106617</v>
      </c>
    </row>
    <row r="1394" spans="1:5" x14ac:dyDescent="0.25">
      <c r="A1394" t="s">
        <v>643</v>
      </c>
      <c r="B1394">
        <v>2016</v>
      </c>
      <c r="C1394" t="s">
        <v>205</v>
      </c>
      <c r="D1394" s="437" t="s">
        <v>595</v>
      </c>
      <c r="E1394" s="437">
        <v>234472</v>
      </c>
    </row>
    <row r="1395" spans="1:5" x14ac:dyDescent="0.25">
      <c r="A1395" t="s">
        <v>643</v>
      </c>
      <c r="B1395">
        <v>2016</v>
      </c>
      <c r="C1395" t="s">
        <v>205</v>
      </c>
      <c r="D1395" s="437" t="s">
        <v>352</v>
      </c>
      <c r="E1395" s="437">
        <v>63867</v>
      </c>
    </row>
    <row r="1396" spans="1:5" x14ac:dyDescent="0.25">
      <c r="A1396" t="s">
        <v>643</v>
      </c>
      <c r="B1396">
        <v>2016</v>
      </c>
      <c r="C1396" t="s">
        <v>205</v>
      </c>
      <c r="D1396" s="437" t="s">
        <v>43</v>
      </c>
      <c r="E1396" s="437">
        <v>146384</v>
      </c>
    </row>
    <row r="1397" spans="1:5" x14ac:dyDescent="0.25">
      <c r="A1397" t="s">
        <v>643</v>
      </c>
      <c r="B1397">
        <v>2016</v>
      </c>
      <c r="C1397" t="s">
        <v>205</v>
      </c>
      <c r="D1397" s="437" t="s">
        <v>42</v>
      </c>
      <c r="E1397" s="437">
        <v>11743</v>
      </c>
    </row>
    <row r="1398" spans="1:5" x14ac:dyDescent="0.25">
      <c r="A1398" t="s">
        <v>643</v>
      </c>
      <c r="B1398">
        <v>2016</v>
      </c>
      <c r="C1398" t="s">
        <v>205</v>
      </c>
      <c r="D1398" s="437" t="s">
        <v>44</v>
      </c>
      <c r="E1398" s="437">
        <v>99338</v>
      </c>
    </row>
    <row r="1399" spans="1:5" x14ac:dyDescent="0.25">
      <c r="A1399" t="s">
        <v>643</v>
      </c>
      <c r="B1399">
        <v>2016</v>
      </c>
      <c r="C1399" t="s">
        <v>205</v>
      </c>
      <c r="D1399" s="437" t="s">
        <v>397</v>
      </c>
      <c r="E1399" s="437">
        <v>26156</v>
      </c>
    </row>
    <row r="1400" spans="1:5" x14ac:dyDescent="0.25">
      <c r="A1400" t="s">
        <v>643</v>
      </c>
      <c r="B1400">
        <v>2016</v>
      </c>
      <c r="C1400" t="s">
        <v>205</v>
      </c>
      <c r="D1400" s="437" t="s">
        <v>133</v>
      </c>
      <c r="E1400" s="437">
        <v>234196</v>
      </c>
    </row>
    <row r="1401" spans="1:5" x14ac:dyDescent="0.25">
      <c r="A1401" t="s">
        <v>643</v>
      </c>
      <c r="B1401">
        <v>2016</v>
      </c>
      <c r="C1401" t="s">
        <v>205</v>
      </c>
      <c r="D1401" s="437" t="s">
        <v>597</v>
      </c>
      <c r="E1401" s="437">
        <v>264721</v>
      </c>
    </row>
    <row r="1402" spans="1:5" x14ac:dyDescent="0.25">
      <c r="A1402" t="s">
        <v>643</v>
      </c>
      <c r="B1402">
        <v>2016</v>
      </c>
      <c r="C1402" t="s">
        <v>205</v>
      </c>
      <c r="D1402" s="437" t="s">
        <v>596</v>
      </c>
      <c r="E1402" s="437">
        <v>586133</v>
      </c>
    </row>
    <row r="1403" spans="1:5" x14ac:dyDescent="0.25">
      <c r="A1403" t="s">
        <v>643</v>
      </c>
      <c r="B1403">
        <v>2016</v>
      </c>
      <c r="C1403" t="s">
        <v>205</v>
      </c>
      <c r="D1403" s="437" t="s">
        <v>413</v>
      </c>
      <c r="E1403" s="437">
        <v>18381</v>
      </c>
    </row>
    <row r="1404" spans="1:5" x14ac:dyDescent="0.25">
      <c r="A1404" t="s">
        <v>264</v>
      </c>
      <c r="B1404">
        <v>2016</v>
      </c>
      <c r="C1404" t="s">
        <v>205</v>
      </c>
      <c r="D1404" s="437" t="s">
        <v>57</v>
      </c>
      <c r="E1404" s="437">
        <v>121497</v>
      </c>
    </row>
    <row r="1405" spans="1:5" x14ac:dyDescent="0.25">
      <c r="A1405" t="s">
        <v>264</v>
      </c>
      <c r="B1405">
        <v>2016</v>
      </c>
      <c r="C1405" t="s">
        <v>205</v>
      </c>
      <c r="D1405" s="437" t="s">
        <v>348</v>
      </c>
      <c r="E1405" s="437">
        <v>52958</v>
      </c>
    </row>
    <row r="1406" spans="1:5" x14ac:dyDescent="0.25">
      <c r="A1406" t="s">
        <v>264</v>
      </c>
      <c r="B1406">
        <v>2016</v>
      </c>
      <c r="C1406" t="s">
        <v>205</v>
      </c>
      <c r="D1406" s="437" t="s">
        <v>349</v>
      </c>
      <c r="E1406" s="437">
        <v>98389</v>
      </c>
    </row>
    <row r="1407" spans="1:5" x14ac:dyDescent="0.25">
      <c r="A1407" t="s">
        <v>264</v>
      </c>
      <c r="B1407">
        <v>2016</v>
      </c>
      <c r="C1407" t="s">
        <v>205</v>
      </c>
      <c r="D1407" s="437" t="s">
        <v>595</v>
      </c>
      <c r="E1407" s="437">
        <v>207897</v>
      </c>
    </row>
    <row r="1408" spans="1:5" x14ac:dyDescent="0.25">
      <c r="A1408" t="s">
        <v>264</v>
      </c>
      <c r="B1408">
        <v>2016</v>
      </c>
      <c r="C1408" t="s">
        <v>205</v>
      </c>
      <c r="D1408" s="437" t="s">
        <v>352</v>
      </c>
      <c r="E1408" s="437">
        <v>62796</v>
      </c>
    </row>
    <row r="1409" spans="1:5" x14ac:dyDescent="0.25">
      <c r="A1409" t="s">
        <v>264</v>
      </c>
      <c r="B1409">
        <v>2016</v>
      </c>
      <c r="C1409" t="s">
        <v>205</v>
      </c>
      <c r="D1409" s="437" t="s">
        <v>43</v>
      </c>
      <c r="E1409" s="437">
        <v>139666</v>
      </c>
    </row>
    <row r="1410" spans="1:5" x14ac:dyDescent="0.25">
      <c r="A1410" t="s">
        <v>264</v>
      </c>
      <c r="B1410">
        <v>2016</v>
      </c>
      <c r="C1410" t="s">
        <v>205</v>
      </c>
      <c r="D1410" s="437" t="s">
        <v>42</v>
      </c>
      <c r="E1410" s="437">
        <v>11743</v>
      </c>
    </row>
    <row r="1411" spans="1:5" x14ac:dyDescent="0.25">
      <c r="A1411" t="s">
        <v>264</v>
      </c>
      <c r="B1411">
        <v>2016</v>
      </c>
      <c r="C1411" t="s">
        <v>205</v>
      </c>
      <c r="D1411" s="437" t="s">
        <v>44</v>
      </c>
      <c r="E1411" s="437">
        <v>97428</v>
      </c>
    </row>
    <row r="1412" spans="1:5" x14ac:dyDescent="0.25">
      <c r="A1412" t="s">
        <v>264</v>
      </c>
      <c r="B1412">
        <v>2016</v>
      </c>
      <c r="C1412" t="s">
        <v>205</v>
      </c>
      <c r="D1412" s="437" t="s">
        <v>397</v>
      </c>
      <c r="E1412" s="437">
        <v>25414</v>
      </c>
    </row>
    <row r="1413" spans="1:5" x14ac:dyDescent="0.25">
      <c r="A1413" t="s">
        <v>264</v>
      </c>
      <c r="B1413">
        <v>2016</v>
      </c>
      <c r="C1413" t="s">
        <v>205</v>
      </c>
      <c r="D1413" s="437" t="s">
        <v>133</v>
      </c>
      <c r="E1413" s="437">
        <v>154583</v>
      </c>
    </row>
    <row r="1414" spans="1:5" x14ac:dyDescent="0.25">
      <c r="A1414" t="s">
        <v>264</v>
      </c>
      <c r="B1414">
        <v>2016</v>
      </c>
      <c r="C1414" t="s">
        <v>205</v>
      </c>
      <c r="D1414" s="437" t="s">
        <v>597</v>
      </c>
      <c r="E1414" s="437">
        <v>0</v>
      </c>
    </row>
    <row r="1415" spans="1:5" x14ac:dyDescent="0.25">
      <c r="A1415" t="s">
        <v>264</v>
      </c>
      <c r="B1415">
        <v>2016</v>
      </c>
      <c r="C1415" t="s">
        <v>205</v>
      </c>
      <c r="D1415" s="437" t="s">
        <v>596</v>
      </c>
      <c r="E1415" s="437">
        <v>0</v>
      </c>
    </row>
    <row r="1416" spans="1:5" x14ac:dyDescent="0.25">
      <c r="A1416" t="s">
        <v>264</v>
      </c>
      <c r="B1416">
        <v>2016</v>
      </c>
      <c r="C1416" t="s">
        <v>205</v>
      </c>
      <c r="D1416" s="437" t="s">
        <v>413</v>
      </c>
      <c r="E1416" s="437">
        <v>16655</v>
      </c>
    </row>
    <row r="1417" spans="1:5" x14ac:dyDescent="0.25">
      <c r="A1417" t="s">
        <v>99</v>
      </c>
      <c r="B1417">
        <v>2017</v>
      </c>
      <c r="C1417" t="s">
        <v>205</v>
      </c>
      <c r="D1417" s="437" t="s">
        <v>57</v>
      </c>
      <c r="E1417" s="437">
        <v>0</v>
      </c>
    </row>
    <row r="1418" spans="1:5" x14ac:dyDescent="0.25">
      <c r="A1418" t="s">
        <v>99</v>
      </c>
      <c r="B1418">
        <v>2017</v>
      </c>
      <c r="C1418" t="s">
        <v>205</v>
      </c>
      <c r="D1418" s="437" t="s">
        <v>348</v>
      </c>
      <c r="E1418" s="437">
        <v>0</v>
      </c>
    </row>
    <row r="1419" spans="1:5" x14ac:dyDescent="0.25">
      <c r="A1419" t="s">
        <v>99</v>
      </c>
      <c r="B1419">
        <v>2017</v>
      </c>
      <c r="C1419" t="s">
        <v>205</v>
      </c>
      <c r="D1419" s="437" t="s">
        <v>349</v>
      </c>
      <c r="E1419" s="437">
        <v>598</v>
      </c>
    </row>
    <row r="1420" spans="1:5" x14ac:dyDescent="0.25">
      <c r="A1420" t="s">
        <v>99</v>
      </c>
      <c r="B1420">
        <v>2017</v>
      </c>
      <c r="C1420" t="s">
        <v>205</v>
      </c>
      <c r="D1420" s="437" t="s">
        <v>595</v>
      </c>
      <c r="E1420" s="437">
        <v>4841</v>
      </c>
    </row>
    <row r="1421" spans="1:5" x14ac:dyDescent="0.25">
      <c r="A1421" t="s">
        <v>99</v>
      </c>
      <c r="B1421">
        <v>2017</v>
      </c>
      <c r="C1421" t="s">
        <v>205</v>
      </c>
      <c r="D1421" s="437" t="s">
        <v>352</v>
      </c>
      <c r="E1421" s="437">
        <v>1016</v>
      </c>
    </row>
    <row r="1422" spans="1:5" x14ac:dyDescent="0.25">
      <c r="A1422" t="s">
        <v>99</v>
      </c>
      <c r="B1422">
        <v>2017</v>
      </c>
      <c r="C1422" t="s">
        <v>205</v>
      </c>
      <c r="D1422" s="437" t="s">
        <v>43</v>
      </c>
      <c r="E1422" s="437">
        <v>2730</v>
      </c>
    </row>
    <row r="1423" spans="1:5" x14ac:dyDescent="0.25">
      <c r="A1423" t="s">
        <v>99</v>
      </c>
      <c r="B1423">
        <v>2017</v>
      </c>
      <c r="C1423" t="s">
        <v>205</v>
      </c>
      <c r="D1423" s="437" t="s">
        <v>42</v>
      </c>
      <c r="E1423" s="437">
        <v>0</v>
      </c>
    </row>
    <row r="1424" spans="1:5" x14ac:dyDescent="0.25">
      <c r="A1424" t="s">
        <v>99</v>
      </c>
      <c r="B1424">
        <v>2017</v>
      </c>
      <c r="C1424" t="s">
        <v>205</v>
      </c>
      <c r="D1424" s="437" t="s">
        <v>44</v>
      </c>
      <c r="E1424" s="437">
        <v>1031</v>
      </c>
    </row>
    <row r="1425" spans="1:5" x14ac:dyDescent="0.25">
      <c r="A1425" t="s">
        <v>99</v>
      </c>
      <c r="B1425">
        <v>2017</v>
      </c>
      <c r="C1425" t="s">
        <v>205</v>
      </c>
      <c r="D1425" s="437" t="s">
        <v>397</v>
      </c>
      <c r="E1425" s="437">
        <v>572</v>
      </c>
    </row>
    <row r="1426" spans="1:5" x14ac:dyDescent="0.25">
      <c r="A1426" t="s">
        <v>99</v>
      </c>
      <c r="B1426">
        <v>2017</v>
      </c>
      <c r="C1426" t="s">
        <v>205</v>
      </c>
      <c r="D1426" s="437" t="s">
        <v>133</v>
      </c>
      <c r="E1426" s="437">
        <v>14116</v>
      </c>
    </row>
    <row r="1427" spans="1:5" x14ac:dyDescent="0.25">
      <c r="A1427" t="s">
        <v>99</v>
      </c>
      <c r="B1427">
        <v>2017</v>
      </c>
      <c r="C1427" t="s">
        <v>205</v>
      </c>
      <c r="D1427" s="437" t="s">
        <v>597</v>
      </c>
      <c r="E1427" s="437">
        <v>4730</v>
      </c>
    </row>
    <row r="1428" spans="1:5" x14ac:dyDescent="0.25">
      <c r="A1428" t="s">
        <v>99</v>
      </c>
      <c r="B1428">
        <v>2017</v>
      </c>
      <c r="C1428" t="s">
        <v>205</v>
      </c>
      <c r="D1428" s="437" t="s">
        <v>596</v>
      </c>
      <c r="E1428" s="437">
        <v>11919</v>
      </c>
    </row>
    <row r="1429" spans="1:5" x14ac:dyDescent="0.25">
      <c r="A1429" t="s">
        <v>99</v>
      </c>
      <c r="B1429">
        <v>2017</v>
      </c>
      <c r="C1429" t="s">
        <v>205</v>
      </c>
      <c r="D1429" s="437" t="s">
        <v>413</v>
      </c>
      <c r="E1429" s="437">
        <v>128</v>
      </c>
    </row>
    <row r="1430" spans="1:5" x14ac:dyDescent="0.25">
      <c r="A1430" t="s">
        <v>101</v>
      </c>
      <c r="B1430">
        <v>2017</v>
      </c>
      <c r="C1430" t="s">
        <v>205</v>
      </c>
      <c r="D1430" s="437" t="s">
        <v>57</v>
      </c>
      <c r="E1430" s="437">
        <v>5919</v>
      </c>
    </row>
    <row r="1431" spans="1:5" x14ac:dyDescent="0.25">
      <c r="A1431" t="s">
        <v>101</v>
      </c>
      <c r="B1431">
        <v>2017</v>
      </c>
      <c r="C1431" t="s">
        <v>205</v>
      </c>
      <c r="D1431" s="437" t="s">
        <v>348</v>
      </c>
      <c r="E1431" s="437">
        <v>0</v>
      </c>
    </row>
    <row r="1432" spans="1:5" x14ac:dyDescent="0.25">
      <c r="A1432" t="s">
        <v>101</v>
      </c>
      <c r="B1432">
        <v>2017</v>
      </c>
      <c r="C1432" t="s">
        <v>205</v>
      </c>
      <c r="D1432" s="437" t="s">
        <v>349</v>
      </c>
      <c r="E1432" s="437">
        <v>0</v>
      </c>
    </row>
    <row r="1433" spans="1:5" x14ac:dyDescent="0.25">
      <c r="A1433" t="s">
        <v>101</v>
      </c>
      <c r="B1433">
        <v>2017</v>
      </c>
      <c r="C1433" t="s">
        <v>205</v>
      </c>
      <c r="D1433" s="437" t="s">
        <v>595</v>
      </c>
      <c r="E1433" s="437">
        <v>6688</v>
      </c>
    </row>
    <row r="1434" spans="1:5" x14ac:dyDescent="0.25">
      <c r="A1434" t="s">
        <v>101</v>
      </c>
      <c r="B1434">
        <v>2017</v>
      </c>
      <c r="C1434" t="s">
        <v>205</v>
      </c>
      <c r="D1434" s="437" t="s">
        <v>352</v>
      </c>
      <c r="E1434" s="437">
        <v>158</v>
      </c>
    </row>
    <row r="1435" spans="1:5" x14ac:dyDescent="0.25">
      <c r="A1435" t="s">
        <v>101</v>
      </c>
      <c r="B1435">
        <v>2017</v>
      </c>
      <c r="C1435" t="s">
        <v>205</v>
      </c>
      <c r="D1435" s="437" t="s">
        <v>43</v>
      </c>
      <c r="E1435" s="437">
        <v>1929</v>
      </c>
    </row>
    <row r="1436" spans="1:5" x14ac:dyDescent="0.25">
      <c r="A1436" t="s">
        <v>101</v>
      </c>
      <c r="B1436">
        <v>2017</v>
      </c>
      <c r="C1436" t="s">
        <v>205</v>
      </c>
      <c r="D1436" s="437" t="s">
        <v>42</v>
      </c>
      <c r="E1436" s="437">
        <v>878</v>
      </c>
    </row>
    <row r="1437" spans="1:5" x14ac:dyDescent="0.25">
      <c r="A1437" t="s">
        <v>101</v>
      </c>
      <c r="B1437">
        <v>2017</v>
      </c>
      <c r="C1437" t="s">
        <v>205</v>
      </c>
      <c r="D1437" s="437" t="s">
        <v>44</v>
      </c>
      <c r="E1437" s="437">
        <v>3380</v>
      </c>
    </row>
    <row r="1438" spans="1:5" x14ac:dyDescent="0.25">
      <c r="A1438" t="s">
        <v>101</v>
      </c>
      <c r="B1438">
        <v>2017</v>
      </c>
      <c r="C1438" t="s">
        <v>205</v>
      </c>
      <c r="D1438" s="437" t="s">
        <v>397</v>
      </c>
      <c r="E1438" s="437">
        <v>806</v>
      </c>
    </row>
    <row r="1439" spans="1:5" x14ac:dyDescent="0.25">
      <c r="A1439" t="s">
        <v>101</v>
      </c>
      <c r="B1439">
        <v>2017</v>
      </c>
      <c r="C1439" t="s">
        <v>205</v>
      </c>
      <c r="D1439" s="437" t="s">
        <v>133</v>
      </c>
      <c r="E1439" s="437">
        <v>1430</v>
      </c>
    </row>
    <row r="1440" spans="1:5" x14ac:dyDescent="0.25">
      <c r="A1440" t="s">
        <v>101</v>
      </c>
      <c r="B1440">
        <v>2017</v>
      </c>
      <c r="C1440" t="s">
        <v>205</v>
      </c>
      <c r="D1440" s="437" t="s">
        <v>597</v>
      </c>
      <c r="E1440" s="437">
        <v>6699</v>
      </c>
    </row>
    <row r="1441" spans="1:5" x14ac:dyDescent="0.25">
      <c r="A1441" t="s">
        <v>101</v>
      </c>
      <c r="B1441">
        <v>2017</v>
      </c>
      <c r="C1441" t="s">
        <v>205</v>
      </c>
      <c r="D1441" s="437" t="s">
        <v>596</v>
      </c>
      <c r="E1441" s="437">
        <v>13270</v>
      </c>
    </row>
    <row r="1442" spans="1:5" x14ac:dyDescent="0.25">
      <c r="A1442" t="s">
        <v>101</v>
      </c>
      <c r="B1442">
        <v>2017</v>
      </c>
      <c r="C1442" t="s">
        <v>205</v>
      </c>
      <c r="D1442" s="437" t="s">
        <v>413</v>
      </c>
      <c r="E1442" s="437">
        <v>391</v>
      </c>
    </row>
    <row r="1443" spans="1:5" x14ac:dyDescent="0.25">
      <c r="A1443" t="s">
        <v>102</v>
      </c>
      <c r="B1443">
        <v>2017</v>
      </c>
      <c r="C1443" t="s">
        <v>205</v>
      </c>
      <c r="D1443" s="437" t="s">
        <v>57</v>
      </c>
      <c r="E1443" s="437">
        <v>2000</v>
      </c>
    </row>
    <row r="1444" spans="1:5" x14ac:dyDescent="0.25">
      <c r="A1444" t="s">
        <v>102</v>
      </c>
      <c r="B1444">
        <v>2017</v>
      </c>
      <c r="C1444" t="s">
        <v>205</v>
      </c>
      <c r="D1444" s="437" t="s">
        <v>348</v>
      </c>
      <c r="E1444" s="437">
        <v>4119</v>
      </c>
    </row>
    <row r="1445" spans="1:5" x14ac:dyDescent="0.25">
      <c r="A1445" t="s">
        <v>102</v>
      </c>
      <c r="B1445">
        <v>2017</v>
      </c>
      <c r="C1445" t="s">
        <v>205</v>
      </c>
      <c r="D1445" s="437" t="s">
        <v>349</v>
      </c>
      <c r="E1445" s="437">
        <v>362</v>
      </c>
    </row>
    <row r="1446" spans="1:5" x14ac:dyDescent="0.25">
      <c r="A1446" t="s">
        <v>102</v>
      </c>
      <c r="B1446">
        <v>2017</v>
      </c>
      <c r="C1446" t="s">
        <v>205</v>
      </c>
      <c r="D1446" s="437" t="s">
        <v>595</v>
      </c>
      <c r="E1446" s="437">
        <v>563</v>
      </c>
    </row>
    <row r="1447" spans="1:5" x14ac:dyDescent="0.25">
      <c r="A1447" t="s">
        <v>102</v>
      </c>
      <c r="B1447">
        <v>2017</v>
      </c>
      <c r="C1447" t="s">
        <v>205</v>
      </c>
      <c r="D1447" s="437" t="s">
        <v>352</v>
      </c>
      <c r="E1447" s="437">
        <v>0</v>
      </c>
    </row>
    <row r="1448" spans="1:5" x14ac:dyDescent="0.25">
      <c r="A1448" t="s">
        <v>102</v>
      </c>
      <c r="B1448">
        <v>2017</v>
      </c>
      <c r="C1448" t="s">
        <v>205</v>
      </c>
      <c r="D1448" s="437" t="s">
        <v>43</v>
      </c>
      <c r="E1448" s="437">
        <v>701</v>
      </c>
    </row>
    <row r="1449" spans="1:5" x14ac:dyDescent="0.25">
      <c r="A1449" t="s">
        <v>102</v>
      </c>
      <c r="B1449">
        <v>2017</v>
      </c>
      <c r="C1449" t="s">
        <v>205</v>
      </c>
      <c r="D1449" s="437" t="s">
        <v>42</v>
      </c>
      <c r="E1449" s="437">
        <v>0</v>
      </c>
    </row>
    <row r="1450" spans="1:5" x14ac:dyDescent="0.25">
      <c r="A1450" t="s">
        <v>102</v>
      </c>
      <c r="B1450">
        <v>2017</v>
      </c>
      <c r="C1450" t="s">
        <v>205</v>
      </c>
      <c r="D1450" s="437" t="s">
        <v>44</v>
      </c>
      <c r="E1450" s="437">
        <v>1046</v>
      </c>
    </row>
    <row r="1451" spans="1:5" x14ac:dyDescent="0.25">
      <c r="A1451" t="s">
        <v>102</v>
      </c>
      <c r="B1451">
        <v>2017</v>
      </c>
      <c r="C1451" t="s">
        <v>205</v>
      </c>
      <c r="D1451" s="437" t="s">
        <v>397</v>
      </c>
      <c r="E1451" s="437">
        <v>77</v>
      </c>
    </row>
    <row r="1452" spans="1:5" x14ac:dyDescent="0.25">
      <c r="A1452" t="s">
        <v>102</v>
      </c>
      <c r="B1452">
        <v>2017</v>
      </c>
      <c r="C1452" t="s">
        <v>205</v>
      </c>
      <c r="D1452" s="437" t="s">
        <v>133</v>
      </c>
      <c r="E1452" s="437">
        <v>3204</v>
      </c>
    </row>
    <row r="1453" spans="1:5" x14ac:dyDescent="0.25">
      <c r="A1453" t="s">
        <v>102</v>
      </c>
      <c r="B1453">
        <v>2017</v>
      </c>
      <c r="C1453" t="s">
        <v>205</v>
      </c>
      <c r="D1453" s="437" t="s">
        <v>597</v>
      </c>
      <c r="E1453" s="437">
        <v>2739</v>
      </c>
    </row>
    <row r="1454" spans="1:5" x14ac:dyDescent="0.25">
      <c r="A1454" t="s">
        <v>102</v>
      </c>
      <c r="B1454">
        <v>2017</v>
      </c>
      <c r="C1454" t="s">
        <v>205</v>
      </c>
      <c r="D1454" s="437" t="s">
        <v>596</v>
      </c>
      <c r="E1454" s="437">
        <v>7690</v>
      </c>
    </row>
    <row r="1455" spans="1:5" x14ac:dyDescent="0.25">
      <c r="A1455" t="s">
        <v>102</v>
      </c>
      <c r="B1455">
        <v>2017</v>
      </c>
      <c r="C1455" t="s">
        <v>205</v>
      </c>
      <c r="D1455" s="437" t="s">
        <v>413</v>
      </c>
      <c r="E1455" s="437">
        <v>0</v>
      </c>
    </row>
    <row r="1456" spans="1:5" x14ac:dyDescent="0.25">
      <c r="A1456" t="s">
        <v>103</v>
      </c>
      <c r="B1456">
        <v>2017</v>
      </c>
      <c r="C1456" t="s">
        <v>205</v>
      </c>
      <c r="D1456" s="437" t="s">
        <v>57</v>
      </c>
      <c r="E1456" s="437">
        <v>3333</v>
      </c>
    </row>
    <row r="1457" spans="1:5" x14ac:dyDescent="0.25">
      <c r="A1457" t="s">
        <v>103</v>
      </c>
      <c r="B1457">
        <v>2017</v>
      </c>
      <c r="C1457" t="s">
        <v>205</v>
      </c>
      <c r="D1457" s="437" t="s">
        <v>348</v>
      </c>
      <c r="E1457" s="437">
        <v>0</v>
      </c>
    </row>
    <row r="1458" spans="1:5" x14ac:dyDescent="0.25">
      <c r="A1458" t="s">
        <v>103</v>
      </c>
      <c r="B1458">
        <v>2017</v>
      </c>
      <c r="C1458" t="s">
        <v>205</v>
      </c>
      <c r="D1458" s="437" t="s">
        <v>349</v>
      </c>
      <c r="E1458" s="437">
        <v>0</v>
      </c>
    </row>
    <row r="1459" spans="1:5" x14ac:dyDescent="0.25">
      <c r="A1459" t="s">
        <v>103</v>
      </c>
      <c r="B1459">
        <v>2017</v>
      </c>
      <c r="C1459" t="s">
        <v>205</v>
      </c>
      <c r="D1459" s="437" t="s">
        <v>595</v>
      </c>
      <c r="E1459" s="437">
        <v>0</v>
      </c>
    </row>
    <row r="1460" spans="1:5" x14ac:dyDescent="0.25">
      <c r="A1460" t="s">
        <v>103</v>
      </c>
      <c r="B1460">
        <v>2017</v>
      </c>
      <c r="C1460" t="s">
        <v>205</v>
      </c>
      <c r="D1460" s="437" t="s">
        <v>352</v>
      </c>
      <c r="E1460" s="437">
        <v>0</v>
      </c>
    </row>
    <row r="1461" spans="1:5" x14ac:dyDescent="0.25">
      <c r="A1461" t="s">
        <v>103</v>
      </c>
      <c r="B1461">
        <v>2017</v>
      </c>
      <c r="C1461" t="s">
        <v>205</v>
      </c>
      <c r="D1461" s="437" t="s">
        <v>43</v>
      </c>
      <c r="E1461" s="437">
        <v>60</v>
      </c>
    </row>
    <row r="1462" spans="1:5" x14ac:dyDescent="0.25">
      <c r="A1462" t="s">
        <v>103</v>
      </c>
      <c r="B1462">
        <v>2017</v>
      </c>
      <c r="C1462" t="s">
        <v>205</v>
      </c>
      <c r="D1462" s="437" t="s">
        <v>42</v>
      </c>
      <c r="E1462" s="437">
        <v>0</v>
      </c>
    </row>
    <row r="1463" spans="1:5" x14ac:dyDescent="0.25">
      <c r="A1463" t="s">
        <v>103</v>
      </c>
      <c r="B1463">
        <v>2017</v>
      </c>
      <c r="C1463" t="s">
        <v>205</v>
      </c>
      <c r="D1463" s="437" t="s">
        <v>44</v>
      </c>
      <c r="E1463" s="437">
        <v>1394</v>
      </c>
    </row>
    <row r="1464" spans="1:5" x14ac:dyDescent="0.25">
      <c r="A1464" t="s">
        <v>103</v>
      </c>
      <c r="B1464">
        <v>2017</v>
      </c>
      <c r="C1464" t="s">
        <v>205</v>
      </c>
      <c r="D1464" s="437" t="s">
        <v>397</v>
      </c>
      <c r="E1464" s="437">
        <v>247</v>
      </c>
    </row>
    <row r="1465" spans="1:5" x14ac:dyDescent="0.25">
      <c r="A1465" t="s">
        <v>103</v>
      </c>
      <c r="B1465">
        <v>2017</v>
      </c>
      <c r="C1465" t="s">
        <v>205</v>
      </c>
      <c r="D1465" s="437" t="s">
        <v>133</v>
      </c>
      <c r="E1465" s="437">
        <v>12160</v>
      </c>
    </row>
    <row r="1466" spans="1:5" x14ac:dyDescent="0.25">
      <c r="A1466" t="s">
        <v>103</v>
      </c>
      <c r="B1466">
        <v>2017</v>
      </c>
      <c r="C1466" t="s">
        <v>205</v>
      </c>
      <c r="D1466" s="437" t="s">
        <v>597</v>
      </c>
      <c r="E1466" s="437">
        <v>4245</v>
      </c>
    </row>
    <row r="1467" spans="1:5" x14ac:dyDescent="0.25">
      <c r="A1467" t="s">
        <v>103</v>
      </c>
      <c r="B1467">
        <v>2017</v>
      </c>
      <c r="C1467" t="s">
        <v>205</v>
      </c>
      <c r="D1467" s="437" t="s">
        <v>596</v>
      </c>
      <c r="E1467" s="437">
        <v>9946</v>
      </c>
    </row>
    <row r="1468" spans="1:5" x14ac:dyDescent="0.25">
      <c r="A1468" t="s">
        <v>103</v>
      </c>
      <c r="B1468">
        <v>2017</v>
      </c>
      <c r="C1468" t="s">
        <v>205</v>
      </c>
      <c r="D1468" s="437" t="s">
        <v>413</v>
      </c>
      <c r="E1468" s="437">
        <v>422</v>
      </c>
    </row>
    <row r="1469" spans="1:5" x14ac:dyDescent="0.25">
      <c r="A1469" t="s">
        <v>198</v>
      </c>
      <c r="B1469">
        <v>2017</v>
      </c>
      <c r="C1469" t="s">
        <v>205</v>
      </c>
      <c r="D1469" s="437" t="s">
        <v>57</v>
      </c>
      <c r="E1469" s="437">
        <v>0</v>
      </c>
    </row>
    <row r="1470" spans="1:5" x14ac:dyDescent="0.25">
      <c r="A1470" t="s">
        <v>198</v>
      </c>
      <c r="B1470">
        <v>2017</v>
      </c>
      <c r="C1470" t="s">
        <v>205</v>
      </c>
      <c r="D1470" s="437" t="s">
        <v>348</v>
      </c>
      <c r="E1470" s="437">
        <v>0</v>
      </c>
    </row>
    <row r="1471" spans="1:5" x14ac:dyDescent="0.25">
      <c r="A1471" t="s">
        <v>198</v>
      </c>
      <c r="B1471">
        <v>2017</v>
      </c>
      <c r="C1471" t="s">
        <v>205</v>
      </c>
      <c r="D1471" s="437" t="s">
        <v>349</v>
      </c>
      <c r="E1471" s="437">
        <v>0</v>
      </c>
    </row>
    <row r="1472" spans="1:5" x14ac:dyDescent="0.25">
      <c r="A1472" t="s">
        <v>198</v>
      </c>
      <c r="B1472">
        <v>2017</v>
      </c>
      <c r="C1472" t="s">
        <v>205</v>
      </c>
      <c r="D1472" s="437" t="s">
        <v>595</v>
      </c>
      <c r="E1472" s="437">
        <v>0</v>
      </c>
    </row>
    <row r="1473" spans="1:5" x14ac:dyDescent="0.25">
      <c r="A1473" t="s">
        <v>198</v>
      </c>
      <c r="B1473">
        <v>2017</v>
      </c>
      <c r="C1473" t="s">
        <v>205</v>
      </c>
      <c r="D1473" s="437" t="s">
        <v>352</v>
      </c>
      <c r="E1473" s="437">
        <v>1478</v>
      </c>
    </row>
    <row r="1474" spans="1:5" x14ac:dyDescent="0.25">
      <c r="A1474" t="s">
        <v>198</v>
      </c>
      <c r="B1474">
        <v>2017</v>
      </c>
      <c r="C1474" t="s">
        <v>205</v>
      </c>
      <c r="D1474" s="437" t="s">
        <v>43</v>
      </c>
      <c r="E1474" s="437">
        <v>155</v>
      </c>
    </row>
    <row r="1475" spans="1:5" x14ac:dyDescent="0.25">
      <c r="A1475" t="s">
        <v>198</v>
      </c>
      <c r="B1475">
        <v>2017</v>
      </c>
      <c r="C1475" t="s">
        <v>205</v>
      </c>
      <c r="D1475" s="437" t="s">
        <v>42</v>
      </c>
      <c r="E1475" s="437">
        <v>0</v>
      </c>
    </row>
    <row r="1476" spans="1:5" x14ac:dyDescent="0.25">
      <c r="A1476" t="s">
        <v>198</v>
      </c>
      <c r="B1476">
        <v>2017</v>
      </c>
      <c r="C1476" t="s">
        <v>205</v>
      </c>
      <c r="D1476" s="437" t="s">
        <v>44</v>
      </c>
      <c r="E1476" s="437">
        <v>0</v>
      </c>
    </row>
    <row r="1477" spans="1:5" x14ac:dyDescent="0.25">
      <c r="A1477" t="s">
        <v>198</v>
      </c>
      <c r="B1477">
        <v>2017</v>
      </c>
      <c r="C1477" t="s">
        <v>205</v>
      </c>
      <c r="D1477" s="437" t="s">
        <v>397</v>
      </c>
      <c r="E1477" s="437">
        <v>0</v>
      </c>
    </row>
    <row r="1478" spans="1:5" x14ac:dyDescent="0.25">
      <c r="A1478" t="s">
        <v>198</v>
      </c>
      <c r="B1478">
        <v>2017</v>
      </c>
      <c r="C1478" t="s">
        <v>205</v>
      </c>
      <c r="D1478" s="437" t="s">
        <v>133</v>
      </c>
      <c r="E1478" s="437">
        <v>0</v>
      </c>
    </row>
    <row r="1479" spans="1:5" x14ac:dyDescent="0.25">
      <c r="A1479" t="s">
        <v>198</v>
      </c>
      <c r="B1479">
        <v>2017</v>
      </c>
      <c r="C1479" t="s">
        <v>205</v>
      </c>
      <c r="D1479" s="437" t="s">
        <v>597</v>
      </c>
      <c r="E1479" s="437">
        <v>300</v>
      </c>
    </row>
    <row r="1480" spans="1:5" x14ac:dyDescent="0.25">
      <c r="A1480" t="s">
        <v>198</v>
      </c>
      <c r="B1480">
        <v>2017</v>
      </c>
      <c r="C1480" t="s">
        <v>205</v>
      </c>
      <c r="D1480" s="437" t="s">
        <v>596</v>
      </c>
      <c r="E1480" s="437">
        <v>1025</v>
      </c>
    </row>
    <row r="1481" spans="1:5" x14ac:dyDescent="0.25">
      <c r="A1481" t="s">
        <v>198</v>
      </c>
      <c r="B1481">
        <v>2017</v>
      </c>
      <c r="C1481" t="s">
        <v>205</v>
      </c>
      <c r="D1481" s="437" t="s">
        <v>413</v>
      </c>
      <c r="E1481" s="437">
        <v>124</v>
      </c>
    </row>
    <row r="1482" spans="1:5" x14ac:dyDescent="0.25">
      <c r="A1482" t="s">
        <v>104</v>
      </c>
      <c r="B1482">
        <v>2017</v>
      </c>
      <c r="C1482" t="s">
        <v>205</v>
      </c>
      <c r="D1482" s="437" t="s">
        <v>57</v>
      </c>
      <c r="E1482" s="437">
        <v>4040</v>
      </c>
    </row>
    <row r="1483" spans="1:5" x14ac:dyDescent="0.25">
      <c r="A1483" t="s">
        <v>104</v>
      </c>
      <c r="B1483">
        <v>2017</v>
      </c>
      <c r="C1483" t="s">
        <v>205</v>
      </c>
      <c r="D1483" s="437" t="s">
        <v>348</v>
      </c>
      <c r="E1483" s="437">
        <v>8492</v>
      </c>
    </row>
    <row r="1484" spans="1:5" x14ac:dyDescent="0.25">
      <c r="A1484" t="s">
        <v>104</v>
      </c>
      <c r="B1484">
        <v>2017</v>
      </c>
      <c r="C1484" t="s">
        <v>205</v>
      </c>
      <c r="D1484" s="437" t="s">
        <v>349</v>
      </c>
      <c r="E1484" s="437">
        <v>1200</v>
      </c>
    </row>
    <row r="1485" spans="1:5" x14ac:dyDescent="0.25">
      <c r="A1485" t="s">
        <v>104</v>
      </c>
      <c r="B1485">
        <v>2017</v>
      </c>
      <c r="C1485" t="s">
        <v>205</v>
      </c>
      <c r="D1485" s="437" t="s">
        <v>595</v>
      </c>
      <c r="E1485" s="437">
        <v>1606</v>
      </c>
    </row>
    <row r="1486" spans="1:5" x14ac:dyDescent="0.25">
      <c r="A1486" t="s">
        <v>104</v>
      </c>
      <c r="B1486">
        <v>2017</v>
      </c>
      <c r="C1486" t="s">
        <v>205</v>
      </c>
      <c r="D1486" s="437" t="s">
        <v>352</v>
      </c>
      <c r="E1486" s="437">
        <v>0</v>
      </c>
    </row>
    <row r="1487" spans="1:5" x14ac:dyDescent="0.25">
      <c r="A1487" t="s">
        <v>104</v>
      </c>
      <c r="B1487">
        <v>2017</v>
      </c>
      <c r="C1487" t="s">
        <v>205</v>
      </c>
      <c r="D1487" s="437" t="s">
        <v>43</v>
      </c>
      <c r="E1487" s="437">
        <v>308</v>
      </c>
    </row>
    <row r="1488" spans="1:5" x14ac:dyDescent="0.25">
      <c r="A1488" t="s">
        <v>104</v>
      </c>
      <c r="B1488">
        <v>2017</v>
      </c>
      <c r="C1488" t="s">
        <v>205</v>
      </c>
      <c r="D1488" s="437" t="s">
        <v>42</v>
      </c>
      <c r="E1488" s="437">
        <v>0</v>
      </c>
    </row>
    <row r="1489" spans="1:5" x14ac:dyDescent="0.25">
      <c r="A1489" t="s">
        <v>104</v>
      </c>
      <c r="B1489">
        <v>2017</v>
      </c>
      <c r="C1489" t="s">
        <v>205</v>
      </c>
      <c r="D1489" s="437" t="s">
        <v>44</v>
      </c>
      <c r="E1489" s="437">
        <v>2040</v>
      </c>
    </row>
    <row r="1490" spans="1:5" x14ac:dyDescent="0.25">
      <c r="A1490" t="s">
        <v>104</v>
      </c>
      <c r="B1490">
        <v>2017</v>
      </c>
      <c r="C1490" t="s">
        <v>205</v>
      </c>
      <c r="D1490" s="437" t="s">
        <v>397</v>
      </c>
      <c r="E1490" s="437">
        <v>800</v>
      </c>
    </row>
    <row r="1491" spans="1:5" x14ac:dyDescent="0.25">
      <c r="A1491" t="s">
        <v>104</v>
      </c>
      <c r="B1491">
        <v>2017</v>
      </c>
      <c r="C1491" t="s">
        <v>205</v>
      </c>
      <c r="D1491" s="437" t="s">
        <v>133</v>
      </c>
      <c r="E1491" s="437">
        <v>2259</v>
      </c>
    </row>
    <row r="1492" spans="1:5" x14ac:dyDescent="0.25">
      <c r="A1492" t="s">
        <v>104</v>
      </c>
      <c r="B1492">
        <v>2017</v>
      </c>
      <c r="C1492" t="s">
        <v>205</v>
      </c>
      <c r="D1492" s="437" t="s">
        <v>597</v>
      </c>
      <c r="E1492" s="437">
        <v>4360</v>
      </c>
    </row>
    <row r="1493" spans="1:5" x14ac:dyDescent="0.25">
      <c r="A1493" t="s">
        <v>104</v>
      </c>
      <c r="B1493">
        <v>2017</v>
      </c>
      <c r="C1493" t="s">
        <v>205</v>
      </c>
      <c r="D1493" s="437" t="s">
        <v>596</v>
      </c>
      <c r="E1493" s="437">
        <v>10900</v>
      </c>
    </row>
    <row r="1494" spans="1:5" x14ac:dyDescent="0.25">
      <c r="A1494" t="s">
        <v>104</v>
      </c>
      <c r="B1494">
        <v>2017</v>
      </c>
      <c r="C1494" t="s">
        <v>205</v>
      </c>
      <c r="D1494" s="437" t="s">
        <v>413</v>
      </c>
      <c r="E1494" s="437">
        <v>100</v>
      </c>
    </row>
    <row r="1495" spans="1:5" x14ac:dyDescent="0.25">
      <c r="A1495" t="s">
        <v>105</v>
      </c>
      <c r="B1495">
        <v>2017</v>
      </c>
      <c r="C1495" t="s">
        <v>205</v>
      </c>
      <c r="D1495" s="437" t="s">
        <v>57</v>
      </c>
      <c r="E1495" s="437">
        <v>9509</v>
      </c>
    </row>
    <row r="1496" spans="1:5" x14ac:dyDescent="0.25">
      <c r="A1496" t="s">
        <v>105</v>
      </c>
      <c r="B1496">
        <v>2017</v>
      </c>
      <c r="C1496" t="s">
        <v>205</v>
      </c>
      <c r="D1496" s="437" t="s">
        <v>348</v>
      </c>
      <c r="E1496" s="437">
        <v>20804</v>
      </c>
    </row>
    <row r="1497" spans="1:5" x14ac:dyDescent="0.25">
      <c r="A1497" t="s">
        <v>105</v>
      </c>
      <c r="B1497">
        <v>2017</v>
      </c>
      <c r="C1497" t="s">
        <v>205</v>
      </c>
      <c r="D1497" s="437" t="s">
        <v>349</v>
      </c>
      <c r="E1497" s="437">
        <v>25010</v>
      </c>
    </row>
    <row r="1498" spans="1:5" x14ac:dyDescent="0.25">
      <c r="A1498" t="s">
        <v>105</v>
      </c>
      <c r="B1498">
        <v>2017</v>
      </c>
      <c r="C1498" t="s">
        <v>205</v>
      </c>
      <c r="D1498" s="437" t="s">
        <v>595</v>
      </c>
      <c r="E1498" s="437">
        <v>30582</v>
      </c>
    </row>
    <row r="1499" spans="1:5" x14ac:dyDescent="0.25">
      <c r="A1499" t="s">
        <v>105</v>
      </c>
      <c r="B1499">
        <v>2017</v>
      </c>
      <c r="C1499" t="s">
        <v>205</v>
      </c>
      <c r="D1499" s="437" t="s">
        <v>352</v>
      </c>
      <c r="E1499" s="437">
        <v>5181</v>
      </c>
    </row>
    <row r="1500" spans="1:5" x14ac:dyDescent="0.25">
      <c r="A1500" t="s">
        <v>105</v>
      </c>
      <c r="B1500">
        <v>2017</v>
      </c>
      <c r="C1500" t="s">
        <v>205</v>
      </c>
      <c r="D1500" s="437" t="s">
        <v>43</v>
      </c>
      <c r="E1500" s="437">
        <v>49701</v>
      </c>
    </row>
    <row r="1501" spans="1:5" x14ac:dyDescent="0.25">
      <c r="A1501" t="s">
        <v>105</v>
      </c>
      <c r="B1501">
        <v>2017</v>
      </c>
      <c r="C1501" t="s">
        <v>205</v>
      </c>
      <c r="D1501" s="437" t="s">
        <v>42</v>
      </c>
      <c r="E1501" s="437">
        <v>5371</v>
      </c>
    </row>
    <row r="1502" spans="1:5" x14ac:dyDescent="0.25">
      <c r="A1502" t="s">
        <v>105</v>
      </c>
      <c r="B1502">
        <v>2017</v>
      </c>
      <c r="C1502" t="s">
        <v>205</v>
      </c>
      <c r="D1502" s="437" t="s">
        <v>44</v>
      </c>
      <c r="E1502" s="437">
        <v>42020</v>
      </c>
    </row>
    <row r="1503" spans="1:5" x14ac:dyDescent="0.25">
      <c r="A1503" t="s">
        <v>105</v>
      </c>
      <c r="B1503">
        <v>2017</v>
      </c>
      <c r="C1503" t="s">
        <v>205</v>
      </c>
      <c r="D1503" s="437" t="s">
        <v>397</v>
      </c>
      <c r="E1503" s="437">
        <v>7250</v>
      </c>
    </row>
    <row r="1504" spans="1:5" x14ac:dyDescent="0.25">
      <c r="A1504" t="s">
        <v>105</v>
      </c>
      <c r="B1504">
        <v>2017</v>
      </c>
      <c r="C1504" t="s">
        <v>205</v>
      </c>
      <c r="D1504" s="437" t="s">
        <v>133</v>
      </c>
      <c r="E1504" s="437">
        <v>10615</v>
      </c>
    </row>
    <row r="1505" spans="1:5" x14ac:dyDescent="0.25">
      <c r="A1505" t="s">
        <v>105</v>
      </c>
      <c r="B1505">
        <v>2017</v>
      </c>
      <c r="C1505" t="s">
        <v>205</v>
      </c>
      <c r="D1505" s="437" t="s">
        <v>597</v>
      </c>
      <c r="E1505" s="437">
        <v>35085</v>
      </c>
    </row>
    <row r="1506" spans="1:5" x14ac:dyDescent="0.25">
      <c r="A1506" t="s">
        <v>105</v>
      </c>
      <c r="B1506">
        <v>2017</v>
      </c>
      <c r="C1506" t="s">
        <v>205</v>
      </c>
      <c r="D1506" s="437" t="s">
        <v>596</v>
      </c>
      <c r="E1506" s="437">
        <v>78710</v>
      </c>
    </row>
    <row r="1507" spans="1:5" x14ac:dyDescent="0.25">
      <c r="A1507" t="s">
        <v>105</v>
      </c>
      <c r="B1507">
        <v>2017</v>
      </c>
      <c r="C1507" t="s">
        <v>205</v>
      </c>
      <c r="D1507" s="437" t="s">
        <v>413</v>
      </c>
      <c r="E1507" s="437">
        <v>2186</v>
      </c>
    </row>
    <row r="1508" spans="1:5" x14ac:dyDescent="0.25">
      <c r="A1508" t="s">
        <v>106</v>
      </c>
      <c r="B1508">
        <v>2017</v>
      </c>
      <c r="C1508" t="s">
        <v>205</v>
      </c>
      <c r="D1508" s="437" t="s">
        <v>57</v>
      </c>
      <c r="E1508" s="437">
        <v>0</v>
      </c>
    </row>
    <row r="1509" spans="1:5" x14ac:dyDescent="0.25">
      <c r="A1509" t="s">
        <v>106</v>
      </c>
      <c r="B1509">
        <v>2017</v>
      </c>
      <c r="C1509" t="s">
        <v>205</v>
      </c>
      <c r="D1509" s="437" t="s">
        <v>348</v>
      </c>
      <c r="E1509" s="437">
        <v>0</v>
      </c>
    </row>
    <row r="1510" spans="1:5" x14ac:dyDescent="0.25">
      <c r="A1510" t="s">
        <v>106</v>
      </c>
      <c r="B1510">
        <v>2017</v>
      </c>
      <c r="C1510" t="s">
        <v>205</v>
      </c>
      <c r="D1510" s="437" t="s">
        <v>349</v>
      </c>
      <c r="E1510" s="437">
        <v>4300</v>
      </c>
    </row>
    <row r="1511" spans="1:5" x14ac:dyDescent="0.25">
      <c r="A1511" t="s">
        <v>106</v>
      </c>
      <c r="B1511">
        <v>2017</v>
      </c>
      <c r="C1511" t="s">
        <v>205</v>
      </c>
      <c r="D1511" s="437" t="s">
        <v>595</v>
      </c>
      <c r="E1511" s="437">
        <v>2262</v>
      </c>
    </row>
    <row r="1512" spans="1:5" x14ac:dyDescent="0.25">
      <c r="A1512" t="s">
        <v>106</v>
      </c>
      <c r="B1512">
        <v>2017</v>
      </c>
      <c r="C1512" t="s">
        <v>205</v>
      </c>
      <c r="D1512" s="437" t="s">
        <v>352</v>
      </c>
      <c r="E1512" s="437">
        <v>1048</v>
      </c>
    </row>
    <row r="1513" spans="1:5" x14ac:dyDescent="0.25">
      <c r="A1513" t="s">
        <v>106</v>
      </c>
      <c r="B1513">
        <v>2017</v>
      </c>
      <c r="C1513" t="s">
        <v>205</v>
      </c>
      <c r="D1513" s="437" t="s">
        <v>43</v>
      </c>
      <c r="E1513" s="437">
        <v>4233</v>
      </c>
    </row>
    <row r="1514" spans="1:5" x14ac:dyDescent="0.25">
      <c r="A1514" t="s">
        <v>106</v>
      </c>
      <c r="B1514">
        <v>2017</v>
      </c>
      <c r="C1514" t="s">
        <v>205</v>
      </c>
      <c r="D1514" s="437" t="s">
        <v>42</v>
      </c>
      <c r="E1514" s="437">
        <v>1264</v>
      </c>
    </row>
    <row r="1515" spans="1:5" x14ac:dyDescent="0.25">
      <c r="A1515" t="s">
        <v>106</v>
      </c>
      <c r="B1515">
        <v>2017</v>
      </c>
      <c r="C1515" t="s">
        <v>205</v>
      </c>
      <c r="D1515" s="437" t="s">
        <v>44</v>
      </c>
      <c r="E1515" s="437">
        <v>908</v>
      </c>
    </row>
    <row r="1516" spans="1:5" x14ac:dyDescent="0.25">
      <c r="A1516" t="s">
        <v>106</v>
      </c>
      <c r="B1516">
        <v>2017</v>
      </c>
      <c r="C1516" t="s">
        <v>205</v>
      </c>
      <c r="D1516" s="437" t="s">
        <v>397</v>
      </c>
      <c r="E1516" s="437">
        <v>1349</v>
      </c>
    </row>
    <row r="1517" spans="1:5" x14ac:dyDescent="0.25">
      <c r="A1517" t="s">
        <v>106</v>
      </c>
      <c r="B1517">
        <v>2017</v>
      </c>
      <c r="C1517" t="s">
        <v>205</v>
      </c>
      <c r="D1517" s="437" t="s">
        <v>133</v>
      </c>
      <c r="E1517" s="437">
        <v>6</v>
      </c>
    </row>
    <row r="1518" spans="1:5" x14ac:dyDescent="0.25">
      <c r="A1518" t="s">
        <v>106</v>
      </c>
      <c r="B1518">
        <v>2017</v>
      </c>
      <c r="C1518" t="s">
        <v>205</v>
      </c>
      <c r="D1518" s="437" t="s">
        <v>597</v>
      </c>
      <c r="E1518" s="437">
        <v>2264</v>
      </c>
    </row>
    <row r="1519" spans="1:5" x14ac:dyDescent="0.25">
      <c r="A1519" t="s">
        <v>106</v>
      </c>
      <c r="B1519">
        <v>2017</v>
      </c>
      <c r="C1519" t="s">
        <v>205</v>
      </c>
      <c r="D1519" s="437" t="s">
        <v>596</v>
      </c>
      <c r="E1519" s="437">
        <v>5878</v>
      </c>
    </row>
    <row r="1520" spans="1:5" x14ac:dyDescent="0.25">
      <c r="A1520" t="s">
        <v>106</v>
      </c>
      <c r="B1520">
        <v>2017</v>
      </c>
      <c r="C1520" t="s">
        <v>205</v>
      </c>
      <c r="D1520" s="437" t="s">
        <v>413</v>
      </c>
      <c r="E1520" s="437">
        <v>414</v>
      </c>
    </row>
    <row r="1521" spans="1:5" x14ac:dyDescent="0.25">
      <c r="A1521" t="s">
        <v>199</v>
      </c>
      <c r="B1521">
        <v>2017</v>
      </c>
      <c r="C1521" t="s">
        <v>205</v>
      </c>
      <c r="D1521" s="437" t="s">
        <v>57</v>
      </c>
      <c r="E1521" s="437">
        <v>0</v>
      </c>
    </row>
    <row r="1522" spans="1:5" x14ac:dyDescent="0.25">
      <c r="A1522" t="s">
        <v>199</v>
      </c>
      <c r="B1522">
        <v>2017</v>
      </c>
      <c r="C1522" t="s">
        <v>205</v>
      </c>
      <c r="D1522" s="437" t="s">
        <v>348</v>
      </c>
      <c r="E1522" s="437">
        <v>0</v>
      </c>
    </row>
    <row r="1523" spans="1:5" x14ac:dyDescent="0.25">
      <c r="A1523" t="s">
        <v>199</v>
      </c>
      <c r="B1523">
        <v>2017</v>
      </c>
      <c r="C1523" t="s">
        <v>205</v>
      </c>
      <c r="D1523" s="437" t="s">
        <v>349</v>
      </c>
      <c r="E1523" s="437">
        <v>0</v>
      </c>
    </row>
    <row r="1524" spans="1:5" x14ac:dyDescent="0.25">
      <c r="A1524" t="s">
        <v>199</v>
      </c>
      <c r="B1524">
        <v>2017</v>
      </c>
      <c r="C1524" t="s">
        <v>205</v>
      </c>
      <c r="D1524" s="437" t="s">
        <v>595</v>
      </c>
      <c r="E1524" s="437">
        <v>200</v>
      </c>
    </row>
    <row r="1525" spans="1:5" x14ac:dyDescent="0.25">
      <c r="A1525" t="s">
        <v>199</v>
      </c>
      <c r="B1525">
        <v>2017</v>
      </c>
      <c r="C1525" t="s">
        <v>205</v>
      </c>
      <c r="D1525" s="437" t="s">
        <v>352</v>
      </c>
      <c r="E1525" s="437">
        <v>2152</v>
      </c>
    </row>
    <row r="1526" spans="1:5" x14ac:dyDescent="0.25">
      <c r="A1526" t="s">
        <v>199</v>
      </c>
      <c r="B1526">
        <v>2017</v>
      </c>
      <c r="C1526" t="s">
        <v>205</v>
      </c>
      <c r="D1526" s="437" t="s">
        <v>43</v>
      </c>
      <c r="E1526" s="437">
        <v>341</v>
      </c>
    </row>
    <row r="1527" spans="1:5" x14ac:dyDescent="0.25">
      <c r="A1527" t="s">
        <v>199</v>
      </c>
      <c r="B1527">
        <v>2017</v>
      </c>
      <c r="C1527" t="s">
        <v>205</v>
      </c>
      <c r="D1527" s="437" t="s">
        <v>42</v>
      </c>
      <c r="E1527" s="437">
        <v>0</v>
      </c>
    </row>
    <row r="1528" spans="1:5" x14ac:dyDescent="0.25">
      <c r="A1528" t="s">
        <v>199</v>
      </c>
      <c r="B1528">
        <v>2017</v>
      </c>
      <c r="C1528" t="s">
        <v>205</v>
      </c>
      <c r="D1528" s="437" t="s">
        <v>44</v>
      </c>
      <c r="E1528" s="437">
        <v>9</v>
      </c>
    </row>
    <row r="1529" spans="1:5" x14ac:dyDescent="0.25">
      <c r="A1529" t="s">
        <v>199</v>
      </c>
      <c r="B1529">
        <v>2017</v>
      </c>
      <c r="C1529" t="s">
        <v>205</v>
      </c>
      <c r="D1529" s="437" t="s">
        <v>397</v>
      </c>
      <c r="E1529" s="437">
        <v>92</v>
      </c>
    </row>
    <row r="1530" spans="1:5" x14ac:dyDescent="0.25">
      <c r="A1530" t="s">
        <v>199</v>
      </c>
      <c r="B1530">
        <v>2017</v>
      </c>
      <c r="C1530" t="s">
        <v>205</v>
      </c>
      <c r="D1530" s="437" t="s">
        <v>133</v>
      </c>
      <c r="E1530" s="437">
        <v>8</v>
      </c>
    </row>
    <row r="1531" spans="1:5" x14ac:dyDescent="0.25">
      <c r="A1531" t="s">
        <v>199</v>
      </c>
      <c r="B1531">
        <v>2017</v>
      </c>
      <c r="C1531" t="s">
        <v>205</v>
      </c>
      <c r="D1531" s="437" t="s">
        <v>597</v>
      </c>
      <c r="E1531" s="437">
        <v>492</v>
      </c>
    </row>
    <row r="1532" spans="1:5" x14ac:dyDescent="0.25">
      <c r="A1532" t="s">
        <v>199</v>
      </c>
      <c r="B1532">
        <v>2017</v>
      </c>
      <c r="C1532" t="s">
        <v>205</v>
      </c>
      <c r="D1532" s="437" t="s">
        <v>596</v>
      </c>
      <c r="E1532" s="437">
        <v>1472</v>
      </c>
    </row>
    <row r="1533" spans="1:5" x14ac:dyDescent="0.25">
      <c r="A1533" t="s">
        <v>199</v>
      </c>
      <c r="B1533">
        <v>2017</v>
      </c>
      <c r="C1533" t="s">
        <v>205</v>
      </c>
      <c r="D1533" s="437" t="s">
        <v>413</v>
      </c>
      <c r="E1533" s="437">
        <v>30</v>
      </c>
    </row>
    <row r="1534" spans="1:5" x14ac:dyDescent="0.25">
      <c r="A1534" t="s">
        <v>107</v>
      </c>
      <c r="B1534">
        <v>2017</v>
      </c>
      <c r="C1534" t="s">
        <v>205</v>
      </c>
      <c r="D1534" s="437" t="s">
        <v>57</v>
      </c>
      <c r="E1534" s="437">
        <v>7117</v>
      </c>
    </row>
    <row r="1535" spans="1:5" x14ac:dyDescent="0.25">
      <c r="A1535" t="s">
        <v>107</v>
      </c>
      <c r="B1535">
        <v>2017</v>
      </c>
      <c r="C1535" t="s">
        <v>205</v>
      </c>
      <c r="D1535" s="437" t="s">
        <v>348</v>
      </c>
      <c r="E1535" s="437">
        <v>1056</v>
      </c>
    </row>
    <row r="1536" spans="1:5" x14ac:dyDescent="0.25">
      <c r="A1536" t="s">
        <v>107</v>
      </c>
      <c r="B1536">
        <v>2017</v>
      </c>
      <c r="C1536" t="s">
        <v>205</v>
      </c>
      <c r="D1536" s="437" t="s">
        <v>349</v>
      </c>
      <c r="E1536" s="437">
        <v>8949</v>
      </c>
    </row>
    <row r="1537" spans="1:5" x14ac:dyDescent="0.25">
      <c r="A1537" t="s">
        <v>107</v>
      </c>
      <c r="B1537">
        <v>2017</v>
      </c>
      <c r="C1537" t="s">
        <v>205</v>
      </c>
      <c r="D1537" s="437" t="s">
        <v>595</v>
      </c>
      <c r="E1537" s="437">
        <v>32158</v>
      </c>
    </row>
    <row r="1538" spans="1:5" x14ac:dyDescent="0.25">
      <c r="A1538" t="s">
        <v>107</v>
      </c>
      <c r="B1538">
        <v>2017</v>
      </c>
      <c r="C1538" t="s">
        <v>205</v>
      </c>
      <c r="D1538" s="437" t="s">
        <v>352</v>
      </c>
      <c r="E1538" s="437">
        <v>3365</v>
      </c>
    </row>
    <row r="1539" spans="1:5" x14ac:dyDescent="0.25">
      <c r="A1539" t="s">
        <v>107</v>
      </c>
      <c r="B1539">
        <v>2017</v>
      </c>
      <c r="C1539" t="s">
        <v>205</v>
      </c>
      <c r="D1539" s="437" t="s">
        <v>43</v>
      </c>
      <c r="E1539" s="437">
        <v>23005</v>
      </c>
    </row>
    <row r="1540" spans="1:5" x14ac:dyDescent="0.25">
      <c r="A1540" t="s">
        <v>107</v>
      </c>
      <c r="B1540">
        <v>2017</v>
      </c>
      <c r="C1540" t="s">
        <v>205</v>
      </c>
      <c r="D1540" s="437" t="s">
        <v>42</v>
      </c>
      <c r="E1540" s="437">
        <v>0</v>
      </c>
    </row>
    <row r="1541" spans="1:5" x14ac:dyDescent="0.25">
      <c r="A1541" t="s">
        <v>107</v>
      </c>
      <c r="B1541">
        <v>2017</v>
      </c>
      <c r="C1541" t="s">
        <v>205</v>
      </c>
      <c r="D1541" s="437" t="s">
        <v>44</v>
      </c>
      <c r="E1541" s="437">
        <v>4676</v>
      </c>
    </row>
    <row r="1542" spans="1:5" x14ac:dyDescent="0.25">
      <c r="A1542" t="s">
        <v>107</v>
      </c>
      <c r="B1542">
        <v>2017</v>
      </c>
      <c r="C1542" t="s">
        <v>205</v>
      </c>
      <c r="D1542" s="437" t="s">
        <v>397</v>
      </c>
      <c r="E1542" s="437">
        <v>744</v>
      </c>
    </row>
    <row r="1543" spans="1:5" x14ac:dyDescent="0.25">
      <c r="A1543" t="s">
        <v>107</v>
      </c>
      <c r="B1543">
        <v>2017</v>
      </c>
      <c r="C1543" t="s">
        <v>205</v>
      </c>
      <c r="D1543" s="437" t="s">
        <v>133</v>
      </c>
      <c r="E1543" s="437">
        <v>20332</v>
      </c>
    </row>
    <row r="1544" spans="1:5" x14ac:dyDescent="0.25">
      <c r="A1544" t="s">
        <v>107</v>
      </c>
      <c r="B1544">
        <v>2017</v>
      </c>
      <c r="C1544" t="s">
        <v>205</v>
      </c>
      <c r="D1544" s="437" t="s">
        <v>597</v>
      </c>
      <c r="E1544" s="437">
        <v>18758</v>
      </c>
    </row>
    <row r="1545" spans="1:5" x14ac:dyDescent="0.25">
      <c r="A1545" t="s">
        <v>107</v>
      </c>
      <c r="B1545">
        <v>2017</v>
      </c>
      <c r="C1545" t="s">
        <v>205</v>
      </c>
      <c r="D1545" s="437" t="s">
        <v>596</v>
      </c>
      <c r="E1545" s="437">
        <v>41015</v>
      </c>
    </row>
    <row r="1546" spans="1:5" x14ac:dyDescent="0.25">
      <c r="A1546" t="s">
        <v>107</v>
      </c>
      <c r="B1546">
        <v>2017</v>
      </c>
      <c r="C1546" t="s">
        <v>205</v>
      </c>
      <c r="D1546" s="437" t="s">
        <v>413</v>
      </c>
      <c r="E1546" s="437">
        <v>3123</v>
      </c>
    </row>
    <row r="1547" spans="1:5" x14ac:dyDescent="0.25">
      <c r="A1547" t="s">
        <v>108</v>
      </c>
      <c r="B1547">
        <v>2017</v>
      </c>
      <c r="C1547" t="s">
        <v>205</v>
      </c>
      <c r="D1547" s="437" t="s">
        <v>57</v>
      </c>
      <c r="E1547" s="437">
        <v>2782</v>
      </c>
    </row>
    <row r="1548" spans="1:5" x14ac:dyDescent="0.25">
      <c r="A1548" t="s">
        <v>108</v>
      </c>
      <c r="B1548">
        <v>2017</v>
      </c>
      <c r="C1548" t="s">
        <v>205</v>
      </c>
      <c r="D1548" s="437" t="s">
        <v>348</v>
      </c>
      <c r="E1548" s="437">
        <v>0</v>
      </c>
    </row>
    <row r="1549" spans="1:5" x14ac:dyDescent="0.25">
      <c r="A1549" t="s">
        <v>108</v>
      </c>
      <c r="B1549">
        <v>2017</v>
      </c>
      <c r="C1549" t="s">
        <v>205</v>
      </c>
      <c r="D1549" s="437" t="s">
        <v>349</v>
      </c>
      <c r="E1549" s="437">
        <v>2278</v>
      </c>
    </row>
    <row r="1550" spans="1:5" x14ac:dyDescent="0.25">
      <c r="A1550" t="s">
        <v>108</v>
      </c>
      <c r="B1550">
        <v>2017</v>
      </c>
      <c r="C1550" t="s">
        <v>205</v>
      </c>
      <c r="D1550" s="437" t="s">
        <v>595</v>
      </c>
      <c r="E1550" s="437">
        <v>1865</v>
      </c>
    </row>
    <row r="1551" spans="1:5" x14ac:dyDescent="0.25">
      <c r="A1551" t="s">
        <v>108</v>
      </c>
      <c r="B1551">
        <v>2017</v>
      </c>
      <c r="C1551" t="s">
        <v>205</v>
      </c>
      <c r="D1551" s="437" t="s">
        <v>352</v>
      </c>
      <c r="E1551" s="437">
        <v>2521</v>
      </c>
    </row>
    <row r="1552" spans="1:5" x14ac:dyDescent="0.25">
      <c r="A1552" t="s">
        <v>108</v>
      </c>
      <c r="B1552">
        <v>2017</v>
      </c>
      <c r="C1552" t="s">
        <v>205</v>
      </c>
      <c r="D1552" s="437" t="s">
        <v>43</v>
      </c>
      <c r="E1552" s="437">
        <v>1908</v>
      </c>
    </row>
    <row r="1553" spans="1:5" x14ac:dyDescent="0.25">
      <c r="A1553" t="s">
        <v>108</v>
      </c>
      <c r="B1553">
        <v>2017</v>
      </c>
      <c r="C1553" t="s">
        <v>205</v>
      </c>
      <c r="D1553" s="437" t="s">
        <v>42</v>
      </c>
      <c r="E1553" s="437">
        <v>0</v>
      </c>
    </row>
    <row r="1554" spans="1:5" x14ac:dyDescent="0.25">
      <c r="A1554" t="s">
        <v>108</v>
      </c>
      <c r="B1554">
        <v>2017</v>
      </c>
      <c r="C1554" t="s">
        <v>205</v>
      </c>
      <c r="D1554" s="437" t="s">
        <v>44</v>
      </c>
      <c r="E1554" s="437">
        <v>0</v>
      </c>
    </row>
    <row r="1555" spans="1:5" x14ac:dyDescent="0.25">
      <c r="A1555" t="s">
        <v>108</v>
      </c>
      <c r="B1555">
        <v>2017</v>
      </c>
      <c r="C1555" t="s">
        <v>205</v>
      </c>
      <c r="D1555" s="437" t="s">
        <v>397</v>
      </c>
      <c r="E1555" s="437">
        <v>1813</v>
      </c>
    </row>
    <row r="1556" spans="1:5" x14ac:dyDescent="0.25">
      <c r="A1556" t="s">
        <v>108</v>
      </c>
      <c r="B1556">
        <v>2017</v>
      </c>
      <c r="C1556" t="s">
        <v>205</v>
      </c>
      <c r="D1556" s="437" t="s">
        <v>133</v>
      </c>
      <c r="E1556" s="437">
        <v>3149</v>
      </c>
    </row>
    <row r="1557" spans="1:5" x14ac:dyDescent="0.25">
      <c r="A1557" t="s">
        <v>108</v>
      </c>
      <c r="B1557">
        <v>2017</v>
      </c>
      <c r="C1557" t="s">
        <v>205</v>
      </c>
      <c r="D1557" s="437" t="s">
        <v>597</v>
      </c>
      <c r="E1557" s="437">
        <v>5916</v>
      </c>
    </row>
    <row r="1558" spans="1:5" x14ac:dyDescent="0.25">
      <c r="A1558" t="s">
        <v>108</v>
      </c>
      <c r="B1558">
        <v>2017</v>
      </c>
      <c r="C1558" t="s">
        <v>205</v>
      </c>
      <c r="D1558" s="437" t="s">
        <v>596</v>
      </c>
      <c r="E1558" s="437">
        <v>14374</v>
      </c>
    </row>
    <row r="1559" spans="1:5" x14ac:dyDescent="0.25">
      <c r="A1559" t="s">
        <v>108</v>
      </c>
      <c r="B1559">
        <v>2017</v>
      </c>
      <c r="C1559" t="s">
        <v>205</v>
      </c>
      <c r="D1559" s="437" t="s">
        <v>413</v>
      </c>
      <c r="E1559" s="437">
        <v>414</v>
      </c>
    </row>
    <row r="1560" spans="1:5" x14ac:dyDescent="0.25">
      <c r="A1560" t="s">
        <v>109</v>
      </c>
      <c r="B1560">
        <v>2017</v>
      </c>
      <c r="C1560" t="s">
        <v>205</v>
      </c>
      <c r="D1560" s="437" t="s">
        <v>57</v>
      </c>
      <c r="E1560" s="437">
        <v>63130</v>
      </c>
    </row>
    <row r="1561" spans="1:5" x14ac:dyDescent="0.25">
      <c r="A1561" t="s">
        <v>109</v>
      </c>
      <c r="B1561">
        <v>2017</v>
      </c>
      <c r="C1561" t="s">
        <v>205</v>
      </c>
      <c r="D1561" s="437" t="s">
        <v>348</v>
      </c>
      <c r="E1561" s="437">
        <v>0</v>
      </c>
    </row>
    <row r="1562" spans="1:5" x14ac:dyDescent="0.25">
      <c r="A1562" t="s">
        <v>109</v>
      </c>
      <c r="B1562">
        <v>2017</v>
      </c>
      <c r="C1562" t="s">
        <v>205</v>
      </c>
      <c r="D1562" s="437" t="s">
        <v>349</v>
      </c>
      <c r="E1562" s="437">
        <v>2997</v>
      </c>
    </row>
    <row r="1563" spans="1:5" x14ac:dyDescent="0.25">
      <c r="A1563" t="s">
        <v>109</v>
      </c>
      <c r="B1563">
        <v>2017</v>
      </c>
      <c r="C1563" t="s">
        <v>205</v>
      </c>
      <c r="D1563" s="437" t="s">
        <v>595</v>
      </c>
      <c r="E1563" s="437">
        <v>11851</v>
      </c>
    </row>
    <row r="1564" spans="1:5" x14ac:dyDescent="0.25">
      <c r="A1564" t="s">
        <v>109</v>
      </c>
      <c r="B1564">
        <v>2017</v>
      </c>
      <c r="C1564" t="s">
        <v>205</v>
      </c>
      <c r="D1564" s="437" t="s">
        <v>352</v>
      </c>
      <c r="E1564" s="437">
        <v>4098</v>
      </c>
    </row>
    <row r="1565" spans="1:5" x14ac:dyDescent="0.25">
      <c r="A1565" t="s">
        <v>109</v>
      </c>
      <c r="B1565">
        <v>2017</v>
      </c>
      <c r="C1565" t="s">
        <v>205</v>
      </c>
      <c r="D1565" s="437" t="s">
        <v>43</v>
      </c>
      <c r="E1565" s="437">
        <v>13539</v>
      </c>
    </row>
    <row r="1566" spans="1:5" x14ac:dyDescent="0.25">
      <c r="A1566" t="s">
        <v>109</v>
      </c>
      <c r="B1566">
        <v>2017</v>
      </c>
      <c r="C1566" t="s">
        <v>205</v>
      </c>
      <c r="D1566" s="437" t="s">
        <v>42</v>
      </c>
      <c r="E1566" s="437">
        <v>0</v>
      </c>
    </row>
    <row r="1567" spans="1:5" x14ac:dyDescent="0.25">
      <c r="A1567" t="s">
        <v>109</v>
      </c>
      <c r="B1567">
        <v>2017</v>
      </c>
      <c r="C1567" t="s">
        <v>205</v>
      </c>
      <c r="D1567" s="437" t="s">
        <v>44</v>
      </c>
      <c r="E1567" s="437">
        <v>7646</v>
      </c>
    </row>
    <row r="1568" spans="1:5" x14ac:dyDescent="0.25">
      <c r="A1568" t="s">
        <v>109</v>
      </c>
      <c r="B1568">
        <v>2017</v>
      </c>
      <c r="C1568" t="s">
        <v>205</v>
      </c>
      <c r="D1568" s="437" t="s">
        <v>397</v>
      </c>
      <c r="E1568" s="437">
        <v>1081</v>
      </c>
    </row>
    <row r="1569" spans="1:5" x14ac:dyDescent="0.25">
      <c r="A1569" t="s">
        <v>109</v>
      </c>
      <c r="B1569">
        <v>2017</v>
      </c>
      <c r="C1569" t="s">
        <v>205</v>
      </c>
      <c r="D1569" s="437" t="s">
        <v>133</v>
      </c>
      <c r="E1569" s="437">
        <v>23789</v>
      </c>
    </row>
    <row r="1570" spans="1:5" x14ac:dyDescent="0.25">
      <c r="A1570" t="s">
        <v>109</v>
      </c>
      <c r="B1570">
        <v>2017</v>
      </c>
      <c r="C1570" t="s">
        <v>205</v>
      </c>
      <c r="D1570" s="437" t="s">
        <v>597</v>
      </c>
      <c r="E1570" s="437">
        <v>30199</v>
      </c>
    </row>
    <row r="1571" spans="1:5" x14ac:dyDescent="0.25">
      <c r="A1571" t="s">
        <v>109</v>
      </c>
      <c r="B1571">
        <v>2017</v>
      </c>
      <c r="C1571" t="s">
        <v>205</v>
      </c>
      <c r="D1571" s="437" t="s">
        <v>596</v>
      </c>
      <c r="E1571" s="437">
        <v>94497</v>
      </c>
    </row>
    <row r="1572" spans="1:5" x14ac:dyDescent="0.25">
      <c r="A1572" t="s">
        <v>109</v>
      </c>
      <c r="B1572">
        <v>2017</v>
      </c>
      <c r="C1572" t="s">
        <v>205</v>
      </c>
      <c r="D1572" s="437" t="s">
        <v>413</v>
      </c>
      <c r="E1572" s="437">
        <v>2596</v>
      </c>
    </row>
    <row r="1573" spans="1:5" x14ac:dyDescent="0.25">
      <c r="A1573" t="s">
        <v>110</v>
      </c>
      <c r="B1573">
        <v>2017</v>
      </c>
      <c r="C1573" t="s">
        <v>205</v>
      </c>
      <c r="D1573" s="437" t="s">
        <v>57</v>
      </c>
      <c r="E1573" s="437">
        <v>9248</v>
      </c>
    </row>
    <row r="1574" spans="1:5" x14ac:dyDescent="0.25">
      <c r="A1574" t="s">
        <v>110</v>
      </c>
      <c r="B1574">
        <v>2017</v>
      </c>
      <c r="C1574" t="s">
        <v>205</v>
      </c>
      <c r="D1574" s="437" t="s">
        <v>348</v>
      </c>
      <c r="E1574" s="437">
        <v>0</v>
      </c>
    </row>
    <row r="1575" spans="1:5" x14ac:dyDescent="0.25">
      <c r="A1575" t="s">
        <v>110</v>
      </c>
      <c r="B1575">
        <v>2017</v>
      </c>
      <c r="C1575" t="s">
        <v>205</v>
      </c>
      <c r="D1575" s="437" t="s">
        <v>349</v>
      </c>
      <c r="E1575" s="437">
        <v>14145</v>
      </c>
    </row>
    <row r="1576" spans="1:5" x14ac:dyDescent="0.25">
      <c r="A1576" t="s">
        <v>110</v>
      </c>
      <c r="B1576">
        <v>2017</v>
      </c>
      <c r="C1576" t="s">
        <v>205</v>
      </c>
      <c r="D1576" s="437" t="s">
        <v>595</v>
      </c>
      <c r="E1576" s="437">
        <v>31124</v>
      </c>
    </row>
    <row r="1577" spans="1:5" x14ac:dyDescent="0.25">
      <c r="A1577" t="s">
        <v>110</v>
      </c>
      <c r="B1577">
        <v>2017</v>
      </c>
      <c r="C1577" t="s">
        <v>205</v>
      </c>
      <c r="D1577" s="437" t="s">
        <v>352</v>
      </c>
      <c r="E1577" s="437">
        <v>875</v>
      </c>
    </row>
    <row r="1578" spans="1:5" x14ac:dyDescent="0.25">
      <c r="A1578" t="s">
        <v>110</v>
      </c>
      <c r="B1578">
        <v>2017</v>
      </c>
      <c r="C1578" t="s">
        <v>205</v>
      </c>
      <c r="D1578" s="437" t="s">
        <v>43</v>
      </c>
      <c r="E1578" s="437">
        <v>12950</v>
      </c>
    </row>
    <row r="1579" spans="1:5" x14ac:dyDescent="0.25">
      <c r="A1579" t="s">
        <v>110</v>
      </c>
      <c r="B1579">
        <v>2017</v>
      </c>
      <c r="C1579" t="s">
        <v>205</v>
      </c>
      <c r="D1579" s="437" t="s">
        <v>42</v>
      </c>
      <c r="E1579" s="437">
        <v>5400</v>
      </c>
    </row>
    <row r="1580" spans="1:5" x14ac:dyDescent="0.25">
      <c r="A1580" t="s">
        <v>110</v>
      </c>
      <c r="B1580">
        <v>2017</v>
      </c>
      <c r="C1580" t="s">
        <v>205</v>
      </c>
      <c r="D1580" s="437" t="s">
        <v>44</v>
      </c>
      <c r="E1580" s="437">
        <v>12900</v>
      </c>
    </row>
    <row r="1581" spans="1:5" x14ac:dyDescent="0.25">
      <c r="A1581" t="s">
        <v>110</v>
      </c>
      <c r="B1581">
        <v>2017</v>
      </c>
      <c r="C1581" t="s">
        <v>205</v>
      </c>
      <c r="D1581" s="437" t="s">
        <v>397</v>
      </c>
      <c r="E1581" s="437">
        <v>2098</v>
      </c>
    </row>
    <row r="1582" spans="1:5" x14ac:dyDescent="0.25">
      <c r="A1582" t="s">
        <v>110</v>
      </c>
      <c r="B1582">
        <v>2017</v>
      </c>
      <c r="C1582" t="s">
        <v>205</v>
      </c>
      <c r="D1582" s="437" t="s">
        <v>133</v>
      </c>
      <c r="E1582" s="437">
        <v>3821</v>
      </c>
    </row>
    <row r="1583" spans="1:5" x14ac:dyDescent="0.25">
      <c r="A1583" t="s">
        <v>110</v>
      </c>
      <c r="B1583">
        <v>2017</v>
      </c>
      <c r="C1583" t="s">
        <v>205</v>
      </c>
      <c r="D1583" s="437" t="s">
        <v>597</v>
      </c>
      <c r="E1583" s="437">
        <v>21296</v>
      </c>
    </row>
    <row r="1584" spans="1:5" x14ac:dyDescent="0.25">
      <c r="A1584" t="s">
        <v>110</v>
      </c>
      <c r="B1584">
        <v>2017</v>
      </c>
      <c r="C1584" t="s">
        <v>205</v>
      </c>
      <c r="D1584" s="437" t="s">
        <v>596</v>
      </c>
      <c r="E1584" s="437">
        <v>63626</v>
      </c>
    </row>
    <row r="1585" spans="1:5" x14ac:dyDescent="0.25">
      <c r="A1585" t="s">
        <v>110</v>
      </c>
      <c r="B1585">
        <v>2017</v>
      </c>
      <c r="C1585" t="s">
        <v>205</v>
      </c>
      <c r="D1585" s="437" t="s">
        <v>413</v>
      </c>
      <c r="E1585" s="437">
        <v>1</v>
      </c>
    </row>
    <row r="1586" spans="1:5" x14ac:dyDescent="0.25">
      <c r="A1586" t="s">
        <v>111</v>
      </c>
      <c r="B1586">
        <v>2017</v>
      </c>
      <c r="C1586" t="s">
        <v>205</v>
      </c>
      <c r="D1586" s="437" t="s">
        <v>57</v>
      </c>
      <c r="E1586" s="437">
        <v>0</v>
      </c>
    </row>
    <row r="1587" spans="1:5" x14ac:dyDescent="0.25">
      <c r="A1587" t="s">
        <v>111</v>
      </c>
      <c r="B1587">
        <v>2017</v>
      </c>
      <c r="C1587" t="s">
        <v>205</v>
      </c>
      <c r="D1587" s="437" t="s">
        <v>348</v>
      </c>
      <c r="E1587" s="437">
        <v>3904</v>
      </c>
    </row>
    <row r="1588" spans="1:5" x14ac:dyDescent="0.25">
      <c r="A1588" t="s">
        <v>111</v>
      </c>
      <c r="B1588">
        <v>2017</v>
      </c>
      <c r="C1588" t="s">
        <v>205</v>
      </c>
      <c r="D1588" s="437" t="s">
        <v>349</v>
      </c>
      <c r="E1588" s="437">
        <v>0</v>
      </c>
    </row>
    <row r="1589" spans="1:5" x14ac:dyDescent="0.25">
      <c r="A1589" t="s">
        <v>111</v>
      </c>
      <c r="B1589">
        <v>2017</v>
      </c>
      <c r="C1589" t="s">
        <v>205</v>
      </c>
      <c r="D1589" s="437" t="s">
        <v>595</v>
      </c>
      <c r="E1589" s="437">
        <v>4269</v>
      </c>
    </row>
    <row r="1590" spans="1:5" x14ac:dyDescent="0.25">
      <c r="A1590" t="s">
        <v>111</v>
      </c>
      <c r="B1590">
        <v>2017</v>
      </c>
      <c r="C1590" t="s">
        <v>205</v>
      </c>
      <c r="D1590" s="437" t="s">
        <v>352</v>
      </c>
      <c r="E1590" s="437">
        <v>0</v>
      </c>
    </row>
    <row r="1591" spans="1:5" x14ac:dyDescent="0.25">
      <c r="A1591" t="s">
        <v>111</v>
      </c>
      <c r="B1591">
        <v>2017</v>
      </c>
      <c r="C1591" t="s">
        <v>205</v>
      </c>
      <c r="D1591" s="437" t="s">
        <v>43</v>
      </c>
      <c r="E1591" s="437">
        <v>2082</v>
      </c>
    </row>
    <row r="1592" spans="1:5" x14ac:dyDescent="0.25">
      <c r="A1592" t="s">
        <v>111</v>
      </c>
      <c r="B1592">
        <v>2017</v>
      </c>
      <c r="C1592" t="s">
        <v>205</v>
      </c>
      <c r="D1592" s="437" t="s">
        <v>42</v>
      </c>
      <c r="E1592" s="437">
        <v>0</v>
      </c>
    </row>
    <row r="1593" spans="1:5" x14ac:dyDescent="0.25">
      <c r="A1593" t="s">
        <v>111</v>
      </c>
      <c r="B1593">
        <v>2017</v>
      </c>
      <c r="C1593" t="s">
        <v>205</v>
      </c>
      <c r="D1593" s="437" t="s">
        <v>44</v>
      </c>
      <c r="E1593" s="437">
        <v>2448</v>
      </c>
    </row>
    <row r="1594" spans="1:5" x14ac:dyDescent="0.25">
      <c r="A1594" t="s">
        <v>111</v>
      </c>
      <c r="B1594">
        <v>2017</v>
      </c>
      <c r="C1594" t="s">
        <v>205</v>
      </c>
      <c r="D1594" s="437" t="s">
        <v>397</v>
      </c>
      <c r="E1594" s="437">
        <v>60</v>
      </c>
    </row>
    <row r="1595" spans="1:5" x14ac:dyDescent="0.25">
      <c r="A1595" t="s">
        <v>111</v>
      </c>
      <c r="B1595">
        <v>2017</v>
      </c>
      <c r="C1595" t="s">
        <v>205</v>
      </c>
      <c r="D1595" s="437" t="s">
        <v>133</v>
      </c>
      <c r="E1595" s="437">
        <v>3399</v>
      </c>
    </row>
    <row r="1596" spans="1:5" x14ac:dyDescent="0.25">
      <c r="A1596" t="s">
        <v>111</v>
      </c>
      <c r="B1596">
        <v>2017</v>
      </c>
      <c r="C1596" t="s">
        <v>205</v>
      </c>
      <c r="D1596" s="437" t="s">
        <v>597</v>
      </c>
      <c r="E1596" s="437">
        <v>3404</v>
      </c>
    </row>
    <row r="1597" spans="1:5" x14ac:dyDescent="0.25">
      <c r="A1597" t="s">
        <v>111</v>
      </c>
      <c r="B1597">
        <v>2017</v>
      </c>
      <c r="C1597" t="s">
        <v>205</v>
      </c>
      <c r="D1597" s="437" t="s">
        <v>596</v>
      </c>
      <c r="E1597" s="437">
        <v>9674</v>
      </c>
    </row>
    <row r="1598" spans="1:5" x14ac:dyDescent="0.25">
      <c r="A1598" t="s">
        <v>111</v>
      </c>
      <c r="B1598">
        <v>2017</v>
      </c>
      <c r="C1598" t="s">
        <v>205</v>
      </c>
      <c r="D1598" s="437" t="s">
        <v>413</v>
      </c>
      <c r="E1598" s="437">
        <v>230</v>
      </c>
    </row>
    <row r="1599" spans="1:5" x14ac:dyDescent="0.25">
      <c r="A1599" t="s">
        <v>112</v>
      </c>
      <c r="B1599">
        <v>2017</v>
      </c>
      <c r="C1599" t="s">
        <v>205</v>
      </c>
      <c r="D1599" s="437" t="s">
        <v>57</v>
      </c>
      <c r="E1599" s="437">
        <v>0</v>
      </c>
    </row>
    <row r="1600" spans="1:5" x14ac:dyDescent="0.25">
      <c r="A1600" t="s">
        <v>112</v>
      </c>
      <c r="B1600">
        <v>2017</v>
      </c>
      <c r="C1600" t="s">
        <v>205</v>
      </c>
      <c r="D1600" s="437" t="s">
        <v>348</v>
      </c>
      <c r="E1600" s="437">
        <v>0</v>
      </c>
    </row>
    <row r="1601" spans="1:5" x14ac:dyDescent="0.25">
      <c r="A1601" t="s">
        <v>112</v>
      </c>
      <c r="B1601">
        <v>2017</v>
      </c>
      <c r="C1601" t="s">
        <v>205</v>
      </c>
      <c r="D1601" s="437" t="s">
        <v>349</v>
      </c>
      <c r="E1601" s="437">
        <v>325</v>
      </c>
    </row>
    <row r="1602" spans="1:5" x14ac:dyDescent="0.25">
      <c r="A1602" t="s">
        <v>112</v>
      </c>
      <c r="B1602">
        <v>2017</v>
      </c>
      <c r="C1602" t="s">
        <v>205</v>
      </c>
      <c r="D1602" s="437" t="s">
        <v>595</v>
      </c>
      <c r="E1602" s="437">
        <v>743</v>
      </c>
    </row>
    <row r="1603" spans="1:5" x14ac:dyDescent="0.25">
      <c r="A1603" t="s">
        <v>112</v>
      </c>
      <c r="B1603">
        <v>2017</v>
      </c>
      <c r="C1603" t="s">
        <v>205</v>
      </c>
      <c r="D1603" s="437" t="s">
        <v>352</v>
      </c>
      <c r="E1603" s="437">
        <v>950</v>
      </c>
    </row>
    <row r="1604" spans="1:5" x14ac:dyDescent="0.25">
      <c r="A1604" t="s">
        <v>112</v>
      </c>
      <c r="B1604">
        <v>2017</v>
      </c>
      <c r="C1604" t="s">
        <v>205</v>
      </c>
      <c r="D1604" s="437" t="s">
        <v>43</v>
      </c>
      <c r="E1604" s="437">
        <v>537</v>
      </c>
    </row>
    <row r="1605" spans="1:5" x14ac:dyDescent="0.25">
      <c r="A1605" t="s">
        <v>112</v>
      </c>
      <c r="B1605">
        <v>2017</v>
      </c>
      <c r="C1605" t="s">
        <v>205</v>
      </c>
      <c r="D1605" s="437" t="s">
        <v>42</v>
      </c>
      <c r="E1605" s="437">
        <v>0</v>
      </c>
    </row>
    <row r="1606" spans="1:5" x14ac:dyDescent="0.25">
      <c r="A1606" t="s">
        <v>112</v>
      </c>
      <c r="B1606">
        <v>2017</v>
      </c>
      <c r="C1606" t="s">
        <v>205</v>
      </c>
      <c r="D1606" s="437" t="s">
        <v>44</v>
      </c>
      <c r="E1606" s="437">
        <v>51</v>
      </c>
    </row>
    <row r="1607" spans="1:5" x14ac:dyDescent="0.25">
      <c r="A1607" t="s">
        <v>112</v>
      </c>
      <c r="B1607">
        <v>2017</v>
      </c>
      <c r="C1607" t="s">
        <v>205</v>
      </c>
      <c r="D1607" s="437" t="s">
        <v>397</v>
      </c>
      <c r="E1607" s="437">
        <v>72</v>
      </c>
    </row>
    <row r="1608" spans="1:5" x14ac:dyDescent="0.25">
      <c r="A1608" t="s">
        <v>112</v>
      </c>
      <c r="B1608">
        <v>2017</v>
      </c>
      <c r="C1608" t="s">
        <v>205</v>
      </c>
      <c r="D1608" s="437" t="s">
        <v>133</v>
      </c>
      <c r="E1608" s="437">
        <v>2090</v>
      </c>
    </row>
    <row r="1609" spans="1:5" x14ac:dyDescent="0.25">
      <c r="A1609" t="s">
        <v>112</v>
      </c>
      <c r="B1609">
        <v>2017</v>
      </c>
      <c r="C1609" t="s">
        <v>205</v>
      </c>
      <c r="D1609" s="437" t="s">
        <v>597</v>
      </c>
      <c r="E1609" s="437">
        <v>1305</v>
      </c>
    </row>
    <row r="1610" spans="1:5" x14ac:dyDescent="0.25">
      <c r="A1610" t="s">
        <v>112</v>
      </c>
      <c r="B1610">
        <v>2017</v>
      </c>
      <c r="C1610" t="s">
        <v>205</v>
      </c>
      <c r="D1610" s="437" t="s">
        <v>596</v>
      </c>
      <c r="E1610" s="437">
        <v>3079</v>
      </c>
    </row>
    <row r="1611" spans="1:5" x14ac:dyDescent="0.25">
      <c r="A1611" t="s">
        <v>112</v>
      </c>
      <c r="B1611">
        <v>2017</v>
      </c>
      <c r="C1611" t="s">
        <v>205</v>
      </c>
      <c r="D1611" s="437" t="s">
        <v>413</v>
      </c>
      <c r="E1611" s="437">
        <v>10</v>
      </c>
    </row>
    <row r="1612" spans="1:5" x14ac:dyDescent="0.25">
      <c r="A1612" t="s">
        <v>113</v>
      </c>
      <c r="B1612">
        <v>2017</v>
      </c>
      <c r="C1612" t="s">
        <v>205</v>
      </c>
      <c r="D1612" s="437" t="s">
        <v>57</v>
      </c>
      <c r="E1612" s="437">
        <v>1887</v>
      </c>
    </row>
    <row r="1613" spans="1:5" x14ac:dyDescent="0.25">
      <c r="A1613" t="s">
        <v>113</v>
      </c>
      <c r="B1613">
        <v>2017</v>
      </c>
      <c r="C1613" t="s">
        <v>205</v>
      </c>
      <c r="D1613" s="437" t="s">
        <v>348</v>
      </c>
      <c r="E1613" s="437">
        <v>1049</v>
      </c>
    </row>
    <row r="1614" spans="1:5" x14ac:dyDescent="0.25">
      <c r="A1614" t="s">
        <v>113</v>
      </c>
      <c r="B1614">
        <v>2017</v>
      </c>
      <c r="C1614" t="s">
        <v>205</v>
      </c>
      <c r="D1614" s="437" t="s">
        <v>349</v>
      </c>
      <c r="E1614" s="437">
        <v>292</v>
      </c>
    </row>
    <row r="1615" spans="1:5" x14ac:dyDescent="0.25">
      <c r="A1615" t="s">
        <v>113</v>
      </c>
      <c r="B1615">
        <v>2017</v>
      </c>
      <c r="C1615" t="s">
        <v>205</v>
      </c>
      <c r="D1615" s="437" t="s">
        <v>595</v>
      </c>
      <c r="E1615" s="437">
        <v>4120</v>
      </c>
    </row>
    <row r="1616" spans="1:5" x14ac:dyDescent="0.25">
      <c r="A1616" t="s">
        <v>113</v>
      </c>
      <c r="B1616">
        <v>2017</v>
      </c>
      <c r="C1616" t="s">
        <v>205</v>
      </c>
      <c r="D1616" s="437" t="s">
        <v>352</v>
      </c>
      <c r="E1616" s="437">
        <v>410</v>
      </c>
    </row>
    <row r="1617" spans="1:5" x14ac:dyDescent="0.25">
      <c r="A1617" t="s">
        <v>113</v>
      </c>
      <c r="B1617">
        <v>2017</v>
      </c>
      <c r="C1617" t="s">
        <v>205</v>
      </c>
      <c r="D1617" s="437" t="s">
        <v>43</v>
      </c>
      <c r="E1617" s="437">
        <v>323</v>
      </c>
    </row>
    <row r="1618" spans="1:5" x14ac:dyDescent="0.25">
      <c r="A1618" t="s">
        <v>113</v>
      </c>
      <c r="B1618">
        <v>2017</v>
      </c>
      <c r="C1618" t="s">
        <v>205</v>
      </c>
      <c r="D1618" s="437" t="s">
        <v>42</v>
      </c>
      <c r="E1618" s="437">
        <v>0</v>
      </c>
    </row>
    <row r="1619" spans="1:5" x14ac:dyDescent="0.25">
      <c r="A1619" t="s">
        <v>113</v>
      </c>
      <c r="B1619">
        <v>2017</v>
      </c>
      <c r="C1619" t="s">
        <v>205</v>
      </c>
      <c r="D1619" s="437" t="s">
        <v>44</v>
      </c>
      <c r="E1619" s="437">
        <v>94</v>
      </c>
    </row>
    <row r="1620" spans="1:5" x14ac:dyDescent="0.25">
      <c r="A1620" t="s">
        <v>113</v>
      </c>
      <c r="B1620">
        <v>2017</v>
      </c>
      <c r="C1620" t="s">
        <v>205</v>
      </c>
      <c r="D1620" s="437" t="s">
        <v>397</v>
      </c>
      <c r="E1620" s="437">
        <v>310</v>
      </c>
    </row>
    <row r="1621" spans="1:5" x14ac:dyDescent="0.25">
      <c r="A1621" t="s">
        <v>113</v>
      </c>
      <c r="B1621">
        <v>2017</v>
      </c>
      <c r="C1621" t="s">
        <v>205</v>
      </c>
      <c r="D1621" s="437" t="s">
        <v>133</v>
      </c>
      <c r="E1621" s="437">
        <v>56</v>
      </c>
    </row>
    <row r="1622" spans="1:5" x14ac:dyDescent="0.25">
      <c r="A1622" t="s">
        <v>113</v>
      </c>
      <c r="B1622">
        <v>2017</v>
      </c>
      <c r="C1622" t="s">
        <v>205</v>
      </c>
      <c r="D1622" s="437" t="s">
        <v>597</v>
      </c>
      <c r="E1622" s="437">
        <v>3129</v>
      </c>
    </row>
    <row r="1623" spans="1:5" x14ac:dyDescent="0.25">
      <c r="A1623" t="s">
        <v>113</v>
      </c>
      <c r="B1623">
        <v>2017</v>
      </c>
      <c r="C1623" t="s">
        <v>205</v>
      </c>
      <c r="D1623" s="437" t="s">
        <v>596</v>
      </c>
      <c r="E1623" s="437">
        <v>6483</v>
      </c>
    </row>
    <row r="1624" spans="1:5" x14ac:dyDescent="0.25">
      <c r="A1624" t="s">
        <v>113</v>
      </c>
      <c r="B1624">
        <v>2017</v>
      </c>
      <c r="C1624" t="s">
        <v>205</v>
      </c>
      <c r="D1624" s="437" t="s">
        <v>413</v>
      </c>
      <c r="E1624" s="437">
        <v>28</v>
      </c>
    </row>
    <row r="1625" spans="1:5" x14ac:dyDescent="0.25">
      <c r="A1625" t="s">
        <v>114</v>
      </c>
      <c r="B1625">
        <v>2017</v>
      </c>
      <c r="C1625" t="s">
        <v>205</v>
      </c>
      <c r="D1625" s="437" t="s">
        <v>57</v>
      </c>
      <c r="E1625" s="437">
        <v>0</v>
      </c>
    </row>
    <row r="1626" spans="1:5" x14ac:dyDescent="0.25">
      <c r="A1626" t="s">
        <v>114</v>
      </c>
      <c r="B1626">
        <v>2017</v>
      </c>
      <c r="C1626" t="s">
        <v>205</v>
      </c>
      <c r="D1626" s="437" t="s">
        <v>348</v>
      </c>
      <c r="E1626" s="437">
        <v>0</v>
      </c>
    </row>
    <row r="1627" spans="1:5" x14ac:dyDescent="0.25">
      <c r="A1627" t="s">
        <v>114</v>
      </c>
      <c r="B1627">
        <v>2017</v>
      </c>
      <c r="C1627" t="s">
        <v>205</v>
      </c>
      <c r="D1627" s="437" t="s">
        <v>349</v>
      </c>
      <c r="E1627" s="437">
        <v>855</v>
      </c>
    </row>
    <row r="1628" spans="1:5" x14ac:dyDescent="0.25">
      <c r="A1628" t="s">
        <v>114</v>
      </c>
      <c r="B1628">
        <v>2017</v>
      </c>
      <c r="C1628" t="s">
        <v>205</v>
      </c>
      <c r="D1628" s="437" t="s">
        <v>595</v>
      </c>
      <c r="E1628" s="437">
        <v>4215</v>
      </c>
    </row>
    <row r="1629" spans="1:5" x14ac:dyDescent="0.25">
      <c r="A1629" t="s">
        <v>114</v>
      </c>
      <c r="B1629">
        <v>2017</v>
      </c>
      <c r="C1629" t="s">
        <v>205</v>
      </c>
      <c r="D1629" s="437" t="s">
        <v>352</v>
      </c>
      <c r="E1629" s="437">
        <v>1144</v>
      </c>
    </row>
    <row r="1630" spans="1:5" x14ac:dyDescent="0.25">
      <c r="A1630" t="s">
        <v>114</v>
      </c>
      <c r="B1630">
        <v>2017</v>
      </c>
      <c r="C1630" t="s">
        <v>205</v>
      </c>
      <c r="D1630" s="437" t="s">
        <v>43</v>
      </c>
      <c r="E1630" s="437">
        <v>3080</v>
      </c>
    </row>
    <row r="1631" spans="1:5" x14ac:dyDescent="0.25">
      <c r="A1631" t="s">
        <v>114</v>
      </c>
      <c r="B1631">
        <v>2017</v>
      </c>
      <c r="C1631" t="s">
        <v>205</v>
      </c>
      <c r="D1631" s="437" t="s">
        <v>42</v>
      </c>
      <c r="E1631" s="437">
        <v>0</v>
      </c>
    </row>
    <row r="1632" spans="1:5" x14ac:dyDescent="0.25">
      <c r="A1632" t="s">
        <v>114</v>
      </c>
      <c r="B1632">
        <v>2017</v>
      </c>
      <c r="C1632" t="s">
        <v>205</v>
      </c>
      <c r="D1632" s="437" t="s">
        <v>44</v>
      </c>
      <c r="E1632" s="437">
        <v>0</v>
      </c>
    </row>
    <row r="1633" spans="1:5" x14ac:dyDescent="0.25">
      <c r="A1633" t="s">
        <v>114</v>
      </c>
      <c r="B1633">
        <v>2017</v>
      </c>
      <c r="C1633" t="s">
        <v>205</v>
      </c>
      <c r="D1633" s="437" t="s">
        <v>397</v>
      </c>
      <c r="E1633" s="437">
        <v>0</v>
      </c>
    </row>
    <row r="1634" spans="1:5" x14ac:dyDescent="0.25">
      <c r="A1634" t="s">
        <v>114</v>
      </c>
      <c r="B1634">
        <v>2017</v>
      </c>
      <c r="C1634" t="s">
        <v>205</v>
      </c>
      <c r="D1634" s="437" t="s">
        <v>133</v>
      </c>
      <c r="E1634" s="437">
        <v>530</v>
      </c>
    </row>
    <row r="1635" spans="1:5" x14ac:dyDescent="0.25">
      <c r="A1635" t="s">
        <v>114</v>
      </c>
      <c r="B1635">
        <v>2017</v>
      </c>
      <c r="C1635" t="s">
        <v>205</v>
      </c>
      <c r="D1635" s="437" t="s">
        <v>597</v>
      </c>
      <c r="E1635" s="437">
        <v>1938</v>
      </c>
    </row>
    <row r="1636" spans="1:5" x14ac:dyDescent="0.25">
      <c r="A1636" t="s">
        <v>114</v>
      </c>
      <c r="B1636">
        <v>2017</v>
      </c>
      <c r="C1636" t="s">
        <v>205</v>
      </c>
      <c r="D1636" s="437" t="s">
        <v>596</v>
      </c>
      <c r="E1636" s="437">
        <v>4907</v>
      </c>
    </row>
    <row r="1637" spans="1:5" x14ac:dyDescent="0.25">
      <c r="A1637" t="s">
        <v>114</v>
      </c>
      <c r="B1637">
        <v>2017</v>
      </c>
      <c r="C1637" t="s">
        <v>205</v>
      </c>
      <c r="D1637" s="437" t="s">
        <v>413</v>
      </c>
      <c r="E1637" s="437">
        <v>687</v>
      </c>
    </row>
    <row r="1638" spans="1:5" x14ac:dyDescent="0.25">
      <c r="A1638" t="s">
        <v>200</v>
      </c>
      <c r="B1638">
        <v>2017</v>
      </c>
      <c r="C1638" t="s">
        <v>205</v>
      </c>
      <c r="D1638" s="437" t="s">
        <v>57</v>
      </c>
      <c r="E1638" s="437">
        <v>0</v>
      </c>
    </row>
    <row r="1639" spans="1:5" x14ac:dyDescent="0.25">
      <c r="A1639" t="s">
        <v>200</v>
      </c>
      <c r="B1639">
        <v>2017</v>
      </c>
      <c r="C1639" t="s">
        <v>205</v>
      </c>
      <c r="D1639" s="437" t="s">
        <v>348</v>
      </c>
      <c r="E1639" s="437">
        <v>0</v>
      </c>
    </row>
    <row r="1640" spans="1:5" x14ac:dyDescent="0.25">
      <c r="A1640" t="s">
        <v>200</v>
      </c>
      <c r="B1640">
        <v>2017</v>
      </c>
      <c r="C1640" t="s">
        <v>205</v>
      </c>
      <c r="D1640" s="437" t="s">
        <v>349</v>
      </c>
      <c r="E1640" s="437">
        <v>0</v>
      </c>
    </row>
    <row r="1641" spans="1:5" x14ac:dyDescent="0.25">
      <c r="A1641" t="s">
        <v>200</v>
      </c>
      <c r="B1641">
        <v>2017</v>
      </c>
      <c r="C1641" t="s">
        <v>205</v>
      </c>
      <c r="D1641" s="437" t="s">
        <v>595</v>
      </c>
      <c r="E1641" s="437">
        <v>0</v>
      </c>
    </row>
    <row r="1642" spans="1:5" x14ac:dyDescent="0.25">
      <c r="A1642" t="s">
        <v>200</v>
      </c>
      <c r="B1642">
        <v>2017</v>
      </c>
      <c r="C1642" t="s">
        <v>205</v>
      </c>
      <c r="D1642" s="437" t="s">
        <v>352</v>
      </c>
      <c r="E1642" s="437">
        <v>11</v>
      </c>
    </row>
    <row r="1643" spans="1:5" x14ac:dyDescent="0.25">
      <c r="A1643" t="s">
        <v>200</v>
      </c>
      <c r="B1643">
        <v>2017</v>
      </c>
      <c r="C1643" t="s">
        <v>205</v>
      </c>
      <c r="D1643" s="437" t="s">
        <v>43</v>
      </c>
      <c r="E1643" s="437">
        <v>2</v>
      </c>
    </row>
    <row r="1644" spans="1:5" x14ac:dyDescent="0.25">
      <c r="A1644" t="s">
        <v>200</v>
      </c>
      <c r="B1644">
        <v>2017</v>
      </c>
      <c r="C1644" t="s">
        <v>205</v>
      </c>
      <c r="D1644" s="437" t="s">
        <v>42</v>
      </c>
      <c r="E1644" s="437">
        <v>0</v>
      </c>
    </row>
    <row r="1645" spans="1:5" x14ac:dyDescent="0.25">
      <c r="A1645" t="s">
        <v>200</v>
      </c>
      <c r="B1645">
        <v>2017</v>
      </c>
      <c r="C1645" t="s">
        <v>205</v>
      </c>
      <c r="D1645" s="437" t="s">
        <v>44</v>
      </c>
      <c r="E1645" s="437">
        <v>0</v>
      </c>
    </row>
    <row r="1646" spans="1:5" x14ac:dyDescent="0.25">
      <c r="A1646" t="s">
        <v>200</v>
      </c>
      <c r="B1646">
        <v>2017</v>
      </c>
      <c r="C1646" t="s">
        <v>205</v>
      </c>
      <c r="D1646" s="437" t="s">
        <v>397</v>
      </c>
      <c r="E1646" s="437">
        <v>0</v>
      </c>
    </row>
    <row r="1647" spans="1:5" x14ac:dyDescent="0.25">
      <c r="A1647" t="s">
        <v>200</v>
      </c>
      <c r="B1647">
        <v>2017</v>
      </c>
      <c r="C1647" t="s">
        <v>205</v>
      </c>
      <c r="D1647" s="437" t="s">
        <v>133</v>
      </c>
      <c r="E1647" s="437">
        <v>1973</v>
      </c>
    </row>
    <row r="1648" spans="1:5" x14ac:dyDescent="0.25">
      <c r="A1648" t="s">
        <v>200</v>
      </c>
      <c r="B1648">
        <v>2017</v>
      </c>
      <c r="C1648" t="s">
        <v>205</v>
      </c>
      <c r="D1648" s="437" t="s">
        <v>597</v>
      </c>
      <c r="E1648" s="437">
        <v>1622</v>
      </c>
    </row>
    <row r="1649" spans="1:5" x14ac:dyDescent="0.25">
      <c r="A1649" t="s">
        <v>200</v>
      </c>
      <c r="B1649">
        <v>2017</v>
      </c>
      <c r="C1649" t="s">
        <v>205</v>
      </c>
      <c r="D1649" s="437" t="s">
        <v>596</v>
      </c>
      <c r="E1649" s="437">
        <v>2360</v>
      </c>
    </row>
    <row r="1650" spans="1:5" x14ac:dyDescent="0.25">
      <c r="A1650" t="s">
        <v>200</v>
      </c>
      <c r="B1650">
        <v>2017</v>
      </c>
      <c r="C1650" t="s">
        <v>205</v>
      </c>
      <c r="D1650" s="437" t="s">
        <v>413</v>
      </c>
      <c r="E1650" s="437">
        <v>706</v>
      </c>
    </row>
    <row r="1651" spans="1:5" x14ac:dyDescent="0.25">
      <c r="A1651" t="s">
        <v>115</v>
      </c>
      <c r="B1651">
        <v>2017</v>
      </c>
      <c r="C1651" t="s">
        <v>205</v>
      </c>
      <c r="D1651" s="437" t="s">
        <v>57</v>
      </c>
      <c r="E1651" s="437">
        <v>0</v>
      </c>
    </row>
    <row r="1652" spans="1:5" x14ac:dyDescent="0.25">
      <c r="A1652" t="s">
        <v>115</v>
      </c>
      <c r="B1652">
        <v>2017</v>
      </c>
      <c r="C1652" t="s">
        <v>205</v>
      </c>
      <c r="D1652" s="437" t="s">
        <v>348</v>
      </c>
      <c r="E1652" s="437">
        <v>0</v>
      </c>
    </row>
    <row r="1653" spans="1:5" x14ac:dyDescent="0.25">
      <c r="A1653" t="s">
        <v>115</v>
      </c>
      <c r="B1653">
        <v>2017</v>
      </c>
      <c r="C1653" t="s">
        <v>205</v>
      </c>
      <c r="D1653" s="437" t="s">
        <v>349</v>
      </c>
      <c r="E1653" s="437">
        <v>7354</v>
      </c>
    </row>
    <row r="1654" spans="1:5" x14ac:dyDescent="0.25">
      <c r="A1654" t="s">
        <v>115</v>
      </c>
      <c r="B1654">
        <v>2017</v>
      </c>
      <c r="C1654" t="s">
        <v>205</v>
      </c>
      <c r="D1654" s="437" t="s">
        <v>595</v>
      </c>
      <c r="E1654" s="437">
        <v>46340</v>
      </c>
    </row>
    <row r="1655" spans="1:5" x14ac:dyDescent="0.25">
      <c r="A1655" t="s">
        <v>115</v>
      </c>
      <c r="B1655">
        <v>2017</v>
      </c>
      <c r="C1655" t="s">
        <v>205</v>
      </c>
      <c r="D1655" s="437" t="s">
        <v>352</v>
      </c>
      <c r="E1655" s="437">
        <v>15545</v>
      </c>
    </row>
    <row r="1656" spans="1:5" x14ac:dyDescent="0.25">
      <c r="A1656" t="s">
        <v>115</v>
      </c>
      <c r="B1656">
        <v>2017</v>
      </c>
      <c r="C1656" t="s">
        <v>205</v>
      </c>
      <c r="D1656" s="437" t="s">
        <v>43</v>
      </c>
      <c r="E1656" s="437">
        <v>9778</v>
      </c>
    </row>
    <row r="1657" spans="1:5" x14ac:dyDescent="0.25">
      <c r="A1657" t="s">
        <v>115</v>
      </c>
      <c r="B1657">
        <v>2017</v>
      </c>
      <c r="C1657" t="s">
        <v>205</v>
      </c>
      <c r="D1657" s="437" t="s">
        <v>42</v>
      </c>
      <c r="E1657" s="437">
        <v>0</v>
      </c>
    </row>
    <row r="1658" spans="1:5" x14ac:dyDescent="0.25">
      <c r="A1658" t="s">
        <v>115</v>
      </c>
      <c r="B1658">
        <v>2017</v>
      </c>
      <c r="C1658" t="s">
        <v>205</v>
      </c>
      <c r="D1658" s="437" t="s">
        <v>44</v>
      </c>
      <c r="E1658" s="437">
        <v>19662</v>
      </c>
    </row>
    <row r="1659" spans="1:5" x14ac:dyDescent="0.25">
      <c r="A1659" t="s">
        <v>115</v>
      </c>
      <c r="B1659">
        <v>2017</v>
      </c>
      <c r="C1659" t="s">
        <v>205</v>
      </c>
      <c r="D1659" s="437" t="s">
        <v>397</v>
      </c>
      <c r="E1659" s="437">
        <v>2962</v>
      </c>
    </row>
    <row r="1660" spans="1:5" x14ac:dyDescent="0.25">
      <c r="A1660" t="s">
        <v>115</v>
      </c>
      <c r="B1660">
        <v>2017</v>
      </c>
      <c r="C1660" t="s">
        <v>205</v>
      </c>
      <c r="D1660" s="437" t="s">
        <v>133</v>
      </c>
      <c r="E1660" s="437">
        <v>26625</v>
      </c>
    </row>
    <row r="1661" spans="1:5" x14ac:dyDescent="0.25">
      <c r="A1661" t="s">
        <v>115</v>
      </c>
      <c r="B1661">
        <v>2017</v>
      </c>
      <c r="C1661" t="s">
        <v>205</v>
      </c>
      <c r="D1661" s="437" t="s">
        <v>597</v>
      </c>
      <c r="E1661" s="437">
        <v>19045</v>
      </c>
    </row>
    <row r="1662" spans="1:5" x14ac:dyDescent="0.25">
      <c r="A1662" t="s">
        <v>115</v>
      </c>
      <c r="B1662">
        <v>2017</v>
      </c>
      <c r="C1662" t="s">
        <v>205</v>
      </c>
      <c r="D1662" s="437" t="s">
        <v>596</v>
      </c>
      <c r="E1662" s="437">
        <v>56584</v>
      </c>
    </row>
    <row r="1663" spans="1:5" x14ac:dyDescent="0.25">
      <c r="A1663" t="s">
        <v>115</v>
      </c>
      <c r="B1663">
        <v>2017</v>
      </c>
      <c r="C1663" t="s">
        <v>205</v>
      </c>
      <c r="D1663" s="437" t="s">
        <v>413</v>
      </c>
      <c r="E1663" s="437">
        <v>4866</v>
      </c>
    </row>
    <row r="1664" spans="1:5" x14ac:dyDescent="0.25">
      <c r="A1664" t="s">
        <v>116</v>
      </c>
      <c r="B1664">
        <v>2017</v>
      </c>
      <c r="C1664" t="s">
        <v>205</v>
      </c>
      <c r="D1664" s="437" t="s">
        <v>57</v>
      </c>
      <c r="E1664" s="437">
        <v>0</v>
      </c>
    </row>
    <row r="1665" spans="1:5" x14ac:dyDescent="0.25">
      <c r="A1665" t="s">
        <v>116</v>
      </c>
      <c r="B1665">
        <v>2017</v>
      </c>
      <c r="C1665" t="s">
        <v>205</v>
      </c>
      <c r="D1665" s="437" t="s">
        <v>348</v>
      </c>
      <c r="E1665" s="437">
        <v>0</v>
      </c>
    </row>
    <row r="1666" spans="1:5" x14ac:dyDescent="0.25">
      <c r="A1666" t="s">
        <v>116</v>
      </c>
      <c r="B1666">
        <v>2017</v>
      </c>
      <c r="C1666" t="s">
        <v>205</v>
      </c>
      <c r="D1666" s="437" t="s">
        <v>349</v>
      </c>
      <c r="E1666" s="437">
        <v>0</v>
      </c>
    </row>
    <row r="1667" spans="1:5" x14ac:dyDescent="0.25">
      <c r="A1667" t="s">
        <v>116</v>
      </c>
      <c r="B1667">
        <v>2017</v>
      </c>
      <c r="C1667" t="s">
        <v>205</v>
      </c>
      <c r="D1667" s="437" t="s">
        <v>595</v>
      </c>
      <c r="E1667" s="437">
        <v>560</v>
      </c>
    </row>
    <row r="1668" spans="1:5" x14ac:dyDescent="0.25">
      <c r="A1668" t="s">
        <v>116</v>
      </c>
      <c r="B1668">
        <v>2017</v>
      </c>
      <c r="C1668" t="s">
        <v>205</v>
      </c>
      <c r="D1668" s="437" t="s">
        <v>352</v>
      </c>
      <c r="E1668" s="437">
        <v>1192</v>
      </c>
    </row>
    <row r="1669" spans="1:5" x14ac:dyDescent="0.25">
      <c r="A1669" t="s">
        <v>116</v>
      </c>
      <c r="B1669">
        <v>2017</v>
      </c>
      <c r="C1669" t="s">
        <v>205</v>
      </c>
      <c r="D1669" s="437" t="s">
        <v>43</v>
      </c>
      <c r="E1669" s="437">
        <v>521</v>
      </c>
    </row>
    <row r="1670" spans="1:5" x14ac:dyDescent="0.25">
      <c r="A1670" t="s">
        <v>116</v>
      </c>
      <c r="B1670">
        <v>2017</v>
      </c>
      <c r="C1670" t="s">
        <v>205</v>
      </c>
      <c r="D1670" s="437" t="s">
        <v>42</v>
      </c>
      <c r="E1670" s="437">
        <v>0</v>
      </c>
    </row>
    <row r="1671" spans="1:5" x14ac:dyDescent="0.25">
      <c r="A1671" t="s">
        <v>116</v>
      </c>
      <c r="B1671">
        <v>2017</v>
      </c>
      <c r="C1671" t="s">
        <v>205</v>
      </c>
      <c r="D1671" s="437" t="s">
        <v>44</v>
      </c>
      <c r="E1671" s="437">
        <v>82</v>
      </c>
    </row>
    <row r="1672" spans="1:5" x14ac:dyDescent="0.25">
      <c r="A1672" t="s">
        <v>116</v>
      </c>
      <c r="B1672">
        <v>2017</v>
      </c>
      <c r="C1672" t="s">
        <v>205</v>
      </c>
      <c r="D1672" s="437" t="s">
        <v>397</v>
      </c>
      <c r="E1672" s="437">
        <v>91</v>
      </c>
    </row>
    <row r="1673" spans="1:5" x14ac:dyDescent="0.25">
      <c r="A1673" t="s">
        <v>116</v>
      </c>
      <c r="B1673">
        <v>2017</v>
      </c>
      <c r="C1673" t="s">
        <v>205</v>
      </c>
      <c r="D1673" s="437" t="s">
        <v>133</v>
      </c>
      <c r="E1673" s="437">
        <v>1027</v>
      </c>
    </row>
    <row r="1674" spans="1:5" x14ac:dyDescent="0.25">
      <c r="A1674" t="s">
        <v>116</v>
      </c>
      <c r="B1674">
        <v>2017</v>
      </c>
      <c r="C1674" t="s">
        <v>205</v>
      </c>
      <c r="D1674" s="437" t="s">
        <v>597</v>
      </c>
      <c r="E1674" s="437">
        <v>837</v>
      </c>
    </row>
    <row r="1675" spans="1:5" x14ac:dyDescent="0.25">
      <c r="A1675" t="s">
        <v>116</v>
      </c>
      <c r="B1675">
        <v>2017</v>
      </c>
      <c r="C1675" t="s">
        <v>205</v>
      </c>
      <c r="D1675" s="437" t="s">
        <v>596</v>
      </c>
      <c r="E1675" s="437">
        <v>1896</v>
      </c>
    </row>
    <row r="1676" spans="1:5" x14ac:dyDescent="0.25">
      <c r="A1676" t="s">
        <v>116</v>
      </c>
      <c r="B1676">
        <v>2017</v>
      </c>
      <c r="C1676" t="s">
        <v>205</v>
      </c>
      <c r="D1676" s="437" t="s">
        <v>413</v>
      </c>
      <c r="E1676" s="437">
        <v>35</v>
      </c>
    </row>
    <row r="1677" spans="1:5" x14ac:dyDescent="0.25">
      <c r="A1677" t="s">
        <v>117</v>
      </c>
      <c r="B1677">
        <v>2017</v>
      </c>
      <c r="C1677" t="s">
        <v>205</v>
      </c>
      <c r="D1677" s="437" t="s">
        <v>57</v>
      </c>
      <c r="E1677" s="437">
        <v>0</v>
      </c>
    </row>
    <row r="1678" spans="1:5" x14ac:dyDescent="0.25">
      <c r="A1678" t="s">
        <v>117</v>
      </c>
      <c r="B1678">
        <v>2017</v>
      </c>
      <c r="C1678" t="s">
        <v>205</v>
      </c>
      <c r="D1678" s="437" t="s">
        <v>348</v>
      </c>
      <c r="E1678" s="437">
        <v>0</v>
      </c>
    </row>
    <row r="1679" spans="1:5" x14ac:dyDescent="0.25">
      <c r="A1679" t="s">
        <v>117</v>
      </c>
      <c r="B1679">
        <v>2017</v>
      </c>
      <c r="C1679" t="s">
        <v>205</v>
      </c>
      <c r="D1679" s="437" t="s">
        <v>349</v>
      </c>
      <c r="E1679" s="437">
        <v>0</v>
      </c>
    </row>
    <row r="1680" spans="1:5" x14ac:dyDescent="0.25">
      <c r="A1680" t="s">
        <v>117</v>
      </c>
      <c r="B1680">
        <v>2017</v>
      </c>
      <c r="C1680" t="s">
        <v>205</v>
      </c>
      <c r="D1680" s="437" t="s">
        <v>595</v>
      </c>
      <c r="E1680" s="437">
        <v>136</v>
      </c>
    </row>
    <row r="1681" spans="1:5" x14ac:dyDescent="0.25">
      <c r="A1681" t="s">
        <v>117</v>
      </c>
      <c r="B1681">
        <v>2017</v>
      </c>
      <c r="C1681" t="s">
        <v>205</v>
      </c>
      <c r="D1681" s="437" t="s">
        <v>352</v>
      </c>
      <c r="E1681" s="437">
        <v>0</v>
      </c>
    </row>
    <row r="1682" spans="1:5" x14ac:dyDescent="0.25">
      <c r="A1682" t="s">
        <v>117</v>
      </c>
      <c r="B1682">
        <v>2017</v>
      </c>
      <c r="C1682" t="s">
        <v>205</v>
      </c>
      <c r="D1682" s="437" t="s">
        <v>43</v>
      </c>
      <c r="E1682" s="437">
        <v>120</v>
      </c>
    </row>
    <row r="1683" spans="1:5" x14ac:dyDescent="0.25">
      <c r="A1683" t="s">
        <v>117</v>
      </c>
      <c r="B1683">
        <v>2017</v>
      </c>
      <c r="C1683" t="s">
        <v>205</v>
      </c>
      <c r="D1683" s="437" t="s">
        <v>42</v>
      </c>
      <c r="E1683" s="437">
        <v>0</v>
      </c>
    </row>
    <row r="1684" spans="1:5" x14ac:dyDescent="0.25">
      <c r="A1684" t="s">
        <v>117</v>
      </c>
      <c r="B1684">
        <v>2017</v>
      </c>
      <c r="C1684" t="s">
        <v>205</v>
      </c>
      <c r="D1684" s="437" t="s">
        <v>44</v>
      </c>
      <c r="E1684" s="437">
        <v>128</v>
      </c>
    </row>
    <row r="1685" spans="1:5" x14ac:dyDescent="0.25">
      <c r="A1685" t="s">
        <v>117</v>
      </c>
      <c r="B1685">
        <v>2017</v>
      </c>
      <c r="C1685" t="s">
        <v>205</v>
      </c>
      <c r="D1685" s="437" t="s">
        <v>397</v>
      </c>
      <c r="E1685" s="437">
        <v>11</v>
      </c>
    </row>
    <row r="1686" spans="1:5" x14ac:dyDescent="0.25">
      <c r="A1686" t="s">
        <v>117</v>
      </c>
      <c r="B1686">
        <v>2017</v>
      </c>
      <c r="C1686" t="s">
        <v>205</v>
      </c>
      <c r="D1686" s="437" t="s">
        <v>133</v>
      </c>
      <c r="E1686" s="437">
        <v>1322</v>
      </c>
    </row>
    <row r="1687" spans="1:5" x14ac:dyDescent="0.25">
      <c r="A1687" t="s">
        <v>117</v>
      </c>
      <c r="B1687">
        <v>2017</v>
      </c>
      <c r="C1687" t="s">
        <v>205</v>
      </c>
      <c r="D1687" s="437" t="s">
        <v>597</v>
      </c>
      <c r="E1687" s="437">
        <v>368</v>
      </c>
    </row>
    <row r="1688" spans="1:5" x14ac:dyDescent="0.25">
      <c r="A1688" t="s">
        <v>117</v>
      </c>
      <c r="B1688">
        <v>2017</v>
      </c>
      <c r="C1688" t="s">
        <v>205</v>
      </c>
      <c r="D1688" s="437" t="s">
        <v>596</v>
      </c>
      <c r="E1688" s="437">
        <v>927</v>
      </c>
    </row>
    <row r="1689" spans="1:5" x14ac:dyDescent="0.25">
      <c r="A1689" t="s">
        <v>117</v>
      </c>
      <c r="B1689">
        <v>2017</v>
      </c>
      <c r="C1689" t="s">
        <v>205</v>
      </c>
      <c r="D1689" s="437" t="s">
        <v>413</v>
      </c>
      <c r="E1689" s="437">
        <v>21</v>
      </c>
    </row>
    <row r="1690" spans="1:5" x14ac:dyDescent="0.25">
      <c r="A1690" t="s">
        <v>201</v>
      </c>
      <c r="B1690">
        <v>2017</v>
      </c>
      <c r="C1690" t="s">
        <v>205</v>
      </c>
      <c r="D1690" s="437" t="s">
        <v>57</v>
      </c>
      <c r="E1690" s="437">
        <v>0</v>
      </c>
    </row>
    <row r="1691" spans="1:5" x14ac:dyDescent="0.25">
      <c r="A1691" t="s">
        <v>201</v>
      </c>
      <c r="B1691">
        <v>2017</v>
      </c>
      <c r="C1691" t="s">
        <v>205</v>
      </c>
      <c r="D1691" s="437" t="s">
        <v>348</v>
      </c>
      <c r="E1691" s="437">
        <v>0</v>
      </c>
    </row>
    <row r="1692" spans="1:5" x14ac:dyDescent="0.25">
      <c r="A1692" t="s">
        <v>201</v>
      </c>
      <c r="B1692">
        <v>2017</v>
      </c>
      <c r="C1692" t="s">
        <v>205</v>
      </c>
      <c r="D1692" s="437" t="s">
        <v>349</v>
      </c>
      <c r="E1692" s="437">
        <v>0</v>
      </c>
    </row>
    <row r="1693" spans="1:5" x14ac:dyDescent="0.25">
      <c r="A1693" t="s">
        <v>201</v>
      </c>
      <c r="B1693">
        <v>2017</v>
      </c>
      <c r="C1693" t="s">
        <v>205</v>
      </c>
      <c r="D1693" s="437" t="s">
        <v>595</v>
      </c>
      <c r="E1693" s="437">
        <v>1031</v>
      </c>
    </row>
    <row r="1694" spans="1:5" x14ac:dyDescent="0.25">
      <c r="A1694" t="s">
        <v>201</v>
      </c>
      <c r="B1694">
        <v>2017</v>
      </c>
      <c r="C1694" t="s">
        <v>205</v>
      </c>
      <c r="D1694" s="437" t="s">
        <v>352</v>
      </c>
      <c r="E1694" s="437">
        <v>109</v>
      </c>
    </row>
    <row r="1695" spans="1:5" x14ac:dyDescent="0.25">
      <c r="A1695" t="s">
        <v>201</v>
      </c>
      <c r="B1695">
        <v>2017</v>
      </c>
      <c r="C1695" t="s">
        <v>205</v>
      </c>
      <c r="D1695" s="437" t="s">
        <v>43</v>
      </c>
      <c r="E1695" s="437">
        <v>74</v>
      </c>
    </row>
    <row r="1696" spans="1:5" x14ac:dyDescent="0.25">
      <c r="A1696" t="s">
        <v>201</v>
      </c>
      <c r="B1696">
        <v>2017</v>
      </c>
      <c r="C1696" t="s">
        <v>205</v>
      </c>
      <c r="D1696" s="437" t="s">
        <v>42</v>
      </c>
      <c r="E1696" s="437">
        <v>0</v>
      </c>
    </row>
    <row r="1697" spans="1:5" x14ac:dyDescent="0.25">
      <c r="A1697" t="s">
        <v>201</v>
      </c>
      <c r="B1697">
        <v>2017</v>
      </c>
      <c r="C1697" t="s">
        <v>205</v>
      </c>
      <c r="D1697" s="437" t="s">
        <v>44</v>
      </c>
      <c r="E1697" s="437">
        <v>0</v>
      </c>
    </row>
    <row r="1698" spans="1:5" x14ac:dyDescent="0.25">
      <c r="A1698" t="s">
        <v>201</v>
      </c>
      <c r="B1698">
        <v>2017</v>
      </c>
      <c r="C1698" t="s">
        <v>205</v>
      </c>
      <c r="D1698" s="437" t="s">
        <v>397</v>
      </c>
      <c r="E1698" s="437">
        <v>143</v>
      </c>
    </row>
    <row r="1699" spans="1:5" x14ac:dyDescent="0.25">
      <c r="A1699" t="s">
        <v>201</v>
      </c>
      <c r="B1699">
        <v>2017</v>
      </c>
      <c r="C1699" t="s">
        <v>205</v>
      </c>
      <c r="D1699" s="437" t="s">
        <v>133</v>
      </c>
      <c r="E1699" s="437">
        <v>1572</v>
      </c>
    </row>
    <row r="1700" spans="1:5" x14ac:dyDescent="0.25">
      <c r="A1700" t="s">
        <v>201</v>
      </c>
      <c r="B1700">
        <v>2017</v>
      </c>
      <c r="C1700" t="s">
        <v>205</v>
      </c>
      <c r="D1700" s="437" t="s">
        <v>597</v>
      </c>
      <c r="E1700" s="437">
        <v>436</v>
      </c>
    </row>
    <row r="1701" spans="1:5" x14ac:dyDescent="0.25">
      <c r="A1701" t="s">
        <v>201</v>
      </c>
      <c r="B1701">
        <v>2017</v>
      </c>
      <c r="C1701" t="s">
        <v>205</v>
      </c>
      <c r="D1701" s="437" t="s">
        <v>596</v>
      </c>
      <c r="E1701" s="437">
        <v>1236</v>
      </c>
    </row>
    <row r="1702" spans="1:5" x14ac:dyDescent="0.25">
      <c r="A1702" t="s">
        <v>201</v>
      </c>
      <c r="B1702">
        <v>2017</v>
      </c>
      <c r="C1702" t="s">
        <v>205</v>
      </c>
      <c r="D1702" s="437" t="s">
        <v>413</v>
      </c>
      <c r="E1702" s="437">
        <v>0</v>
      </c>
    </row>
    <row r="1703" spans="1:5" x14ac:dyDescent="0.25">
      <c r="A1703" t="s">
        <v>120</v>
      </c>
      <c r="B1703">
        <v>2017</v>
      </c>
      <c r="C1703" t="s">
        <v>205</v>
      </c>
      <c r="D1703" s="437" t="s">
        <v>57</v>
      </c>
      <c r="E1703" s="437">
        <v>486</v>
      </c>
    </row>
    <row r="1704" spans="1:5" x14ac:dyDescent="0.25">
      <c r="A1704" t="s">
        <v>120</v>
      </c>
      <c r="B1704">
        <v>2017</v>
      </c>
      <c r="C1704" t="s">
        <v>205</v>
      </c>
      <c r="D1704" s="437" t="s">
        <v>348</v>
      </c>
      <c r="E1704" s="437">
        <v>0</v>
      </c>
    </row>
    <row r="1705" spans="1:5" x14ac:dyDescent="0.25">
      <c r="A1705" t="s">
        <v>120</v>
      </c>
      <c r="B1705">
        <v>2017</v>
      </c>
      <c r="C1705" t="s">
        <v>205</v>
      </c>
      <c r="D1705" s="437" t="s">
        <v>349</v>
      </c>
      <c r="E1705" s="437">
        <v>4631</v>
      </c>
    </row>
    <row r="1706" spans="1:5" x14ac:dyDescent="0.25">
      <c r="A1706" t="s">
        <v>120</v>
      </c>
      <c r="B1706">
        <v>2017</v>
      </c>
      <c r="C1706" t="s">
        <v>205</v>
      </c>
      <c r="D1706" s="437" t="s">
        <v>595</v>
      </c>
      <c r="E1706" s="437">
        <v>18433</v>
      </c>
    </row>
    <row r="1707" spans="1:5" x14ac:dyDescent="0.25">
      <c r="A1707" t="s">
        <v>120</v>
      </c>
      <c r="B1707">
        <v>2017</v>
      </c>
      <c r="C1707" t="s">
        <v>205</v>
      </c>
      <c r="D1707" s="437" t="s">
        <v>352</v>
      </c>
      <c r="E1707" s="437">
        <v>0</v>
      </c>
    </row>
    <row r="1708" spans="1:5" x14ac:dyDescent="0.25">
      <c r="A1708" t="s">
        <v>120</v>
      </c>
      <c r="B1708">
        <v>2017</v>
      </c>
      <c r="C1708" t="s">
        <v>205</v>
      </c>
      <c r="D1708" s="437" t="s">
        <v>43</v>
      </c>
      <c r="E1708" s="437">
        <v>3675</v>
      </c>
    </row>
    <row r="1709" spans="1:5" x14ac:dyDescent="0.25">
      <c r="A1709" t="s">
        <v>120</v>
      </c>
      <c r="B1709">
        <v>2017</v>
      </c>
      <c r="C1709" t="s">
        <v>205</v>
      </c>
      <c r="D1709" s="437" t="s">
        <v>42</v>
      </c>
      <c r="E1709" s="437">
        <v>957</v>
      </c>
    </row>
    <row r="1710" spans="1:5" x14ac:dyDescent="0.25">
      <c r="A1710" t="s">
        <v>120</v>
      </c>
      <c r="B1710">
        <v>2017</v>
      </c>
      <c r="C1710" t="s">
        <v>205</v>
      </c>
      <c r="D1710" s="437" t="s">
        <v>44</v>
      </c>
      <c r="E1710" s="437">
        <v>2584</v>
      </c>
    </row>
    <row r="1711" spans="1:5" x14ac:dyDescent="0.25">
      <c r="A1711" t="s">
        <v>120</v>
      </c>
      <c r="B1711">
        <v>2017</v>
      </c>
      <c r="C1711" t="s">
        <v>205</v>
      </c>
      <c r="D1711" s="437" t="s">
        <v>397</v>
      </c>
      <c r="E1711" s="437">
        <v>489</v>
      </c>
    </row>
    <row r="1712" spans="1:5" x14ac:dyDescent="0.25">
      <c r="A1712" t="s">
        <v>120</v>
      </c>
      <c r="B1712">
        <v>2017</v>
      </c>
      <c r="C1712" t="s">
        <v>205</v>
      </c>
      <c r="D1712" s="437" t="s">
        <v>133</v>
      </c>
      <c r="E1712" s="437">
        <v>38</v>
      </c>
    </row>
    <row r="1713" spans="1:5" x14ac:dyDescent="0.25">
      <c r="A1713" t="s">
        <v>120</v>
      </c>
      <c r="B1713">
        <v>2017</v>
      </c>
      <c r="C1713" t="s">
        <v>205</v>
      </c>
      <c r="D1713" s="437" t="s">
        <v>597</v>
      </c>
      <c r="E1713" s="437">
        <v>7490</v>
      </c>
    </row>
    <row r="1714" spans="1:5" x14ac:dyDescent="0.25">
      <c r="A1714" t="s">
        <v>120</v>
      </c>
      <c r="B1714">
        <v>2017</v>
      </c>
      <c r="C1714" t="s">
        <v>205</v>
      </c>
      <c r="D1714" s="437" t="s">
        <v>596</v>
      </c>
      <c r="E1714" s="437">
        <v>18620</v>
      </c>
    </row>
    <row r="1715" spans="1:5" x14ac:dyDescent="0.25">
      <c r="A1715" t="s">
        <v>120</v>
      </c>
      <c r="B1715">
        <v>2017</v>
      </c>
      <c r="C1715" t="s">
        <v>205</v>
      </c>
      <c r="D1715" s="437" t="s">
        <v>413</v>
      </c>
      <c r="E1715" s="437">
        <v>683</v>
      </c>
    </row>
    <row r="1716" spans="1:5" x14ac:dyDescent="0.25">
      <c r="A1716" t="s">
        <v>121</v>
      </c>
      <c r="B1716">
        <v>2017</v>
      </c>
      <c r="C1716" t="s">
        <v>205</v>
      </c>
      <c r="D1716" s="437" t="s">
        <v>57</v>
      </c>
      <c r="E1716" s="437">
        <v>0</v>
      </c>
    </row>
    <row r="1717" spans="1:5" x14ac:dyDescent="0.25">
      <c r="A1717" t="s">
        <v>121</v>
      </c>
      <c r="B1717">
        <v>2017</v>
      </c>
      <c r="C1717" t="s">
        <v>205</v>
      </c>
      <c r="D1717" s="437" t="s">
        <v>348</v>
      </c>
      <c r="E1717" s="437">
        <v>0</v>
      </c>
    </row>
    <row r="1718" spans="1:5" x14ac:dyDescent="0.25">
      <c r="A1718" t="s">
        <v>121</v>
      </c>
      <c r="B1718">
        <v>2017</v>
      </c>
      <c r="C1718" t="s">
        <v>205</v>
      </c>
      <c r="D1718" s="437" t="s">
        <v>349</v>
      </c>
      <c r="E1718" s="437">
        <v>0</v>
      </c>
    </row>
    <row r="1719" spans="1:5" x14ac:dyDescent="0.25">
      <c r="A1719" t="s">
        <v>121</v>
      </c>
      <c r="B1719">
        <v>2017</v>
      </c>
      <c r="C1719" t="s">
        <v>205</v>
      </c>
      <c r="D1719" s="437" t="s">
        <v>595</v>
      </c>
      <c r="E1719" s="437">
        <v>448</v>
      </c>
    </row>
    <row r="1720" spans="1:5" x14ac:dyDescent="0.25">
      <c r="A1720" t="s">
        <v>121</v>
      </c>
      <c r="B1720">
        <v>2017</v>
      </c>
      <c r="C1720" t="s">
        <v>205</v>
      </c>
      <c r="D1720" s="437" t="s">
        <v>352</v>
      </c>
      <c r="E1720" s="437">
        <v>0</v>
      </c>
    </row>
    <row r="1721" spans="1:5" x14ac:dyDescent="0.25">
      <c r="A1721" t="s">
        <v>121</v>
      </c>
      <c r="B1721">
        <v>2017</v>
      </c>
      <c r="C1721" t="s">
        <v>205</v>
      </c>
      <c r="D1721" s="437" t="s">
        <v>43</v>
      </c>
      <c r="E1721" s="437">
        <v>1083</v>
      </c>
    </row>
    <row r="1722" spans="1:5" x14ac:dyDescent="0.25">
      <c r="A1722" t="s">
        <v>121</v>
      </c>
      <c r="B1722">
        <v>2017</v>
      </c>
      <c r="C1722" t="s">
        <v>205</v>
      </c>
      <c r="D1722" s="437" t="s">
        <v>42</v>
      </c>
      <c r="E1722" s="437">
        <v>0</v>
      </c>
    </row>
    <row r="1723" spans="1:5" x14ac:dyDescent="0.25">
      <c r="A1723" t="s">
        <v>121</v>
      </c>
      <c r="B1723">
        <v>2017</v>
      </c>
      <c r="C1723" t="s">
        <v>205</v>
      </c>
      <c r="D1723" s="437" t="s">
        <v>44</v>
      </c>
      <c r="E1723" s="437">
        <v>6</v>
      </c>
    </row>
    <row r="1724" spans="1:5" x14ac:dyDescent="0.25">
      <c r="A1724" t="s">
        <v>121</v>
      </c>
      <c r="B1724">
        <v>2017</v>
      </c>
      <c r="C1724" t="s">
        <v>205</v>
      </c>
      <c r="D1724" s="437" t="s">
        <v>397</v>
      </c>
      <c r="E1724" s="437">
        <v>7</v>
      </c>
    </row>
    <row r="1725" spans="1:5" x14ac:dyDescent="0.25">
      <c r="A1725" t="s">
        <v>121</v>
      </c>
      <c r="B1725">
        <v>2017</v>
      </c>
      <c r="C1725" t="s">
        <v>205</v>
      </c>
      <c r="D1725" s="437" t="s">
        <v>133</v>
      </c>
      <c r="E1725" s="437">
        <v>31660</v>
      </c>
    </row>
    <row r="1726" spans="1:5" x14ac:dyDescent="0.25">
      <c r="A1726" t="s">
        <v>121</v>
      </c>
      <c r="B1726">
        <v>2017</v>
      </c>
      <c r="C1726" t="s">
        <v>205</v>
      </c>
      <c r="D1726" s="437" t="s">
        <v>597</v>
      </c>
      <c r="E1726" s="437">
        <v>9457</v>
      </c>
    </row>
    <row r="1727" spans="1:5" x14ac:dyDescent="0.25">
      <c r="A1727" t="s">
        <v>121</v>
      </c>
      <c r="B1727">
        <v>2017</v>
      </c>
      <c r="C1727" t="s">
        <v>205</v>
      </c>
      <c r="D1727" s="437" t="s">
        <v>596</v>
      </c>
      <c r="E1727" s="437">
        <v>23246</v>
      </c>
    </row>
    <row r="1728" spans="1:5" x14ac:dyDescent="0.25">
      <c r="A1728" t="s">
        <v>121</v>
      </c>
      <c r="B1728">
        <v>2017</v>
      </c>
      <c r="C1728" t="s">
        <v>205</v>
      </c>
      <c r="D1728" s="437" t="s">
        <v>413</v>
      </c>
      <c r="E1728" s="437">
        <v>125</v>
      </c>
    </row>
    <row r="1729" spans="1:5" x14ac:dyDescent="0.25">
      <c r="A1729" t="s">
        <v>122</v>
      </c>
      <c r="B1729">
        <v>2017</v>
      </c>
      <c r="C1729" t="s">
        <v>205</v>
      </c>
      <c r="D1729" s="437" t="s">
        <v>57</v>
      </c>
      <c r="E1729" s="437">
        <v>0</v>
      </c>
    </row>
    <row r="1730" spans="1:5" x14ac:dyDescent="0.25">
      <c r="A1730" t="s">
        <v>122</v>
      </c>
      <c r="B1730">
        <v>2017</v>
      </c>
      <c r="C1730" t="s">
        <v>205</v>
      </c>
      <c r="D1730" s="437" t="s">
        <v>348</v>
      </c>
      <c r="E1730" s="437">
        <v>8590</v>
      </c>
    </row>
    <row r="1731" spans="1:5" x14ac:dyDescent="0.25">
      <c r="A1731" t="s">
        <v>122</v>
      </c>
      <c r="B1731">
        <v>2017</v>
      </c>
      <c r="C1731" t="s">
        <v>205</v>
      </c>
      <c r="D1731" s="437" t="s">
        <v>349</v>
      </c>
      <c r="E1731" s="437">
        <v>18161</v>
      </c>
    </row>
    <row r="1732" spans="1:5" x14ac:dyDescent="0.25">
      <c r="A1732" t="s">
        <v>122</v>
      </c>
      <c r="B1732">
        <v>2017</v>
      </c>
      <c r="C1732" t="s">
        <v>205</v>
      </c>
      <c r="D1732" s="437" t="s">
        <v>595</v>
      </c>
      <c r="E1732" s="437">
        <v>2521</v>
      </c>
    </row>
    <row r="1733" spans="1:5" x14ac:dyDescent="0.25">
      <c r="A1733" t="s">
        <v>122</v>
      </c>
      <c r="B1733">
        <v>2017</v>
      </c>
      <c r="C1733" t="s">
        <v>205</v>
      </c>
      <c r="D1733" s="437" t="s">
        <v>352</v>
      </c>
      <c r="E1733" s="437">
        <v>310</v>
      </c>
    </row>
    <row r="1734" spans="1:5" x14ac:dyDescent="0.25">
      <c r="A1734" t="s">
        <v>122</v>
      </c>
      <c r="B1734">
        <v>2017</v>
      </c>
      <c r="C1734" t="s">
        <v>205</v>
      </c>
      <c r="D1734" s="437" t="s">
        <v>43</v>
      </c>
      <c r="E1734" s="437">
        <v>5652</v>
      </c>
    </row>
    <row r="1735" spans="1:5" x14ac:dyDescent="0.25">
      <c r="A1735" t="s">
        <v>122</v>
      </c>
      <c r="B1735">
        <v>2017</v>
      </c>
      <c r="C1735" t="s">
        <v>205</v>
      </c>
      <c r="D1735" s="437" t="s">
        <v>42</v>
      </c>
      <c r="E1735" s="437">
        <v>0</v>
      </c>
    </row>
    <row r="1736" spans="1:5" x14ac:dyDescent="0.25">
      <c r="A1736" t="s">
        <v>122</v>
      </c>
      <c r="B1736">
        <v>2017</v>
      </c>
      <c r="C1736" t="s">
        <v>205</v>
      </c>
      <c r="D1736" s="437" t="s">
        <v>44</v>
      </c>
      <c r="E1736" s="437">
        <v>285</v>
      </c>
    </row>
    <row r="1737" spans="1:5" x14ac:dyDescent="0.25">
      <c r="A1737" t="s">
        <v>122</v>
      </c>
      <c r="B1737">
        <v>2017</v>
      </c>
      <c r="C1737" t="s">
        <v>205</v>
      </c>
      <c r="D1737" s="437" t="s">
        <v>397</v>
      </c>
      <c r="E1737" s="437">
        <v>1175</v>
      </c>
    </row>
    <row r="1738" spans="1:5" x14ac:dyDescent="0.25">
      <c r="A1738" t="s">
        <v>122</v>
      </c>
      <c r="B1738">
        <v>2017</v>
      </c>
      <c r="C1738" t="s">
        <v>205</v>
      </c>
      <c r="D1738" s="437" t="s">
        <v>133</v>
      </c>
      <c r="E1738" s="437">
        <v>2369</v>
      </c>
    </row>
    <row r="1739" spans="1:5" x14ac:dyDescent="0.25">
      <c r="A1739" t="s">
        <v>122</v>
      </c>
      <c r="B1739">
        <v>2017</v>
      </c>
      <c r="C1739" t="s">
        <v>205</v>
      </c>
      <c r="D1739" s="437" t="s">
        <v>597</v>
      </c>
      <c r="E1739" s="437">
        <v>11082</v>
      </c>
    </row>
    <row r="1740" spans="1:5" x14ac:dyDescent="0.25">
      <c r="A1740" t="s">
        <v>122</v>
      </c>
      <c r="B1740">
        <v>2017</v>
      </c>
      <c r="C1740" t="s">
        <v>205</v>
      </c>
      <c r="D1740" s="437" t="s">
        <v>596</v>
      </c>
      <c r="E1740" s="437">
        <v>24392</v>
      </c>
    </row>
    <row r="1741" spans="1:5" x14ac:dyDescent="0.25">
      <c r="A1741" t="s">
        <v>122</v>
      </c>
      <c r="B1741">
        <v>2017</v>
      </c>
      <c r="C1741" t="s">
        <v>205</v>
      </c>
      <c r="D1741" s="437" t="s">
        <v>413</v>
      </c>
      <c r="E1741" s="437">
        <v>326</v>
      </c>
    </row>
    <row r="1742" spans="1:5" x14ac:dyDescent="0.25">
      <c r="A1742" t="s">
        <v>123</v>
      </c>
      <c r="B1742">
        <v>2017</v>
      </c>
      <c r="C1742" t="s">
        <v>205</v>
      </c>
      <c r="D1742" s="437" t="s">
        <v>57</v>
      </c>
      <c r="E1742" s="437">
        <v>0</v>
      </c>
    </row>
    <row r="1743" spans="1:5" x14ac:dyDescent="0.25">
      <c r="A1743" t="s">
        <v>123</v>
      </c>
      <c r="B1743">
        <v>2017</v>
      </c>
      <c r="C1743" t="s">
        <v>205</v>
      </c>
      <c r="D1743" s="437" t="s">
        <v>348</v>
      </c>
      <c r="E1743" s="437">
        <v>0</v>
      </c>
    </row>
    <row r="1744" spans="1:5" x14ac:dyDescent="0.25">
      <c r="A1744" t="s">
        <v>123</v>
      </c>
      <c r="B1744">
        <v>2017</v>
      </c>
      <c r="C1744" t="s">
        <v>205</v>
      </c>
      <c r="D1744" s="437" t="s">
        <v>349</v>
      </c>
      <c r="E1744" s="437">
        <v>1756</v>
      </c>
    </row>
    <row r="1745" spans="1:5" x14ac:dyDescent="0.25">
      <c r="A1745" t="s">
        <v>123</v>
      </c>
      <c r="B1745">
        <v>2017</v>
      </c>
      <c r="C1745" t="s">
        <v>205</v>
      </c>
      <c r="D1745" s="437" t="s">
        <v>595</v>
      </c>
      <c r="E1745" s="437">
        <v>4607</v>
      </c>
    </row>
    <row r="1746" spans="1:5" x14ac:dyDescent="0.25">
      <c r="A1746" t="s">
        <v>123</v>
      </c>
      <c r="B1746">
        <v>2017</v>
      </c>
      <c r="C1746" t="s">
        <v>205</v>
      </c>
      <c r="D1746" s="437" t="s">
        <v>352</v>
      </c>
      <c r="E1746" s="437">
        <v>40</v>
      </c>
    </row>
    <row r="1747" spans="1:5" x14ac:dyDescent="0.25">
      <c r="A1747" t="s">
        <v>123</v>
      </c>
      <c r="B1747">
        <v>2017</v>
      </c>
      <c r="C1747" t="s">
        <v>205</v>
      </c>
      <c r="D1747" s="437" t="s">
        <v>43</v>
      </c>
      <c r="E1747" s="437">
        <v>5090</v>
      </c>
    </row>
    <row r="1748" spans="1:5" x14ac:dyDescent="0.25">
      <c r="A1748" t="s">
        <v>123</v>
      </c>
      <c r="B1748">
        <v>2017</v>
      </c>
      <c r="C1748" t="s">
        <v>205</v>
      </c>
      <c r="D1748" s="437" t="s">
        <v>42</v>
      </c>
      <c r="E1748" s="437">
        <v>0</v>
      </c>
    </row>
    <row r="1749" spans="1:5" x14ac:dyDescent="0.25">
      <c r="A1749" t="s">
        <v>123</v>
      </c>
      <c r="B1749">
        <v>2017</v>
      </c>
      <c r="C1749" t="s">
        <v>205</v>
      </c>
      <c r="D1749" s="437" t="s">
        <v>44</v>
      </c>
      <c r="E1749" s="437">
        <v>490</v>
      </c>
    </row>
    <row r="1750" spans="1:5" x14ac:dyDescent="0.25">
      <c r="A1750" t="s">
        <v>123</v>
      </c>
      <c r="B1750">
        <v>2017</v>
      </c>
      <c r="C1750" t="s">
        <v>205</v>
      </c>
      <c r="D1750" s="437" t="s">
        <v>397</v>
      </c>
      <c r="E1750" s="437">
        <v>624</v>
      </c>
    </row>
    <row r="1751" spans="1:5" x14ac:dyDescent="0.25">
      <c r="A1751" t="s">
        <v>123</v>
      </c>
      <c r="B1751">
        <v>2017</v>
      </c>
      <c r="C1751" t="s">
        <v>205</v>
      </c>
      <c r="D1751" s="437" t="s">
        <v>133</v>
      </c>
      <c r="E1751" s="437">
        <v>7193</v>
      </c>
    </row>
    <row r="1752" spans="1:5" x14ac:dyDescent="0.25">
      <c r="A1752" t="s">
        <v>123</v>
      </c>
      <c r="B1752">
        <v>2017</v>
      </c>
      <c r="C1752" t="s">
        <v>205</v>
      </c>
      <c r="D1752" s="437" t="s">
        <v>597</v>
      </c>
      <c r="E1752" s="437">
        <v>3413</v>
      </c>
    </row>
    <row r="1753" spans="1:5" x14ac:dyDescent="0.25">
      <c r="A1753" t="s">
        <v>123</v>
      </c>
      <c r="B1753">
        <v>2017</v>
      </c>
      <c r="C1753" t="s">
        <v>205</v>
      </c>
      <c r="D1753" s="437" t="s">
        <v>596</v>
      </c>
      <c r="E1753" s="437">
        <v>8734</v>
      </c>
    </row>
    <row r="1754" spans="1:5" x14ac:dyDescent="0.25">
      <c r="A1754" t="s">
        <v>123</v>
      </c>
      <c r="B1754">
        <v>2017</v>
      </c>
      <c r="C1754" t="s">
        <v>205</v>
      </c>
      <c r="D1754" s="437" t="s">
        <v>413</v>
      </c>
      <c r="E1754" s="437">
        <v>0</v>
      </c>
    </row>
    <row r="1755" spans="1:5" x14ac:dyDescent="0.25">
      <c r="A1755" t="s">
        <v>124</v>
      </c>
      <c r="B1755">
        <v>2017</v>
      </c>
      <c r="C1755" t="s">
        <v>205</v>
      </c>
      <c r="D1755" s="437" t="s">
        <v>57</v>
      </c>
      <c r="E1755" s="437">
        <v>1300</v>
      </c>
    </row>
    <row r="1756" spans="1:5" x14ac:dyDescent="0.25">
      <c r="A1756" t="s">
        <v>124</v>
      </c>
      <c r="B1756">
        <v>2017</v>
      </c>
      <c r="C1756" t="s">
        <v>205</v>
      </c>
      <c r="D1756" s="437" t="s">
        <v>348</v>
      </c>
      <c r="E1756" s="437">
        <v>3312</v>
      </c>
    </row>
    <row r="1757" spans="1:5" x14ac:dyDescent="0.25">
      <c r="A1757" t="s">
        <v>124</v>
      </c>
      <c r="B1757">
        <v>2017</v>
      </c>
      <c r="C1757" t="s">
        <v>205</v>
      </c>
      <c r="D1757" s="437" t="s">
        <v>349</v>
      </c>
      <c r="E1757" s="437">
        <v>1155</v>
      </c>
    </row>
    <row r="1758" spans="1:5" x14ac:dyDescent="0.25">
      <c r="A1758" t="s">
        <v>124</v>
      </c>
      <c r="B1758">
        <v>2017</v>
      </c>
      <c r="C1758" t="s">
        <v>205</v>
      </c>
      <c r="D1758" s="437" t="s">
        <v>595</v>
      </c>
      <c r="E1758" s="437">
        <v>1829</v>
      </c>
    </row>
    <row r="1759" spans="1:5" x14ac:dyDescent="0.25">
      <c r="A1759" t="s">
        <v>124</v>
      </c>
      <c r="B1759">
        <v>2017</v>
      </c>
      <c r="C1759" t="s">
        <v>205</v>
      </c>
      <c r="D1759" s="437" t="s">
        <v>352</v>
      </c>
      <c r="E1759" s="437">
        <v>1605</v>
      </c>
    </row>
    <row r="1760" spans="1:5" x14ac:dyDescent="0.25">
      <c r="A1760" t="s">
        <v>124</v>
      </c>
      <c r="B1760">
        <v>2017</v>
      </c>
      <c r="C1760" t="s">
        <v>205</v>
      </c>
      <c r="D1760" s="437" t="s">
        <v>43</v>
      </c>
      <c r="E1760" s="437">
        <v>2975</v>
      </c>
    </row>
    <row r="1761" spans="1:5" x14ac:dyDescent="0.25">
      <c r="A1761" t="s">
        <v>124</v>
      </c>
      <c r="B1761">
        <v>2017</v>
      </c>
      <c r="C1761" t="s">
        <v>205</v>
      </c>
      <c r="D1761" s="437" t="s">
        <v>42</v>
      </c>
      <c r="E1761" s="437">
        <v>0</v>
      </c>
    </row>
    <row r="1762" spans="1:5" x14ac:dyDescent="0.25">
      <c r="A1762" t="s">
        <v>124</v>
      </c>
      <c r="B1762">
        <v>2017</v>
      </c>
      <c r="C1762" t="s">
        <v>205</v>
      </c>
      <c r="D1762" s="437" t="s">
        <v>44</v>
      </c>
      <c r="E1762" s="437">
        <v>1285</v>
      </c>
    </row>
    <row r="1763" spans="1:5" x14ac:dyDescent="0.25">
      <c r="A1763" t="s">
        <v>124</v>
      </c>
      <c r="B1763">
        <v>2017</v>
      </c>
      <c r="C1763" t="s">
        <v>205</v>
      </c>
      <c r="D1763" s="437" t="s">
        <v>397</v>
      </c>
      <c r="E1763" s="437">
        <v>121</v>
      </c>
    </row>
    <row r="1764" spans="1:5" x14ac:dyDescent="0.25">
      <c r="A1764" t="s">
        <v>124</v>
      </c>
      <c r="B1764">
        <v>2017</v>
      </c>
      <c r="C1764" t="s">
        <v>205</v>
      </c>
      <c r="D1764" s="437" t="s">
        <v>133</v>
      </c>
      <c r="E1764" s="437">
        <v>6375</v>
      </c>
    </row>
    <row r="1765" spans="1:5" x14ac:dyDescent="0.25">
      <c r="A1765" t="s">
        <v>124</v>
      </c>
      <c r="B1765">
        <v>2017</v>
      </c>
      <c r="C1765" t="s">
        <v>205</v>
      </c>
      <c r="D1765" s="437" t="s">
        <v>597</v>
      </c>
      <c r="E1765" s="437">
        <v>4057</v>
      </c>
    </row>
    <row r="1766" spans="1:5" x14ac:dyDescent="0.25">
      <c r="A1766" t="s">
        <v>124</v>
      </c>
      <c r="B1766">
        <v>2017</v>
      </c>
      <c r="C1766" t="s">
        <v>205</v>
      </c>
      <c r="D1766" s="437" t="s">
        <v>596</v>
      </c>
      <c r="E1766" s="437">
        <v>8940</v>
      </c>
    </row>
    <row r="1767" spans="1:5" x14ac:dyDescent="0.25">
      <c r="A1767" t="s">
        <v>124</v>
      </c>
      <c r="B1767">
        <v>2017</v>
      </c>
      <c r="C1767" t="s">
        <v>205</v>
      </c>
      <c r="D1767" s="437" t="s">
        <v>413</v>
      </c>
      <c r="E1767" s="437">
        <v>0</v>
      </c>
    </row>
    <row r="1768" spans="1:5" x14ac:dyDescent="0.25">
      <c r="A1768" t="s">
        <v>126</v>
      </c>
      <c r="B1768">
        <v>2017</v>
      </c>
      <c r="C1768" t="s">
        <v>205</v>
      </c>
      <c r="D1768" s="437" t="s">
        <v>57</v>
      </c>
      <c r="E1768" s="437">
        <v>8586</v>
      </c>
    </row>
    <row r="1769" spans="1:5" x14ac:dyDescent="0.25">
      <c r="A1769" t="s">
        <v>126</v>
      </c>
      <c r="B1769">
        <v>2017</v>
      </c>
      <c r="C1769" t="s">
        <v>205</v>
      </c>
      <c r="D1769" s="437" t="s">
        <v>348</v>
      </c>
      <c r="E1769" s="437">
        <v>0</v>
      </c>
    </row>
    <row r="1770" spans="1:5" x14ac:dyDescent="0.25">
      <c r="A1770" t="s">
        <v>126</v>
      </c>
      <c r="B1770">
        <v>2017</v>
      </c>
      <c r="C1770" t="s">
        <v>205</v>
      </c>
      <c r="D1770" s="437" t="s">
        <v>349</v>
      </c>
      <c r="E1770" s="437">
        <v>205</v>
      </c>
    </row>
    <row r="1771" spans="1:5" x14ac:dyDescent="0.25">
      <c r="A1771" t="s">
        <v>126</v>
      </c>
      <c r="B1771">
        <v>2017</v>
      </c>
      <c r="C1771" t="s">
        <v>205</v>
      </c>
      <c r="D1771" s="437" t="s">
        <v>595</v>
      </c>
      <c r="E1771" s="437">
        <v>849</v>
      </c>
    </row>
    <row r="1772" spans="1:5" x14ac:dyDescent="0.25">
      <c r="A1772" t="s">
        <v>126</v>
      </c>
      <c r="B1772">
        <v>2017</v>
      </c>
      <c r="C1772" t="s">
        <v>205</v>
      </c>
      <c r="D1772" s="437" t="s">
        <v>352</v>
      </c>
      <c r="E1772" s="437">
        <v>2815</v>
      </c>
    </row>
    <row r="1773" spans="1:5" x14ac:dyDescent="0.25">
      <c r="A1773" t="s">
        <v>126</v>
      </c>
      <c r="B1773">
        <v>2017</v>
      </c>
      <c r="C1773" t="s">
        <v>205</v>
      </c>
      <c r="D1773" s="437" t="s">
        <v>43</v>
      </c>
      <c r="E1773" s="437">
        <v>6691</v>
      </c>
    </row>
    <row r="1774" spans="1:5" x14ac:dyDescent="0.25">
      <c r="A1774" t="s">
        <v>126</v>
      </c>
      <c r="B1774">
        <v>2017</v>
      </c>
      <c r="C1774" t="s">
        <v>205</v>
      </c>
      <c r="D1774" s="437" t="s">
        <v>42</v>
      </c>
      <c r="E1774" s="437">
        <v>0</v>
      </c>
    </row>
    <row r="1775" spans="1:5" x14ac:dyDescent="0.25">
      <c r="A1775" t="s">
        <v>126</v>
      </c>
      <c r="B1775">
        <v>2017</v>
      </c>
      <c r="C1775" t="s">
        <v>205</v>
      </c>
      <c r="D1775" s="437" t="s">
        <v>44</v>
      </c>
      <c r="E1775" s="437">
        <v>0</v>
      </c>
    </row>
    <row r="1776" spans="1:5" x14ac:dyDescent="0.25">
      <c r="A1776" t="s">
        <v>126</v>
      </c>
      <c r="B1776">
        <v>2017</v>
      </c>
      <c r="C1776" t="s">
        <v>205</v>
      </c>
      <c r="D1776" s="437" t="s">
        <v>397</v>
      </c>
      <c r="E1776" s="437">
        <v>3145</v>
      </c>
    </row>
    <row r="1777" spans="1:5" x14ac:dyDescent="0.25">
      <c r="A1777" t="s">
        <v>126</v>
      </c>
      <c r="B1777">
        <v>2017</v>
      </c>
      <c r="C1777" t="s">
        <v>205</v>
      </c>
      <c r="D1777" s="437" t="s">
        <v>133</v>
      </c>
      <c r="E1777" s="437">
        <v>16301</v>
      </c>
    </row>
    <row r="1778" spans="1:5" x14ac:dyDescent="0.25">
      <c r="A1778" t="s">
        <v>126</v>
      </c>
      <c r="B1778">
        <v>2017</v>
      </c>
      <c r="C1778" t="s">
        <v>205</v>
      </c>
      <c r="D1778" s="437" t="s">
        <v>597</v>
      </c>
      <c r="E1778" s="437">
        <v>8905</v>
      </c>
    </row>
    <row r="1779" spans="1:5" x14ac:dyDescent="0.25">
      <c r="A1779" t="s">
        <v>126</v>
      </c>
      <c r="B1779">
        <v>2017</v>
      </c>
      <c r="C1779" t="s">
        <v>205</v>
      </c>
      <c r="D1779" s="437" t="s">
        <v>596</v>
      </c>
      <c r="E1779" s="437">
        <v>26224</v>
      </c>
    </row>
    <row r="1780" spans="1:5" x14ac:dyDescent="0.25">
      <c r="A1780" t="s">
        <v>126</v>
      </c>
      <c r="B1780">
        <v>2017</v>
      </c>
      <c r="C1780" t="s">
        <v>205</v>
      </c>
      <c r="D1780" s="437" t="s">
        <v>413</v>
      </c>
      <c r="E1780" s="437">
        <v>445</v>
      </c>
    </row>
    <row r="1781" spans="1:5" x14ac:dyDescent="0.25">
      <c r="A1781" t="s">
        <v>127</v>
      </c>
      <c r="B1781">
        <v>2017</v>
      </c>
      <c r="C1781" t="s">
        <v>205</v>
      </c>
      <c r="D1781" s="437" t="s">
        <v>57</v>
      </c>
      <c r="E1781" s="437">
        <v>696</v>
      </c>
    </row>
    <row r="1782" spans="1:5" x14ac:dyDescent="0.25">
      <c r="A1782" t="s">
        <v>127</v>
      </c>
      <c r="B1782">
        <v>2017</v>
      </c>
      <c r="C1782" t="s">
        <v>205</v>
      </c>
      <c r="D1782" s="437" t="s">
        <v>348</v>
      </c>
      <c r="E1782" s="437">
        <v>924</v>
      </c>
    </row>
    <row r="1783" spans="1:5" x14ac:dyDescent="0.25">
      <c r="A1783" t="s">
        <v>127</v>
      </c>
      <c r="B1783">
        <v>2017</v>
      </c>
      <c r="C1783" t="s">
        <v>205</v>
      </c>
      <c r="D1783" s="437" t="s">
        <v>349</v>
      </c>
      <c r="E1783" s="437">
        <v>0</v>
      </c>
    </row>
    <row r="1784" spans="1:5" x14ac:dyDescent="0.25">
      <c r="A1784" t="s">
        <v>127</v>
      </c>
      <c r="B1784">
        <v>2017</v>
      </c>
      <c r="C1784" t="s">
        <v>205</v>
      </c>
      <c r="D1784" s="437" t="s">
        <v>595</v>
      </c>
      <c r="E1784" s="437">
        <v>455</v>
      </c>
    </row>
    <row r="1785" spans="1:5" x14ac:dyDescent="0.25">
      <c r="A1785" t="s">
        <v>127</v>
      </c>
      <c r="B1785">
        <v>2017</v>
      </c>
      <c r="C1785" t="s">
        <v>205</v>
      </c>
      <c r="D1785" s="437" t="s">
        <v>352</v>
      </c>
      <c r="E1785" s="437">
        <v>0</v>
      </c>
    </row>
    <row r="1786" spans="1:5" x14ac:dyDescent="0.25">
      <c r="A1786" t="s">
        <v>127</v>
      </c>
      <c r="B1786">
        <v>2017</v>
      </c>
      <c r="C1786" t="s">
        <v>205</v>
      </c>
      <c r="D1786" s="437" t="s">
        <v>43</v>
      </c>
      <c r="E1786" s="437">
        <v>3</v>
      </c>
    </row>
    <row r="1787" spans="1:5" x14ac:dyDescent="0.25">
      <c r="A1787" t="s">
        <v>127</v>
      </c>
      <c r="B1787">
        <v>2017</v>
      </c>
      <c r="C1787" t="s">
        <v>205</v>
      </c>
      <c r="D1787" s="437" t="s">
        <v>42</v>
      </c>
      <c r="E1787" s="437">
        <v>0</v>
      </c>
    </row>
    <row r="1788" spans="1:5" x14ac:dyDescent="0.25">
      <c r="A1788" t="s">
        <v>127</v>
      </c>
      <c r="B1788">
        <v>2017</v>
      </c>
      <c r="C1788" t="s">
        <v>205</v>
      </c>
      <c r="D1788" s="437" t="s">
        <v>44</v>
      </c>
      <c r="E1788" s="437">
        <v>271</v>
      </c>
    </row>
    <row r="1789" spans="1:5" x14ac:dyDescent="0.25">
      <c r="A1789" t="s">
        <v>127</v>
      </c>
      <c r="B1789">
        <v>2017</v>
      </c>
      <c r="C1789" t="s">
        <v>205</v>
      </c>
      <c r="D1789" s="437" t="s">
        <v>397</v>
      </c>
      <c r="E1789" s="437">
        <v>41</v>
      </c>
    </row>
    <row r="1790" spans="1:5" x14ac:dyDescent="0.25">
      <c r="A1790" t="s">
        <v>127</v>
      </c>
      <c r="B1790">
        <v>2017</v>
      </c>
      <c r="C1790" t="s">
        <v>205</v>
      </c>
      <c r="D1790" s="437" t="s">
        <v>133</v>
      </c>
      <c r="E1790" s="437">
        <v>1297</v>
      </c>
    </row>
    <row r="1791" spans="1:5" x14ac:dyDescent="0.25">
      <c r="A1791" t="s">
        <v>127</v>
      </c>
      <c r="B1791">
        <v>2017</v>
      </c>
      <c r="C1791" t="s">
        <v>205</v>
      </c>
      <c r="D1791" s="437" t="s">
        <v>597</v>
      </c>
      <c r="E1791" s="437">
        <v>937</v>
      </c>
    </row>
    <row r="1792" spans="1:5" x14ac:dyDescent="0.25">
      <c r="A1792" t="s">
        <v>127</v>
      </c>
      <c r="B1792">
        <v>2017</v>
      </c>
      <c r="C1792" t="s">
        <v>205</v>
      </c>
      <c r="D1792" s="437" t="s">
        <v>596</v>
      </c>
      <c r="E1792" s="437">
        <v>2270</v>
      </c>
    </row>
    <row r="1793" spans="1:5" x14ac:dyDescent="0.25">
      <c r="A1793" t="s">
        <v>127</v>
      </c>
      <c r="B1793">
        <v>2017</v>
      </c>
      <c r="C1793" t="s">
        <v>205</v>
      </c>
      <c r="D1793" s="437" t="s">
        <v>413</v>
      </c>
      <c r="E1793" s="437">
        <v>129</v>
      </c>
    </row>
    <row r="1794" spans="1:5" x14ac:dyDescent="0.25">
      <c r="A1794" t="s">
        <v>128</v>
      </c>
      <c r="B1794">
        <v>2017</v>
      </c>
      <c r="C1794" t="s">
        <v>205</v>
      </c>
      <c r="D1794" s="437" t="s">
        <v>57</v>
      </c>
      <c r="E1794" s="437">
        <v>1940</v>
      </c>
    </row>
    <row r="1795" spans="1:5" x14ac:dyDescent="0.25">
      <c r="A1795" t="s">
        <v>128</v>
      </c>
      <c r="B1795">
        <v>2017</v>
      </c>
      <c r="C1795" t="s">
        <v>205</v>
      </c>
      <c r="D1795" s="437" t="s">
        <v>348</v>
      </c>
      <c r="E1795" s="437">
        <v>333</v>
      </c>
    </row>
    <row r="1796" spans="1:5" x14ac:dyDescent="0.25">
      <c r="A1796" t="s">
        <v>128</v>
      </c>
      <c r="B1796">
        <v>2017</v>
      </c>
      <c r="C1796" t="s">
        <v>205</v>
      </c>
      <c r="D1796" s="437" t="s">
        <v>349</v>
      </c>
      <c r="E1796" s="437">
        <v>221</v>
      </c>
    </row>
    <row r="1797" spans="1:5" x14ac:dyDescent="0.25">
      <c r="A1797" t="s">
        <v>128</v>
      </c>
      <c r="B1797">
        <v>2017</v>
      </c>
      <c r="C1797" t="s">
        <v>205</v>
      </c>
      <c r="D1797" s="437" t="s">
        <v>595</v>
      </c>
      <c r="E1797" s="437">
        <v>1106</v>
      </c>
    </row>
    <row r="1798" spans="1:5" x14ac:dyDescent="0.25">
      <c r="A1798" t="s">
        <v>128</v>
      </c>
      <c r="B1798">
        <v>2017</v>
      </c>
      <c r="C1798" t="s">
        <v>205</v>
      </c>
      <c r="D1798" s="437" t="s">
        <v>352</v>
      </c>
      <c r="E1798" s="437">
        <v>688</v>
      </c>
    </row>
    <row r="1799" spans="1:5" x14ac:dyDescent="0.25">
      <c r="A1799" t="s">
        <v>128</v>
      </c>
      <c r="B1799">
        <v>2017</v>
      </c>
      <c r="C1799" t="s">
        <v>205</v>
      </c>
      <c r="D1799" s="437" t="s">
        <v>43</v>
      </c>
      <c r="E1799" s="437">
        <v>3</v>
      </c>
    </row>
    <row r="1800" spans="1:5" x14ac:dyDescent="0.25">
      <c r="A1800" t="s">
        <v>128</v>
      </c>
      <c r="B1800">
        <v>2017</v>
      </c>
      <c r="C1800" t="s">
        <v>205</v>
      </c>
      <c r="D1800" s="437" t="s">
        <v>42</v>
      </c>
      <c r="E1800" s="437">
        <v>0</v>
      </c>
    </row>
    <row r="1801" spans="1:5" x14ac:dyDescent="0.25">
      <c r="A1801" t="s">
        <v>128</v>
      </c>
      <c r="B1801">
        <v>2017</v>
      </c>
      <c r="C1801" t="s">
        <v>205</v>
      </c>
      <c r="D1801" s="437" t="s">
        <v>44</v>
      </c>
      <c r="E1801" s="437">
        <v>530</v>
      </c>
    </row>
    <row r="1802" spans="1:5" x14ac:dyDescent="0.25">
      <c r="A1802" t="s">
        <v>128</v>
      </c>
      <c r="B1802">
        <v>2017</v>
      </c>
      <c r="C1802" t="s">
        <v>205</v>
      </c>
      <c r="D1802" s="437" t="s">
        <v>397</v>
      </c>
      <c r="E1802" s="437">
        <v>330</v>
      </c>
    </row>
    <row r="1803" spans="1:5" x14ac:dyDescent="0.25">
      <c r="A1803" t="s">
        <v>128</v>
      </c>
      <c r="B1803">
        <v>2017</v>
      </c>
      <c r="C1803" t="s">
        <v>205</v>
      </c>
      <c r="D1803" s="437" t="s">
        <v>133</v>
      </c>
      <c r="E1803" s="437">
        <v>2539</v>
      </c>
    </row>
    <row r="1804" spans="1:5" x14ac:dyDescent="0.25">
      <c r="A1804" t="s">
        <v>128</v>
      </c>
      <c r="B1804">
        <v>2017</v>
      </c>
      <c r="C1804" t="s">
        <v>205</v>
      </c>
      <c r="D1804" s="437" t="s">
        <v>597</v>
      </c>
      <c r="E1804" s="437">
        <v>2320</v>
      </c>
    </row>
    <row r="1805" spans="1:5" x14ac:dyDescent="0.25">
      <c r="A1805" t="s">
        <v>128</v>
      </c>
      <c r="B1805">
        <v>2017</v>
      </c>
      <c r="C1805" t="s">
        <v>205</v>
      </c>
      <c r="D1805" s="437" t="s">
        <v>596</v>
      </c>
      <c r="E1805" s="437">
        <v>4541</v>
      </c>
    </row>
    <row r="1806" spans="1:5" x14ac:dyDescent="0.25">
      <c r="A1806" t="s">
        <v>128</v>
      </c>
      <c r="B1806">
        <v>2017</v>
      </c>
      <c r="C1806" t="s">
        <v>205</v>
      </c>
      <c r="D1806" s="437" t="s">
        <v>413</v>
      </c>
      <c r="E1806" s="437">
        <v>31</v>
      </c>
    </row>
    <row r="1807" spans="1:5" x14ac:dyDescent="0.25">
      <c r="A1807" t="s">
        <v>129</v>
      </c>
      <c r="B1807">
        <v>2017</v>
      </c>
      <c r="C1807" t="s">
        <v>205</v>
      </c>
      <c r="D1807" s="437" t="s">
        <v>57</v>
      </c>
      <c r="E1807" s="437">
        <v>0</v>
      </c>
    </row>
    <row r="1808" spans="1:5" x14ac:dyDescent="0.25">
      <c r="A1808" t="s">
        <v>129</v>
      </c>
      <c r="B1808">
        <v>2017</v>
      </c>
      <c r="C1808" t="s">
        <v>205</v>
      </c>
      <c r="D1808" s="437" t="s">
        <v>348</v>
      </c>
      <c r="E1808" s="437">
        <v>9773</v>
      </c>
    </row>
    <row r="1809" spans="1:5" x14ac:dyDescent="0.25">
      <c r="A1809" t="s">
        <v>129</v>
      </c>
      <c r="B1809">
        <v>2017</v>
      </c>
      <c r="C1809" t="s">
        <v>205</v>
      </c>
      <c r="D1809" s="437" t="s">
        <v>349</v>
      </c>
      <c r="E1809" s="437">
        <v>9576</v>
      </c>
    </row>
    <row r="1810" spans="1:5" x14ac:dyDescent="0.25">
      <c r="A1810" t="s">
        <v>129</v>
      </c>
      <c r="B1810">
        <v>2017</v>
      </c>
      <c r="C1810" t="s">
        <v>205</v>
      </c>
      <c r="D1810" s="437" t="s">
        <v>595</v>
      </c>
      <c r="E1810" s="437">
        <v>26637</v>
      </c>
    </row>
    <row r="1811" spans="1:5" x14ac:dyDescent="0.25">
      <c r="A1811" t="s">
        <v>129</v>
      </c>
      <c r="B1811">
        <v>2017</v>
      </c>
      <c r="C1811" t="s">
        <v>205</v>
      </c>
      <c r="D1811" s="437" t="s">
        <v>352</v>
      </c>
      <c r="E1811" s="437">
        <v>306</v>
      </c>
    </row>
    <row r="1812" spans="1:5" x14ac:dyDescent="0.25">
      <c r="A1812" t="s">
        <v>129</v>
      </c>
      <c r="B1812">
        <v>2017</v>
      </c>
      <c r="C1812" t="s">
        <v>205</v>
      </c>
      <c r="D1812" s="437" t="s">
        <v>43</v>
      </c>
      <c r="E1812" s="437">
        <v>6516</v>
      </c>
    </row>
    <row r="1813" spans="1:5" x14ac:dyDescent="0.25">
      <c r="A1813" t="s">
        <v>129</v>
      </c>
      <c r="B1813">
        <v>2017</v>
      </c>
      <c r="C1813" t="s">
        <v>205</v>
      </c>
      <c r="D1813" s="437" t="s">
        <v>42</v>
      </c>
      <c r="E1813" s="437">
        <v>0</v>
      </c>
    </row>
    <row r="1814" spans="1:5" x14ac:dyDescent="0.25">
      <c r="A1814" t="s">
        <v>129</v>
      </c>
      <c r="B1814">
        <v>2017</v>
      </c>
      <c r="C1814" t="s">
        <v>205</v>
      </c>
      <c r="D1814" s="437" t="s">
        <v>44</v>
      </c>
      <c r="E1814" s="437">
        <v>3421</v>
      </c>
    </row>
    <row r="1815" spans="1:5" x14ac:dyDescent="0.25">
      <c r="A1815" t="s">
        <v>129</v>
      </c>
      <c r="B1815">
        <v>2017</v>
      </c>
      <c r="C1815" t="s">
        <v>205</v>
      </c>
      <c r="D1815" s="437" t="s">
        <v>397</v>
      </c>
      <c r="E1815" s="437">
        <v>634</v>
      </c>
    </row>
    <row r="1816" spans="1:5" x14ac:dyDescent="0.25">
      <c r="A1816" t="s">
        <v>129</v>
      </c>
      <c r="B1816">
        <v>2017</v>
      </c>
      <c r="C1816" t="s">
        <v>205</v>
      </c>
      <c r="D1816" s="437" t="s">
        <v>133</v>
      </c>
      <c r="E1816" s="437">
        <v>27273</v>
      </c>
    </row>
    <row r="1817" spans="1:5" x14ac:dyDescent="0.25">
      <c r="A1817" t="s">
        <v>129</v>
      </c>
      <c r="B1817">
        <v>2017</v>
      </c>
      <c r="C1817" t="s">
        <v>205</v>
      </c>
      <c r="D1817" s="437" t="s">
        <v>597</v>
      </c>
      <c r="E1817" s="437">
        <v>18851</v>
      </c>
    </row>
    <row r="1818" spans="1:5" x14ac:dyDescent="0.25">
      <c r="A1818" t="s">
        <v>129</v>
      </c>
      <c r="B1818">
        <v>2017</v>
      </c>
      <c r="C1818" t="s">
        <v>205</v>
      </c>
      <c r="D1818" s="437" t="s">
        <v>596</v>
      </c>
      <c r="E1818" s="437">
        <v>47062</v>
      </c>
    </row>
    <row r="1819" spans="1:5" x14ac:dyDescent="0.25">
      <c r="A1819" t="s">
        <v>129</v>
      </c>
      <c r="B1819">
        <v>2017</v>
      </c>
      <c r="C1819" t="s">
        <v>205</v>
      </c>
      <c r="D1819" s="437" t="s">
        <v>413</v>
      </c>
      <c r="E1819" s="437">
        <v>1064</v>
      </c>
    </row>
    <row r="1820" spans="1:5" x14ac:dyDescent="0.25">
      <c r="A1820" t="s">
        <v>98</v>
      </c>
      <c r="B1820">
        <v>2017</v>
      </c>
      <c r="C1820" t="s">
        <v>205</v>
      </c>
      <c r="D1820" s="437" t="s">
        <v>57</v>
      </c>
      <c r="E1820" s="437">
        <v>0</v>
      </c>
    </row>
    <row r="1821" spans="1:5" x14ac:dyDescent="0.25">
      <c r="A1821" t="s">
        <v>98</v>
      </c>
      <c r="B1821">
        <v>2017</v>
      </c>
      <c r="C1821" t="s">
        <v>205</v>
      </c>
      <c r="D1821" s="437" t="s">
        <v>348</v>
      </c>
      <c r="E1821" s="437">
        <v>0</v>
      </c>
    </row>
    <row r="1822" spans="1:5" x14ac:dyDescent="0.25">
      <c r="A1822" t="s">
        <v>98</v>
      </c>
      <c r="B1822">
        <v>2017</v>
      </c>
      <c r="C1822" t="s">
        <v>205</v>
      </c>
      <c r="D1822" s="437" t="s">
        <v>349</v>
      </c>
      <c r="E1822" s="437">
        <v>0</v>
      </c>
    </row>
    <row r="1823" spans="1:5" x14ac:dyDescent="0.25">
      <c r="A1823" t="s">
        <v>98</v>
      </c>
      <c r="B1823">
        <v>2017</v>
      </c>
      <c r="C1823" t="s">
        <v>205</v>
      </c>
      <c r="D1823" s="437" t="s">
        <v>595</v>
      </c>
      <c r="E1823" s="437">
        <v>0</v>
      </c>
    </row>
    <row r="1824" spans="1:5" x14ac:dyDescent="0.25">
      <c r="A1824" t="s">
        <v>98</v>
      </c>
      <c r="B1824">
        <v>2017</v>
      </c>
      <c r="C1824" t="s">
        <v>205</v>
      </c>
      <c r="D1824" s="437" t="s">
        <v>352</v>
      </c>
      <c r="E1824" s="437">
        <v>97</v>
      </c>
    </row>
    <row r="1825" spans="1:5" x14ac:dyDescent="0.25">
      <c r="A1825" t="s">
        <v>98</v>
      </c>
      <c r="B1825">
        <v>2017</v>
      </c>
      <c r="C1825" t="s">
        <v>205</v>
      </c>
      <c r="D1825" s="437" t="s">
        <v>43</v>
      </c>
      <c r="E1825" s="437">
        <v>0</v>
      </c>
    </row>
    <row r="1826" spans="1:5" x14ac:dyDescent="0.25">
      <c r="A1826" t="s">
        <v>98</v>
      </c>
      <c r="B1826">
        <v>2017</v>
      </c>
      <c r="C1826" t="s">
        <v>205</v>
      </c>
      <c r="D1826" s="437" t="s">
        <v>42</v>
      </c>
      <c r="E1826" s="437">
        <v>0</v>
      </c>
    </row>
    <row r="1827" spans="1:5" x14ac:dyDescent="0.25">
      <c r="A1827" t="s">
        <v>98</v>
      </c>
      <c r="B1827">
        <v>2017</v>
      </c>
      <c r="C1827" t="s">
        <v>205</v>
      </c>
      <c r="D1827" s="437" t="s">
        <v>44</v>
      </c>
      <c r="E1827" s="437">
        <v>0</v>
      </c>
    </row>
    <row r="1828" spans="1:5" x14ac:dyDescent="0.25">
      <c r="A1828" t="s">
        <v>98</v>
      </c>
      <c r="B1828">
        <v>2017</v>
      </c>
      <c r="C1828" t="s">
        <v>205</v>
      </c>
      <c r="D1828" s="437" t="s">
        <v>397</v>
      </c>
      <c r="E1828" s="437">
        <v>0</v>
      </c>
    </row>
    <row r="1829" spans="1:5" x14ac:dyDescent="0.25">
      <c r="A1829" t="s">
        <v>98</v>
      </c>
      <c r="B1829">
        <v>2017</v>
      </c>
      <c r="C1829" t="s">
        <v>205</v>
      </c>
      <c r="D1829" s="437" t="s">
        <v>133</v>
      </c>
      <c r="E1829" s="437">
        <v>1835</v>
      </c>
    </row>
    <row r="1830" spans="1:5" x14ac:dyDescent="0.25">
      <c r="A1830" t="s">
        <v>98</v>
      </c>
      <c r="B1830">
        <v>2017</v>
      </c>
      <c r="C1830" t="s">
        <v>205</v>
      </c>
      <c r="D1830" s="437" t="s">
        <v>597</v>
      </c>
      <c r="E1830" s="437">
        <v>408</v>
      </c>
    </row>
    <row r="1831" spans="1:5" x14ac:dyDescent="0.25">
      <c r="A1831" t="s">
        <v>98</v>
      </c>
      <c r="B1831">
        <v>2017</v>
      </c>
      <c r="C1831" t="s">
        <v>205</v>
      </c>
      <c r="D1831" s="437" t="s">
        <v>596</v>
      </c>
      <c r="E1831" s="437">
        <v>1420</v>
      </c>
    </row>
    <row r="1832" spans="1:5" x14ac:dyDescent="0.25">
      <c r="A1832" t="s">
        <v>98</v>
      </c>
      <c r="B1832">
        <v>2017</v>
      </c>
      <c r="C1832" t="s">
        <v>205</v>
      </c>
      <c r="D1832" s="437" t="s">
        <v>413</v>
      </c>
      <c r="E1832" s="437">
        <v>0</v>
      </c>
    </row>
    <row r="1833" spans="1:5" x14ac:dyDescent="0.25">
      <c r="A1833" t="s">
        <v>100</v>
      </c>
      <c r="B1833">
        <v>2017</v>
      </c>
      <c r="C1833" t="s">
        <v>205</v>
      </c>
      <c r="D1833" s="437" t="s">
        <v>57</v>
      </c>
      <c r="E1833" s="437">
        <v>0</v>
      </c>
    </row>
    <row r="1834" spans="1:5" x14ac:dyDescent="0.25">
      <c r="A1834" t="s">
        <v>100</v>
      </c>
      <c r="B1834">
        <v>2017</v>
      </c>
      <c r="C1834" t="s">
        <v>205</v>
      </c>
      <c r="D1834" s="437" t="s">
        <v>348</v>
      </c>
      <c r="E1834" s="437">
        <v>1888</v>
      </c>
    </row>
    <row r="1835" spans="1:5" x14ac:dyDescent="0.25">
      <c r="A1835" t="s">
        <v>100</v>
      </c>
      <c r="B1835">
        <v>2017</v>
      </c>
      <c r="C1835" t="s">
        <v>205</v>
      </c>
      <c r="D1835" s="437" t="s">
        <v>349</v>
      </c>
      <c r="E1835" s="437">
        <v>0</v>
      </c>
    </row>
    <row r="1836" spans="1:5" x14ac:dyDescent="0.25">
      <c r="A1836" t="s">
        <v>100</v>
      </c>
      <c r="B1836">
        <v>2017</v>
      </c>
      <c r="C1836" t="s">
        <v>205</v>
      </c>
      <c r="D1836" s="437" t="s">
        <v>595</v>
      </c>
      <c r="E1836" s="437">
        <v>0</v>
      </c>
    </row>
    <row r="1837" spans="1:5" x14ac:dyDescent="0.25">
      <c r="A1837" t="s">
        <v>100</v>
      </c>
      <c r="B1837">
        <v>2017</v>
      </c>
      <c r="C1837" t="s">
        <v>205</v>
      </c>
      <c r="D1837" s="437" t="s">
        <v>352</v>
      </c>
      <c r="E1837" s="437">
        <v>0</v>
      </c>
    </row>
    <row r="1838" spans="1:5" x14ac:dyDescent="0.25">
      <c r="A1838" t="s">
        <v>100</v>
      </c>
      <c r="B1838">
        <v>2017</v>
      </c>
      <c r="C1838" t="s">
        <v>205</v>
      </c>
      <c r="D1838" s="437" t="s">
        <v>43</v>
      </c>
      <c r="E1838" s="437">
        <v>0</v>
      </c>
    </row>
    <row r="1839" spans="1:5" x14ac:dyDescent="0.25">
      <c r="A1839" t="s">
        <v>100</v>
      </c>
      <c r="B1839">
        <v>2017</v>
      </c>
      <c r="C1839" t="s">
        <v>205</v>
      </c>
      <c r="D1839" s="437" t="s">
        <v>42</v>
      </c>
      <c r="E1839" s="437">
        <v>0</v>
      </c>
    </row>
    <row r="1840" spans="1:5" x14ac:dyDescent="0.25">
      <c r="A1840" t="s">
        <v>100</v>
      </c>
      <c r="B1840">
        <v>2017</v>
      </c>
      <c r="C1840" t="s">
        <v>205</v>
      </c>
      <c r="D1840" s="437" t="s">
        <v>44</v>
      </c>
      <c r="E1840" s="437">
        <v>0</v>
      </c>
    </row>
    <row r="1841" spans="1:5" x14ac:dyDescent="0.25">
      <c r="A1841" t="s">
        <v>100</v>
      </c>
      <c r="B1841">
        <v>2017</v>
      </c>
      <c r="C1841" t="s">
        <v>205</v>
      </c>
      <c r="D1841" s="437" t="s">
        <v>397</v>
      </c>
      <c r="E1841" s="437">
        <v>0</v>
      </c>
    </row>
    <row r="1842" spans="1:5" x14ac:dyDescent="0.25">
      <c r="A1842" t="s">
        <v>100</v>
      </c>
      <c r="B1842">
        <v>2017</v>
      </c>
      <c r="C1842" t="s">
        <v>205</v>
      </c>
      <c r="D1842" s="437" t="s">
        <v>133</v>
      </c>
      <c r="E1842" s="437">
        <v>2096</v>
      </c>
    </row>
    <row r="1843" spans="1:5" x14ac:dyDescent="0.25">
      <c r="A1843" t="s">
        <v>100</v>
      </c>
      <c r="B1843">
        <v>2017</v>
      </c>
      <c r="C1843" t="s">
        <v>205</v>
      </c>
      <c r="D1843" s="437" t="s">
        <v>597</v>
      </c>
      <c r="E1843" s="437">
        <v>873</v>
      </c>
    </row>
    <row r="1844" spans="1:5" x14ac:dyDescent="0.25">
      <c r="A1844" t="s">
        <v>100</v>
      </c>
      <c r="B1844">
        <v>2017</v>
      </c>
      <c r="C1844" t="s">
        <v>205</v>
      </c>
      <c r="D1844" s="437" t="s">
        <v>596</v>
      </c>
      <c r="E1844" s="437">
        <v>2237</v>
      </c>
    </row>
    <row r="1845" spans="1:5" x14ac:dyDescent="0.25">
      <c r="A1845" t="s">
        <v>100</v>
      </c>
      <c r="B1845">
        <v>2017</v>
      </c>
      <c r="C1845" t="s">
        <v>205</v>
      </c>
      <c r="D1845" s="437" t="s">
        <v>413</v>
      </c>
      <c r="E1845" s="437">
        <v>0</v>
      </c>
    </row>
    <row r="1846" spans="1:5" x14ac:dyDescent="0.25">
      <c r="A1846" t="s">
        <v>118</v>
      </c>
      <c r="B1846">
        <v>2017</v>
      </c>
      <c r="C1846" t="s">
        <v>205</v>
      </c>
      <c r="D1846" s="437" t="s">
        <v>57</v>
      </c>
      <c r="E1846" s="437">
        <v>0</v>
      </c>
    </row>
    <row r="1847" spans="1:5" x14ac:dyDescent="0.25">
      <c r="A1847" t="s">
        <v>118</v>
      </c>
      <c r="B1847">
        <v>2017</v>
      </c>
      <c r="C1847" t="s">
        <v>205</v>
      </c>
      <c r="D1847" s="437" t="s">
        <v>348</v>
      </c>
      <c r="E1847" s="437">
        <v>220</v>
      </c>
    </row>
    <row r="1848" spans="1:5" x14ac:dyDescent="0.25">
      <c r="A1848" t="s">
        <v>118</v>
      </c>
      <c r="B1848">
        <v>2017</v>
      </c>
      <c r="C1848" t="s">
        <v>205</v>
      </c>
      <c r="D1848" s="437" t="s">
        <v>349</v>
      </c>
      <c r="E1848" s="437">
        <v>0</v>
      </c>
    </row>
    <row r="1849" spans="1:5" x14ac:dyDescent="0.25">
      <c r="A1849" t="s">
        <v>118</v>
      </c>
      <c r="B1849">
        <v>2017</v>
      </c>
      <c r="C1849" t="s">
        <v>205</v>
      </c>
      <c r="D1849" s="437" t="s">
        <v>595</v>
      </c>
      <c r="E1849" s="437">
        <v>0</v>
      </c>
    </row>
    <row r="1850" spans="1:5" x14ac:dyDescent="0.25">
      <c r="A1850" t="s">
        <v>118</v>
      </c>
      <c r="B1850">
        <v>2017</v>
      </c>
      <c r="C1850" t="s">
        <v>205</v>
      </c>
      <c r="D1850" s="437" t="s">
        <v>352</v>
      </c>
      <c r="E1850" s="437">
        <v>0</v>
      </c>
    </row>
    <row r="1851" spans="1:5" x14ac:dyDescent="0.25">
      <c r="A1851" t="s">
        <v>118</v>
      </c>
      <c r="B1851">
        <v>2017</v>
      </c>
      <c r="C1851" t="s">
        <v>205</v>
      </c>
      <c r="D1851" s="437" t="s">
        <v>43</v>
      </c>
      <c r="E1851" s="437">
        <v>72</v>
      </c>
    </row>
    <row r="1852" spans="1:5" x14ac:dyDescent="0.25">
      <c r="A1852" t="s">
        <v>118</v>
      </c>
      <c r="B1852">
        <v>2017</v>
      </c>
      <c r="C1852" t="s">
        <v>205</v>
      </c>
      <c r="D1852" s="437" t="s">
        <v>42</v>
      </c>
      <c r="E1852" s="437">
        <v>0</v>
      </c>
    </row>
    <row r="1853" spans="1:5" x14ac:dyDescent="0.25">
      <c r="A1853" t="s">
        <v>118</v>
      </c>
      <c r="B1853">
        <v>2017</v>
      </c>
      <c r="C1853" t="s">
        <v>205</v>
      </c>
      <c r="D1853" s="437" t="s">
        <v>44</v>
      </c>
      <c r="E1853" s="437">
        <v>0</v>
      </c>
    </row>
    <row r="1854" spans="1:5" x14ac:dyDescent="0.25">
      <c r="A1854" t="s">
        <v>118</v>
      </c>
      <c r="B1854">
        <v>2017</v>
      </c>
      <c r="C1854" t="s">
        <v>205</v>
      </c>
      <c r="D1854" s="437" t="s">
        <v>397</v>
      </c>
      <c r="E1854" s="437">
        <v>0</v>
      </c>
    </row>
    <row r="1855" spans="1:5" x14ac:dyDescent="0.25">
      <c r="A1855" t="s">
        <v>118</v>
      </c>
      <c r="B1855">
        <v>2017</v>
      </c>
      <c r="C1855" t="s">
        <v>205</v>
      </c>
      <c r="D1855" s="437" t="s">
        <v>133</v>
      </c>
      <c r="E1855" s="437">
        <v>660</v>
      </c>
    </row>
    <row r="1856" spans="1:5" x14ac:dyDescent="0.25">
      <c r="A1856" t="s">
        <v>118</v>
      </c>
      <c r="B1856">
        <v>2017</v>
      </c>
      <c r="C1856" t="s">
        <v>205</v>
      </c>
      <c r="D1856" s="437" t="s">
        <v>597</v>
      </c>
      <c r="E1856" s="437">
        <v>221</v>
      </c>
    </row>
    <row r="1857" spans="1:5" x14ac:dyDescent="0.25">
      <c r="A1857" t="s">
        <v>118</v>
      </c>
      <c r="B1857">
        <v>2017</v>
      </c>
      <c r="C1857" t="s">
        <v>205</v>
      </c>
      <c r="D1857" s="437" t="s">
        <v>596</v>
      </c>
      <c r="E1857" s="437">
        <v>654</v>
      </c>
    </row>
    <row r="1858" spans="1:5" x14ac:dyDescent="0.25">
      <c r="A1858" t="s">
        <v>118</v>
      </c>
      <c r="B1858">
        <v>2017</v>
      </c>
      <c r="C1858" t="s">
        <v>205</v>
      </c>
      <c r="D1858" s="437" t="s">
        <v>413</v>
      </c>
      <c r="E1858" s="437">
        <v>0</v>
      </c>
    </row>
    <row r="1859" spans="1:5" x14ac:dyDescent="0.25">
      <c r="A1859" t="s">
        <v>119</v>
      </c>
      <c r="B1859">
        <v>2017</v>
      </c>
      <c r="C1859" t="s">
        <v>205</v>
      </c>
      <c r="D1859" s="437" t="s">
        <v>57</v>
      </c>
      <c r="E1859" s="437">
        <v>0</v>
      </c>
    </row>
    <row r="1860" spans="1:5" x14ac:dyDescent="0.25">
      <c r="A1860" t="s">
        <v>119</v>
      </c>
      <c r="B1860">
        <v>2017</v>
      </c>
      <c r="C1860" t="s">
        <v>205</v>
      </c>
      <c r="D1860" s="437" t="s">
        <v>348</v>
      </c>
      <c r="E1860" s="437">
        <v>718</v>
      </c>
    </row>
    <row r="1861" spans="1:5" x14ac:dyDescent="0.25">
      <c r="A1861" t="s">
        <v>119</v>
      </c>
      <c r="B1861">
        <v>2017</v>
      </c>
      <c r="C1861" t="s">
        <v>205</v>
      </c>
      <c r="D1861" s="437" t="s">
        <v>349</v>
      </c>
      <c r="E1861" s="437">
        <v>0</v>
      </c>
    </row>
    <row r="1862" spans="1:5" x14ac:dyDescent="0.25">
      <c r="A1862" t="s">
        <v>119</v>
      </c>
      <c r="B1862">
        <v>2017</v>
      </c>
      <c r="C1862" t="s">
        <v>205</v>
      </c>
      <c r="D1862" s="437" t="s">
        <v>595</v>
      </c>
      <c r="E1862" s="437">
        <v>250</v>
      </c>
    </row>
    <row r="1863" spans="1:5" x14ac:dyDescent="0.25">
      <c r="A1863" t="s">
        <v>119</v>
      </c>
      <c r="B1863">
        <v>2017</v>
      </c>
      <c r="C1863" t="s">
        <v>205</v>
      </c>
      <c r="D1863" s="437" t="s">
        <v>352</v>
      </c>
      <c r="E1863" s="437">
        <v>189</v>
      </c>
    </row>
    <row r="1864" spans="1:5" x14ac:dyDescent="0.25">
      <c r="A1864" t="s">
        <v>119</v>
      </c>
      <c r="B1864">
        <v>2017</v>
      </c>
      <c r="C1864" t="s">
        <v>205</v>
      </c>
      <c r="D1864" s="437" t="s">
        <v>43</v>
      </c>
      <c r="E1864" s="437">
        <v>36</v>
      </c>
    </row>
    <row r="1865" spans="1:5" x14ac:dyDescent="0.25">
      <c r="A1865" t="s">
        <v>119</v>
      </c>
      <c r="B1865">
        <v>2017</v>
      </c>
      <c r="C1865" t="s">
        <v>205</v>
      </c>
      <c r="D1865" s="437" t="s">
        <v>42</v>
      </c>
      <c r="E1865" s="437">
        <v>0</v>
      </c>
    </row>
    <row r="1866" spans="1:5" x14ac:dyDescent="0.25">
      <c r="A1866" t="s">
        <v>119</v>
      </c>
      <c r="B1866">
        <v>2017</v>
      </c>
      <c r="C1866" t="s">
        <v>205</v>
      </c>
      <c r="D1866" s="437" t="s">
        <v>44</v>
      </c>
      <c r="E1866" s="437">
        <v>17</v>
      </c>
    </row>
    <row r="1867" spans="1:5" x14ac:dyDescent="0.25">
      <c r="A1867" t="s">
        <v>119</v>
      </c>
      <c r="B1867">
        <v>2017</v>
      </c>
      <c r="C1867" t="s">
        <v>205</v>
      </c>
      <c r="D1867" s="437" t="s">
        <v>397</v>
      </c>
      <c r="E1867" s="437">
        <v>4</v>
      </c>
    </row>
    <row r="1868" spans="1:5" x14ac:dyDescent="0.25">
      <c r="A1868" t="s">
        <v>119</v>
      </c>
      <c r="B1868">
        <v>2017</v>
      </c>
      <c r="C1868" t="s">
        <v>205</v>
      </c>
      <c r="D1868" s="437" t="s">
        <v>133</v>
      </c>
      <c r="E1868" s="437">
        <v>676</v>
      </c>
    </row>
    <row r="1869" spans="1:5" x14ac:dyDescent="0.25">
      <c r="A1869" t="s">
        <v>119</v>
      </c>
      <c r="B1869">
        <v>2017</v>
      </c>
      <c r="C1869" t="s">
        <v>205</v>
      </c>
      <c r="D1869" s="437" t="s">
        <v>597</v>
      </c>
      <c r="E1869" s="437">
        <v>422</v>
      </c>
    </row>
    <row r="1870" spans="1:5" x14ac:dyDescent="0.25">
      <c r="A1870" t="s">
        <v>119</v>
      </c>
      <c r="B1870">
        <v>2017</v>
      </c>
      <c r="C1870" t="s">
        <v>205</v>
      </c>
      <c r="D1870" s="437" t="s">
        <v>596</v>
      </c>
      <c r="E1870" s="437">
        <v>1514</v>
      </c>
    </row>
    <row r="1871" spans="1:5" x14ac:dyDescent="0.25">
      <c r="A1871" t="s">
        <v>119</v>
      </c>
      <c r="B1871">
        <v>2017</v>
      </c>
      <c r="C1871" t="s">
        <v>205</v>
      </c>
      <c r="D1871" s="437" t="s">
        <v>413</v>
      </c>
      <c r="E1871" s="437">
        <v>0</v>
      </c>
    </row>
    <row r="1872" spans="1:5" x14ac:dyDescent="0.25">
      <c r="A1872" t="s">
        <v>125</v>
      </c>
      <c r="B1872">
        <v>2017</v>
      </c>
      <c r="C1872" t="s">
        <v>205</v>
      </c>
      <c r="D1872" s="437" t="s">
        <v>57</v>
      </c>
      <c r="E1872" s="437">
        <v>0</v>
      </c>
    </row>
    <row r="1873" spans="1:5" x14ac:dyDescent="0.25">
      <c r="A1873" t="s">
        <v>125</v>
      </c>
      <c r="B1873">
        <v>2017</v>
      </c>
      <c r="C1873" t="s">
        <v>205</v>
      </c>
      <c r="D1873" s="437" t="s">
        <v>348</v>
      </c>
      <c r="E1873" s="437">
        <v>5289</v>
      </c>
    </row>
    <row r="1874" spans="1:5" x14ac:dyDescent="0.25">
      <c r="A1874" t="s">
        <v>125</v>
      </c>
      <c r="B1874">
        <v>2017</v>
      </c>
      <c r="C1874" t="s">
        <v>205</v>
      </c>
      <c r="D1874" s="437" t="s">
        <v>349</v>
      </c>
      <c r="E1874" s="437">
        <v>0</v>
      </c>
    </row>
    <row r="1875" spans="1:5" x14ac:dyDescent="0.25">
      <c r="A1875" t="s">
        <v>125</v>
      </c>
      <c r="B1875">
        <v>2017</v>
      </c>
      <c r="C1875" t="s">
        <v>205</v>
      </c>
      <c r="D1875" s="437" t="s">
        <v>595</v>
      </c>
      <c r="E1875" s="437">
        <v>208</v>
      </c>
    </row>
    <row r="1876" spans="1:5" x14ac:dyDescent="0.25">
      <c r="A1876" t="s">
        <v>125</v>
      </c>
      <c r="B1876">
        <v>2017</v>
      </c>
      <c r="C1876" t="s">
        <v>205</v>
      </c>
      <c r="D1876" s="437" t="s">
        <v>352</v>
      </c>
      <c r="E1876" s="437">
        <v>0</v>
      </c>
    </row>
    <row r="1877" spans="1:5" x14ac:dyDescent="0.25">
      <c r="A1877" t="s">
        <v>125</v>
      </c>
      <c r="B1877">
        <v>2017</v>
      </c>
      <c r="C1877" t="s">
        <v>205</v>
      </c>
      <c r="D1877" s="437" t="s">
        <v>43</v>
      </c>
      <c r="E1877" s="437">
        <v>0</v>
      </c>
    </row>
    <row r="1878" spans="1:5" x14ac:dyDescent="0.25">
      <c r="A1878" t="s">
        <v>125</v>
      </c>
      <c r="B1878">
        <v>2017</v>
      </c>
      <c r="C1878" t="s">
        <v>205</v>
      </c>
      <c r="D1878" s="437" t="s">
        <v>42</v>
      </c>
      <c r="E1878" s="437">
        <v>0</v>
      </c>
    </row>
    <row r="1879" spans="1:5" x14ac:dyDescent="0.25">
      <c r="A1879" t="s">
        <v>125</v>
      </c>
      <c r="B1879">
        <v>2017</v>
      </c>
      <c r="C1879" t="s">
        <v>205</v>
      </c>
      <c r="D1879" s="437" t="s">
        <v>44</v>
      </c>
      <c r="E1879" s="437">
        <v>0</v>
      </c>
    </row>
    <row r="1880" spans="1:5" x14ac:dyDescent="0.25">
      <c r="A1880" t="s">
        <v>125</v>
      </c>
      <c r="B1880">
        <v>2017</v>
      </c>
      <c r="C1880" t="s">
        <v>205</v>
      </c>
      <c r="D1880" s="437" t="s">
        <v>397</v>
      </c>
      <c r="E1880" s="437">
        <v>0</v>
      </c>
    </row>
    <row r="1881" spans="1:5" x14ac:dyDescent="0.25">
      <c r="A1881" t="s">
        <v>125</v>
      </c>
      <c r="B1881">
        <v>2017</v>
      </c>
      <c r="C1881" t="s">
        <v>205</v>
      </c>
      <c r="D1881" s="437" t="s">
        <v>133</v>
      </c>
      <c r="E1881" s="437">
        <v>2997</v>
      </c>
    </row>
    <row r="1882" spans="1:5" x14ac:dyDescent="0.25">
      <c r="A1882" t="s">
        <v>125</v>
      </c>
      <c r="B1882">
        <v>2017</v>
      </c>
      <c r="C1882" t="s">
        <v>205</v>
      </c>
      <c r="D1882" s="437" t="s">
        <v>597</v>
      </c>
      <c r="E1882" s="437">
        <v>2503</v>
      </c>
    </row>
    <row r="1883" spans="1:5" x14ac:dyDescent="0.25">
      <c r="A1883" t="s">
        <v>125</v>
      </c>
      <c r="B1883">
        <v>2017</v>
      </c>
      <c r="C1883" t="s">
        <v>205</v>
      </c>
      <c r="D1883" s="437" t="s">
        <v>596</v>
      </c>
      <c r="E1883" s="437">
        <v>7429</v>
      </c>
    </row>
    <row r="1884" spans="1:5" x14ac:dyDescent="0.25">
      <c r="A1884" t="s">
        <v>125</v>
      </c>
      <c r="B1884">
        <v>2017</v>
      </c>
      <c r="C1884" t="s">
        <v>205</v>
      </c>
      <c r="D1884" s="437" t="s">
        <v>413</v>
      </c>
      <c r="E1884" s="437">
        <v>0</v>
      </c>
    </row>
    <row r="1885" spans="1:5" x14ac:dyDescent="0.25">
      <c r="A1885" t="s">
        <v>643</v>
      </c>
      <c r="B1885">
        <v>2017</v>
      </c>
      <c r="C1885" t="s">
        <v>205</v>
      </c>
      <c r="D1885" s="437" t="s">
        <v>57</v>
      </c>
      <c r="E1885" s="437">
        <v>121973</v>
      </c>
    </row>
    <row r="1886" spans="1:5" x14ac:dyDescent="0.25">
      <c r="A1886" t="s">
        <v>643</v>
      </c>
      <c r="B1886">
        <v>2017</v>
      </c>
      <c r="C1886" t="s">
        <v>205</v>
      </c>
      <c r="D1886" s="437" t="s">
        <v>348</v>
      </c>
      <c r="E1886" s="437">
        <v>70471</v>
      </c>
    </row>
    <row r="1887" spans="1:5" x14ac:dyDescent="0.25">
      <c r="A1887" t="s">
        <v>643</v>
      </c>
      <c r="B1887">
        <v>2017</v>
      </c>
      <c r="C1887" t="s">
        <v>205</v>
      </c>
      <c r="D1887" s="437" t="s">
        <v>349</v>
      </c>
      <c r="E1887" s="437">
        <v>104370</v>
      </c>
    </row>
    <row r="1888" spans="1:5" x14ac:dyDescent="0.25">
      <c r="A1888" t="s">
        <v>643</v>
      </c>
      <c r="B1888">
        <v>2017</v>
      </c>
      <c r="C1888" t="s">
        <v>205</v>
      </c>
      <c r="D1888" s="437" t="s">
        <v>595</v>
      </c>
      <c r="E1888" s="437">
        <v>242496</v>
      </c>
    </row>
    <row r="1889" spans="1:5" x14ac:dyDescent="0.25">
      <c r="A1889" t="s">
        <v>643</v>
      </c>
      <c r="B1889">
        <v>2017</v>
      </c>
      <c r="C1889" t="s">
        <v>205</v>
      </c>
      <c r="D1889" s="437" t="s">
        <v>352</v>
      </c>
      <c r="E1889" s="437">
        <v>47302</v>
      </c>
    </row>
    <row r="1890" spans="1:5" x14ac:dyDescent="0.25">
      <c r="A1890" t="s">
        <v>643</v>
      </c>
      <c r="B1890">
        <v>2017</v>
      </c>
      <c r="C1890" t="s">
        <v>205</v>
      </c>
      <c r="D1890" s="437" t="s">
        <v>43</v>
      </c>
      <c r="E1890" s="437">
        <v>159874</v>
      </c>
    </row>
    <row r="1891" spans="1:5" x14ac:dyDescent="0.25">
      <c r="A1891" t="s">
        <v>643</v>
      </c>
      <c r="B1891">
        <v>2017</v>
      </c>
      <c r="C1891" t="s">
        <v>205</v>
      </c>
      <c r="D1891" s="437" t="s">
        <v>42</v>
      </c>
      <c r="E1891" s="437">
        <v>13870</v>
      </c>
    </row>
    <row r="1892" spans="1:5" x14ac:dyDescent="0.25">
      <c r="A1892" t="s">
        <v>643</v>
      </c>
      <c r="B1892">
        <v>2017</v>
      </c>
      <c r="C1892" t="s">
        <v>205</v>
      </c>
      <c r="D1892" s="437" t="s">
        <v>44</v>
      </c>
      <c r="E1892" s="437">
        <v>108403</v>
      </c>
    </row>
    <row r="1893" spans="1:5" x14ac:dyDescent="0.25">
      <c r="A1893" t="s">
        <v>643</v>
      </c>
      <c r="B1893">
        <v>2017</v>
      </c>
      <c r="C1893" t="s">
        <v>205</v>
      </c>
      <c r="D1893" s="437" t="s">
        <v>397</v>
      </c>
      <c r="E1893" s="437">
        <v>27148</v>
      </c>
    </row>
    <row r="1894" spans="1:5" x14ac:dyDescent="0.25">
      <c r="A1894" t="s">
        <v>643</v>
      </c>
      <c r="B1894">
        <v>2017</v>
      </c>
      <c r="C1894" t="s">
        <v>205</v>
      </c>
      <c r="D1894" s="437" t="s">
        <v>133</v>
      </c>
      <c r="E1894" s="437">
        <v>236792</v>
      </c>
    </row>
    <row r="1895" spans="1:5" x14ac:dyDescent="0.25">
      <c r="A1895" t="s">
        <v>643</v>
      </c>
      <c r="B1895">
        <v>2017</v>
      </c>
      <c r="C1895" t="s">
        <v>205</v>
      </c>
      <c r="D1895" s="437" t="s">
        <v>597</v>
      </c>
      <c r="E1895" s="437">
        <v>265419</v>
      </c>
    </row>
    <row r="1896" spans="1:5" x14ac:dyDescent="0.25">
      <c r="A1896" t="s">
        <v>643</v>
      </c>
      <c r="B1896">
        <v>2017</v>
      </c>
      <c r="C1896" t="s">
        <v>205</v>
      </c>
      <c r="D1896" s="437" t="s">
        <v>596</v>
      </c>
      <c r="E1896" s="437">
        <v>581276</v>
      </c>
    </row>
    <row r="1897" spans="1:5" x14ac:dyDescent="0.25">
      <c r="A1897" t="s">
        <v>643</v>
      </c>
      <c r="B1897">
        <v>2017</v>
      </c>
      <c r="C1897" t="s">
        <v>205</v>
      </c>
      <c r="D1897" s="437" t="s">
        <v>413</v>
      </c>
      <c r="E1897" s="437">
        <v>19315</v>
      </c>
    </row>
    <row r="1898" spans="1:5" x14ac:dyDescent="0.25">
      <c r="A1898" t="s">
        <v>264</v>
      </c>
      <c r="B1898">
        <v>2017</v>
      </c>
      <c r="C1898" t="s">
        <v>205</v>
      </c>
      <c r="D1898" s="437" t="s">
        <v>57</v>
      </c>
      <c r="E1898" s="437">
        <v>118640</v>
      </c>
    </row>
    <row r="1899" spans="1:5" x14ac:dyDescent="0.25">
      <c r="A1899" t="s">
        <v>264</v>
      </c>
      <c r="B1899">
        <v>2017</v>
      </c>
      <c r="C1899" t="s">
        <v>205</v>
      </c>
      <c r="D1899" s="437" t="s">
        <v>348</v>
      </c>
      <c r="E1899" s="437">
        <v>52583</v>
      </c>
    </row>
    <row r="1900" spans="1:5" x14ac:dyDescent="0.25">
      <c r="A1900" t="s">
        <v>264</v>
      </c>
      <c r="B1900">
        <v>2017</v>
      </c>
      <c r="C1900" t="s">
        <v>205</v>
      </c>
      <c r="D1900" s="437" t="s">
        <v>349</v>
      </c>
      <c r="E1900" s="437">
        <v>94794</v>
      </c>
    </row>
    <row r="1901" spans="1:5" x14ac:dyDescent="0.25">
      <c r="A1901" t="s">
        <v>264</v>
      </c>
      <c r="B1901">
        <v>2017</v>
      </c>
      <c r="C1901" t="s">
        <v>205</v>
      </c>
      <c r="D1901" s="437" t="s">
        <v>595</v>
      </c>
      <c r="E1901" s="437">
        <v>214953</v>
      </c>
    </row>
    <row r="1902" spans="1:5" x14ac:dyDescent="0.25">
      <c r="A1902" t="s">
        <v>264</v>
      </c>
      <c r="B1902">
        <v>2017</v>
      </c>
      <c r="C1902" t="s">
        <v>205</v>
      </c>
      <c r="D1902" s="437" t="s">
        <v>352</v>
      </c>
      <c r="E1902" s="437">
        <v>46700</v>
      </c>
    </row>
    <row r="1903" spans="1:5" x14ac:dyDescent="0.25">
      <c r="A1903" t="s">
        <v>264</v>
      </c>
      <c r="B1903">
        <v>2017</v>
      </c>
      <c r="C1903" t="s">
        <v>205</v>
      </c>
      <c r="D1903" s="437" t="s">
        <v>43</v>
      </c>
      <c r="E1903" s="437">
        <v>152104</v>
      </c>
    </row>
    <row r="1904" spans="1:5" x14ac:dyDescent="0.25">
      <c r="A1904" t="s">
        <v>264</v>
      </c>
      <c r="B1904">
        <v>2017</v>
      </c>
      <c r="C1904" t="s">
        <v>205</v>
      </c>
      <c r="D1904" s="437" t="s">
        <v>42</v>
      </c>
      <c r="E1904" s="437">
        <v>13870</v>
      </c>
    </row>
    <row r="1905" spans="1:5" x14ac:dyDescent="0.25">
      <c r="A1905" t="s">
        <v>264</v>
      </c>
      <c r="B1905">
        <v>2017</v>
      </c>
      <c r="C1905" t="s">
        <v>205</v>
      </c>
      <c r="D1905" s="437" t="s">
        <v>44</v>
      </c>
      <c r="E1905" s="437">
        <v>103566</v>
      </c>
    </row>
    <row r="1906" spans="1:5" x14ac:dyDescent="0.25">
      <c r="A1906" t="s">
        <v>264</v>
      </c>
      <c r="B1906">
        <v>2017</v>
      </c>
      <c r="C1906" t="s">
        <v>205</v>
      </c>
      <c r="D1906" s="437" t="s">
        <v>397</v>
      </c>
      <c r="E1906" s="437">
        <v>26256</v>
      </c>
    </row>
    <row r="1907" spans="1:5" x14ac:dyDescent="0.25">
      <c r="A1907" t="s">
        <v>264</v>
      </c>
      <c r="B1907">
        <v>2017</v>
      </c>
      <c r="C1907" t="s">
        <v>205</v>
      </c>
      <c r="D1907" s="437" t="s">
        <v>133</v>
      </c>
      <c r="E1907" s="437">
        <v>155462</v>
      </c>
    </row>
    <row r="1908" spans="1:5" x14ac:dyDescent="0.25">
      <c r="A1908" t="s">
        <v>264</v>
      </c>
      <c r="B1908">
        <v>2017</v>
      </c>
      <c r="C1908" t="s">
        <v>205</v>
      </c>
      <c r="D1908" s="437" t="s">
        <v>597</v>
      </c>
      <c r="E1908" s="437">
        <v>0</v>
      </c>
    </row>
    <row r="1909" spans="1:5" x14ac:dyDescent="0.25">
      <c r="A1909" t="s">
        <v>264</v>
      </c>
      <c r="B1909">
        <v>2017</v>
      </c>
      <c r="C1909" t="s">
        <v>205</v>
      </c>
      <c r="D1909" s="437" t="s">
        <v>596</v>
      </c>
      <c r="E1909" s="437">
        <v>0</v>
      </c>
    </row>
    <row r="1910" spans="1:5" x14ac:dyDescent="0.25">
      <c r="A1910" t="s">
        <v>264</v>
      </c>
      <c r="B1910">
        <v>2017</v>
      </c>
      <c r="C1910" t="s">
        <v>205</v>
      </c>
      <c r="D1910" s="437" t="s">
        <v>413</v>
      </c>
      <c r="E1910" s="437">
        <v>16999</v>
      </c>
    </row>
    <row r="1911" spans="1:5" x14ac:dyDescent="0.25">
      <c r="A1911" t="s">
        <v>99</v>
      </c>
      <c r="B1911">
        <v>2018</v>
      </c>
      <c r="C1911" t="s">
        <v>205</v>
      </c>
      <c r="D1911" s="437" t="s">
        <v>57</v>
      </c>
      <c r="E1911" s="437">
        <v>0</v>
      </c>
    </row>
    <row r="1912" spans="1:5" x14ac:dyDescent="0.25">
      <c r="A1912" t="s">
        <v>99</v>
      </c>
      <c r="B1912">
        <v>2018</v>
      </c>
      <c r="C1912" t="s">
        <v>205</v>
      </c>
      <c r="D1912" s="437" t="s">
        <v>348</v>
      </c>
      <c r="E1912" s="437">
        <v>0</v>
      </c>
    </row>
    <row r="1913" spans="1:5" x14ac:dyDescent="0.25">
      <c r="A1913" t="s">
        <v>99</v>
      </c>
      <c r="B1913">
        <v>2018</v>
      </c>
      <c r="C1913" t="s">
        <v>205</v>
      </c>
      <c r="D1913" s="437" t="s">
        <v>349</v>
      </c>
      <c r="E1913" s="437">
        <v>598</v>
      </c>
    </row>
    <row r="1914" spans="1:5" x14ac:dyDescent="0.25">
      <c r="A1914" t="s">
        <v>99</v>
      </c>
      <c r="B1914">
        <v>2018</v>
      </c>
      <c r="C1914" t="s">
        <v>205</v>
      </c>
      <c r="D1914" s="437" t="s">
        <v>595</v>
      </c>
      <c r="E1914" s="437">
        <v>4853</v>
      </c>
    </row>
    <row r="1915" spans="1:5" x14ac:dyDescent="0.25">
      <c r="A1915" t="s">
        <v>99</v>
      </c>
      <c r="B1915">
        <v>2018</v>
      </c>
      <c r="C1915" t="s">
        <v>205</v>
      </c>
      <c r="D1915" s="437" t="s">
        <v>352</v>
      </c>
      <c r="E1915" s="437">
        <v>1018</v>
      </c>
    </row>
    <row r="1916" spans="1:5" x14ac:dyDescent="0.25">
      <c r="A1916" t="s">
        <v>99</v>
      </c>
      <c r="B1916">
        <v>2018</v>
      </c>
      <c r="C1916" t="s">
        <v>205</v>
      </c>
      <c r="D1916" s="437" t="s">
        <v>43</v>
      </c>
      <c r="E1916" s="437">
        <v>2887</v>
      </c>
    </row>
    <row r="1917" spans="1:5" x14ac:dyDescent="0.25">
      <c r="A1917" t="s">
        <v>99</v>
      </c>
      <c r="B1917">
        <v>2018</v>
      </c>
      <c r="C1917" t="s">
        <v>205</v>
      </c>
      <c r="D1917" s="437" t="s">
        <v>42</v>
      </c>
      <c r="E1917" s="437">
        <v>0</v>
      </c>
    </row>
    <row r="1918" spans="1:5" x14ac:dyDescent="0.25">
      <c r="A1918" t="s">
        <v>99</v>
      </c>
      <c r="B1918">
        <v>2018</v>
      </c>
      <c r="C1918" t="s">
        <v>205</v>
      </c>
      <c r="D1918" s="437" t="s">
        <v>44</v>
      </c>
      <c r="E1918" s="437">
        <v>1193</v>
      </c>
    </row>
    <row r="1919" spans="1:5" x14ac:dyDescent="0.25">
      <c r="A1919" t="s">
        <v>99</v>
      </c>
      <c r="B1919">
        <v>2018</v>
      </c>
      <c r="C1919" t="s">
        <v>205</v>
      </c>
      <c r="D1919" s="437" t="s">
        <v>397</v>
      </c>
      <c r="E1919" s="437">
        <v>586</v>
      </c>
    </row>
    <row r="1920" spans="1:5" x14ac:dyDescent="0.25">
      <c r="A1920" t="s">
        <v>99</v>
      </c>
      <c r="B1920">
        <v>2018</v>
      </c>
      <c r="C1920" t="s">
        <v>205</v>
      </c>
      <c r="D1920" s="437" t="s">
        <v>133</v>
      </c>
      <c r="E1920" s="437">
        <v>14150</v>
      </c>
    </row>
    <row r="1921" spans="1:5" x14ac:dyDescent="0.25">
      <c r="A1921" t="s">
        <v>99</v>
      </c>
      <c r="B1921">
        <v>2018</v>
      </c>
      <c r="C1921" t="s">
        <v>205</v>
      </c>
      <c r="D1921" s="437" t="s">
        <v>597</v>
      </c>
      <c r="E1921" s="437">
        <v>4844</v>
      </c>
    </row>
    <row r="1922" spans="1:5" x14ac:dyDescent="0.25">
      <c r="A1922" t="s">
        <v>99</v>
      </c>
      <c r="B1922">
        <v>2018</v>
      </c>
      <c r="C1922" t="s">
        <v>205</v>
      </c>
      <c r="D1922" s="437" t="s">
        <v>596</v>
      </c>
      <c r="E1922" s="437">
        <v>12073</v>
      </c>
    </row>
    <row r="1923" spans="1:5" x14ac:dyDescent="0.25">
      <c r="A1923" t="s">
        <v>99</v>
      </c>
      <c r="B1923">
        <v>2018</v>
      </c>
      <c r="C1923" t="s">
        <v>205</v>
      </c>
      <c r="D1923" s="437" t="s">
        <v>413</v>
      </c>
      <c r="E1923" s="437">
        <v>128</v>
      </c>
    </row>
    <row r="1924" spans="1:5" x14ac:dyDescent="0.25">
      <c r="A1924" t="s">
        <v>101</v>
      </c>
      <c r="B1924">
        <v>2018</v>
      </c>
      <c r="C1924" t="s">
        <v>205</v>
      </c>
      <c r="D1924" s="437" t="s">
        <v>57</v>
      </c>
      <c r="E1924" s="437">
        <v>5919</v>
      </c>
    </row>
    <row r="1925" spans="1:5" x14ac:dyDescent="0.25">
      <c r="A1925" t="s">
        <v>101</v>
      </c>
      <c r="B1925">
        <v>2018</v>
      </c>
      <c r="C1925" t="s">
        <v>205</v>
      </c>
      <c r="D1925" s="437" t="s">
        <v>348</v>
      </c>
      <c r="E1925" s="437">
        <v>0</v>
      </c>
    </row>
    <row r="1926" spans="1:5" x14ac:dyDescent="0.25">
      <c r="A1926" t="s">
        <v>101</v>
      </c>
      <c r="B1926">
        <v>2018</v>
      </c>
      <c r="C1926" t="s">
        <v>205</v>
      </c>
      <c r="D1926" s="437" t="s">
        <v>349</v>
      </c>
      <c r="E1926" s="437">
        <v>0</v>
      </c>
    </row>
    <row r="1927" spans="1:5" x14ac:dyDescent="0.25">
      <c r="A1927" t="s">
        <v>101</v>
      </c>
      <c r="B1927">
        <v>2018</v>
      </c>
      <c r="C1927" t="s">
        <v>205</v>
      </c>
      <c r="D1927" s="437" t="s">
        <v>595</v>
      </c>
      <c r="E1927" s="437">
        <v>6974</v>
      </c>
    </row>
    <row r="1928" spans="1:5" x14ac:dyDescent="0.25">
      <c r="A1928" t="s">
        <v>101</v>
      </c>
      <c r="B1928">
        <v>2018</v>
      </c>
      <c r="C1928" t="s">
        <v>205</v>
      </c>
      <c r="D1928" s="437" t="s">
        <v>352</v>
      </c>
      <c r="E1928" s="437">
        <v>404</v>
      </c>
    </row>
    <row r="1929" spans="1:5" x14ac:dyDescent="0.25">
      <c r="A1929" t="s">
        <v>101</v>
      </c>
      <c r="B1929">
        <v>2018</v>
      </c>
      <c r="C1929" t="s">
        <v>205</v>
      </c>
      <c r="D1929" s="437" t="s">
        <v>43</v>
      </c>
      <c r="E1929" s="437">
        <v>2068</v>
      </c>
    </row>
    <row r="1930" spans="1:5" x14ac:dyDescent="0.25">
      <c r="A1930" t="s">
        <v>101</v>
      </c>
      <c r="B1930">
        <v>2018</v>
      </c>
      <c r="C1930" t="s">
        <v>205</v>
      </c>
      <c r="D1930" s="437" t="s">
        <v>42</v>
      </c>
      <c r="E1930" s="437">
        <v>1179</v>
      </c>
    </row>
    <row r="1931" spans="1:5" x14ac:dyDescent="0.25">
      <c r="A1931" t="s">
        <v>101</v>
      </c>
      <c r="B1931">
        <v>2018</v>
      </c>
      <c r="C1931" t="s">
        <v>205</v>
      </c>
      <c r="D1931" s="437" t="s">
        <v>44</v>
      </c>
      <c r="E1931" s="437">
        <v>3581</v>
      </c>
    </row>
    <row r="1932" spans="1:5" x14ac:dyDescent="0.25">
      <c r="A1932" t="s">
        <v>101</v>
      </c>
      <c r="B1932">
        <v>2018</v>
      </c>
      <c r="C1932" t="s">
        <v>205</v>
      </c>
      <c r="D1932" s="437" t="s">
        <v>397</v>
      </c>
      <c r="E1932" s="437">
        <v>811</v>
      </c>
    </row>
    <row r="1933" spans="1:5" x14ac:dyDescent="0.25">
      <c r="A1933" t="s">
        <v>101</v>
      </c>
      <c r="B1933">
        <v>2018</v>
      </c>
      <c r="C1933" t="s">
        <v>205</v>
      </c>
      <c r="D1933" s="437" t="s">
        <v>133</v>
      </c>
      <c r="E1933" s="437">
        <v>1433</v>
      </c>
    </row>
    <row r="1934" spans="1:5" x14ac:dyDescent="0.25">
      <c r="A1934" t="s">
        <v>101</v>
      </c>
      <c r="B1934">
        <v>2018</v>
      </c>
      <c r="C1934" t="s">
        <v>205</v>
      </c>
      <c r="D1934" s="437" t="s">
        <v>597</v>
      </c>
      <c r="E1934" s="437">
        <v>6067</v>
      </c>
    </row>
    <row r="1935" spans="1:5" x14ac:dyDescent="0.25">
      <c r="A1935" t="s">
        <v>101</v>
      </c>
      <c r="B1935">
        <v>2018</v>
      </c>
      <c r="C1935" t="s">
        <v>205</v>
      </c>
      <c r="D1935" s="437" t="s">
        <v>596</v>
      </c>
      <c r="E1935" s="437">
        <v>13453</v>
      </c>
    </row>
    <row r="1936" spans="1:5" x14ac:dyDescent="0.25">
      <c r="A1936" t="s">
        <v>101</v>
      </c>
      <c r="B1936">
        <v>2018</v>
      </c>
      <c r="C1936" t="s">
        <v>205</v>
      </c>
      <c r="D1936" s="437" t="s">
        <v>413</v>
      </c>
      <c r="E1936" s="437">
        <v>302</v>
      </c>
    </row>
    <row r="1937" spans="1:5" x14ac:dyDescent="0.25">
      <c r="A1937" t="s">
        <v>102</v>
      </c>
      <c r="B1937">
        <v>2018</v>
      </c>
      <c r="C1937" t="s">
        <v>205</v>
      </c>
      <c r="D1937" s="437" t="s">
        <v>57</v>
      </c>
      <c r="E1937" s="437">
        <v>1950</v>
      </c>
    </row>
    <row r="1938" spans="1:5" x14ac:dyDescent="0.25">
      <c r="A1938" t="s">
        <v>102</v>
      </c>
      <c r="B1938">
        <v>2018</v>
      </c>
      <c r="C1938" t="s">
        <v>205</v>
      </c>
      <c r="D1938" s="437" t="s">
        <v>348</v>
      </c>
      <c r="E1938" s="437">
        <v>3558</v>
      </c>
    </row>
    <row r="1939" spans="1:5" x14ac:dyDescent="0.25">
      <c r="A1939" t="s">
        <v>102</v>
      </c>
      <c r="B1939">
        <v>2018</v>
      </c>
      <c r="C1939" t="s">
        <v>205</v>
      </c>
      <c r="D1939" s="437" t="s">
        <v>349</v>
      </c>
      <c r="E1939" s="437">
        <v>175</v>
      </c>
    </row>
    <row r="1940" spans="1:5" x14ac:dyDescent="0.25">
      <c r="A1940" t="s">
        <v>102</v>
      </c>
      <c r="B1940">
        <v>2018</v>
      </c>
      <c r="C1940" t="s">
        <v>205</v>
      </c>
      <c r="D1940" s="437" t="s">
        <v>595</v>
      </c>
      <c r="E1940" s="437">
        <v>755</v>
      </c>
    </row>
    <row r="1941" spans="1:5" x14ac:dyDescent="0.25">
      <c r="A1941" t="s">
        <v>102</v>
      </c>
      <c r="B1941">
        <v>2018</v>
      </c>
      <c r="C1941" t="s">
        <v>205</v>
      </c>
      <c r="D1941" s="437" t="s">
        <v>352</v>
      </c>
      <c r="E1941" s="437">
        <v>0</v>
      </c>
    </row>
    <row r="1942" spans="1:5" x14ac:dyDescent="0.25">
      <c r="A1942" t="s">
        <v>102</v>
      </c>
      <c r="B1942">
        <v>2018</v>
      </c>
      <c r="C1942" t="s">
        <v>205</v>
      </c>
      <c r="D1942" s="437" t="s">
        <v>43</v>
      </c>
      <c r="E1942" s="437">
        <v>700</v>
      </c>
    </row>
    <row r="1943" spans="1:5" x14ac:dyDescent="0.25">
      <c r="A1943" t="s">
        <v>102</v>
      </c>
      <c r="B1943">
        <v>2018</v>
      </c>
      <c r="C1943" t="s">
        <v>205</v>
      </c>
      <c r="D1943" s="437" t="s">
        <v>42</v>
      </c>
      <c r="E1943" s="437">
        <v>0</v>
      </c>
    </row>
    <row r="1944" spans="1:5" x14ac:dyDescent="0.25">
      <c r="A1944" t="s">
        <v>102</v>
      </c>
      <c r="B1944">
        <v>2018</v>
      </c>
      <c r="C1944" t="s">
        <v>205</v>
      </c>
      <c r="D1944" s="437" t="s">
        <v>44</v>
      </c>
      <c r="E1944" s="437">
        <v>1052</v>
      </c>
    </row>
    <row r="1945" spans="1:5" x14ac:dyDescent="0.25">
      <c r="A1945" t="s">
        <v>102</v>
      </c>
      <c r="B1945">
        <v>2018</v>
      </c>
      <c r="C1945" t="s">
        <v>205</v>
      </c>
      <c r="D1945" s="437" t="s">
        <v>397</v>
      </c>
      <c r="E1945" s="437">
        <v>77</v>
      </c>
    </row>
    <row r="1946" spans="1:5" x14ac:dyDescent="0.25">
      <c r="A1946" t="s">
        <v>102</v>
      </c>
      <c r="B1946">
        <v>2018</v>
      </c>
      <c r="C1946" t="s">
        <v>205</v>
      </c>
      <c r="D1946" s="437" t="s">
        <v>133</v>
      </c>
      <c r="E1946" s="437">
        <v>3188</v>
      </c>
    </row>
    <row r="1947" spans="1:5" x14ac:dyDescent="0.25">
      <c r="A1947" t="s">
        <v>102</v>
      </c>
      <c r="B1947">
        <v>2018</v>
      </c>
      <c r="C1947" t="s">
        <v>205</v>
      </c>
      <c r="D1947" s="437" t="s">
        <v>597</v>
      </c>
      <c r="E1947" s="437">
        <v>2361</v>
      </c>
    </row>
    <row r="1948" spans="1:5" x14ac:dyDescent="0.25">
      <c r="A1948" t="s">
        <v>102</v>
      </c>
      <c r="B1948">
        <v>2018</v>
      </c>
      <c r="C1948" t="s">
        <v>205</v>
      </c>
      <c r="D1948" s="437" t="s">
        <v>596</v>
      </c>
      <c r="E1948" s="437">
        <v>6469</v>
      </c>
    </row>
    <row r="1949" spans="1:5" x14ac:dyDescent="0.25">
      <c r="A1949" t="s">
        <v>102</v>
      </c>
      <c r="B1949">
        <v>2018</v>
      </c>
      <c r="C1949" t="s">
        <v>205</v>
      </c>
      <c r="D1949" s="437" t="s">
        <v>413</v>
      </c>
      <c r="E1949" s="437">
        <v>0</v>
      </c>
    </row>
    <row r="1950" spans="1:5" x14ac:dyDescent="0.25">
      <c r="A1950" t="s">
        <v>103</v>
      </c>
      <c r="B1950">
        <v>2018</v>
      </c>
      <c r="C1950" t="s">
        <v>205</v>
      </c>
      <c r="D1950" s="437" t="s">
        <v>57</v>
      </c>
      <c r="E1950" s="437">
        <v>3333</v>
      </c>
    </row>
    <row r="1951" spans="1:5" x14ac:dyDescent="0.25">
      <c r="A1951" t="s">
        <v>103</v>
      </c>
      <c r="B1951">
        <v>2018</v>
      </c>
      <c r="C1951" t="s">
        <v>205</v>
      </c>
      <c r="D1951" s="437" t="s">
        <v>348</v>
      </c>
      <c r="E1951" s="437">
        <v>0</v>
      </c>
    </row>
    <row r="1952" spans="1:5" x14ac:dyDescent="0.25">
      <c r="A1952" t="s">
        <v>103</v>
      </c>
      <c r="B1952">
        <v>2018</v>
      </c>
      <c r="C1952" t="s">
        <v>205</v>
      </c>
      <c r="D1952" s="437" t="s">
        <v>349</v>
      </c>
      <c r="E1952" s="437">
        <v>0</v>
      </c>
    </row>
    <row r="1953" spans="1:5" x14ac:dyDescent="0.25">
      <c r="A1953" t="s">
        <v>103</v>
      </c>
      <c r="B1953">
        <v>2018</v>
      </c>
      <c r="C1953" t="s">
        <v>205</v>
      </c>
      <c r="D1953" s="437" t="s">
        <v>595</v>
      </c>
      <c r="E1953" s="437">
        <v>0</v>
      </c>
    </row>
    <row r="1954" spans="1:5" x14ac:dyDescent="0.25">
      <c r="A1954" t="s">
        <v>103</v>
      </c>
      <c r="B1954">
        <v>2018</v>
      </c>
      <c r="C1954" t="s">
        <v>205</v>
      </c>
      <c r="D1954" s="437" t="s">
        <v>352</v>
      </c>
      <c r="E1954" s="437">
        <v>0</v>
      </c>
    </row>
    <row r="1955" spans="1:5" x14ac:dyDescent="0.25">
      <c r="A1955" t="s">
        <v>103</v>
      </c>
      <c r="B1955">
        <v>2018</v>
      </c>
      <c r="C1955" t="s">
        <v>205</v>
      </c>
      <c r="D1955" s="437" t="s">
        <v>43</v>
      </c>
      <c r="E1955" s="437">
        <v>75</v>
      </c>
    </row>
    <row r="1956" spans="1:5" x14ac:dyDescent="0.25">
      <c r="A1956" t="s">
        <v>103</v>
      </c>
      <c r="B1956">
        <v>2018</v>
      </c>
      <c r="C1956" t="s">
        <v>205</v>
      </c>
      <c r="D1956" s="437" t="s">
        <v>42</v>
      </c>
      <c r="E1956" s="437">
        <v>0</v>
      </c>
    </row>
    <row r="1957" spans="1:5" x14ac:dyDescent="0.25">
      <c r="A1957" t="s">
        <v>103</v>
      </c>
      <c r="B1957">
        <v>2018</v>
      </c>
      <c r="C1957" t="s">
        <v>205</v>
      </c>
      <c r="D1957" s="437" t="s">
        <v>44</v>
      </c>
      <c r="E1957" s="437">
        <v>1664</v>
      </c>
    </row>
    <row r="1958" spans="1:5" x14ac:dyDescent="0.25">
      <c r="A1958" t="s">
        <v>103</v>
      </c>
      <c r="B1958">
        <v>2018</v>
      </c>
      <c r="C1958" t="s">
        <v>205</v>
      </c>
      <c r="D1958" s="437" t="s">
        <v>397</v>
      </c>
      <c r="E1958" s="437">
        <v>196</v>
      </c>
    </row>
    <row r="1959" spans="1:5" x14ac:dyDescent="0.25">
      <c r="A1959" t="s">
        <v>103</v>
      </c>
      <c r="B1959">
        <v>2018</v>
      </c>
      <c r="C1959" t="s">
        <v>205</v>
      </c>
      <c r="D1959" s="437" t="s">
        <v>133</v>
      </c>
      <c r="E1959" s="437">
        <v>12205</v>
      </c>
    </row>
    <row r="1960" spans="1:5" x14ac:dyDescent="0.25">
      <c r="A1960" t="s">
        <v>103</v>
      </c>
      <c r="B1960">
        <v>2018</v>
      </c>
      <c r="C1960" t="s">
        <v>205</v>
      </c>
      <c r="D1960" s="437" t="s">
        <v>597</v>
      </c>
      <c r="E1960" s="437">
        <v>4476</v>
      </c>
    </row>
    <row r="1961" spans="1:5" x14ac:dyDescent="0.25">
      <c r="A1961" t="s">
        <v>103</v>
      </c>
      <c r="B1961">
        <v>2018</v>
      </c>
      <c r="C1961" t="s">
        <v>205</v>
      </c>
      <c r="D1961" s="437" t="s">
        <v>596</v>
      </c>
      <c r="E1961" s="437">
        <v>9762</v>
      </c>
    </row>
    <row r="1962" spans="1:5" x14ac:dyDescent="0.25">
      <c r="A1962" t="s">
        <v>103</v>
      </c>
      <c r="B1962">
        <v>2018</v>
      </c>
      <c r="C1962" t="s">
        <v>205</v>
      </c>
      <c r="D1962" s="437" t="s">
        <v>413</v>
      </c>
      <c r="E1962" s="437">
        <v>422</v>
      </c>
    </row>
    <row r="1963" spans="1:5" x14ac:dyDescent="0.25">
      <c r="A1963" t="s">
        <v>198</v>
      </c>
      <c r="B1963">
        <v>2018</v>
      </c>
      <c r="C1963" t="s">
        <v>205</v>
      </c>
      <c r="D1963" s="437" t="s">
        <v>57</v>
      </c>
      <c r="E1963" s="437">
        <v>0</v>
      </c>
    </row>
    <row r="1964" spans="1:5" x14ac:dyDescent="0.25">
      <c r="A1964" t="s">
        <v>198</v>
      </c>
      <c r="B1964">
        <v>2018</v>
      </c>
      <c r="C1964" t="s">
        <v>205</v>
      </c>
      <c r="D1964" s="437" t="s">
        <v>348</v>
      </c>
      <c r="E1964" s="437">
        <v>0</v>
      </c>
    </row>
    <row r="1965" spans="1:5" x14ac:dyDescent="0.25">
      <c r="A1965" t="s">
        <v>198</v>
      </c>
      <c r="B1965">
        <v>2018</v>
      </c>
      <c r="C1965" t="s">
        <v>205</v>
      </c>
      <c r="D1965" s="437" t="s">
        <v>349</v>
      </c>
      <c r="E1965" s="437">
        <v>0</v>
      </c>
    </row>
    <row r="1966" spans="1:5" x14ac:dyDescent="0.25">
      <c r="A1966" t="s">
        <v>198</v>
      </c>
      <c r="B1966">
        <v>2018</v>
      </c>
      <c r="C1966" t="s">
        <v>205</v>
      </c>
      <c r="D1966" s="437" t="s">
        <v>595</v>
      </c>
      <c r="E1966" s="437">
        <v>0</v>
      </c>
    </row>
    <row r="1967" spans="1:5" x14ac:dyDescent="0.25">
      <c r="A1967" t="s">
        <v>198</v>
      </c>
      <c r="B1967">
        <v>2018</v>
      </c>
      <c r="C1967" t="s">
        <v>205</v>
      </c>
      <c r="D1967" s="437" t="s">
        <v>352</v>
      </c>
      <c r="E1967" s="437">
        <v>1478</v>
      </c>
    </row>
    <row r="1968" spans="1:5" x14ac:dyDescent="0.25">
      <c r="A1968" t="s">
        <v>198</v>
      </c>
      <c r="B1968">
        <v>2018</v>
      </c>
      <c r="C1968" t="s">
        <v>205</v>
      </c>
      <c r="D1968" s="437" t="s">
        <v>43</v>
      </c>
      <c r="E1968" s="437">
        <v>155</v>
      </c>
    </row>
    <row r="1969" spans="1:5" x14ac:dyDescent="0.25">
      <c r="A1969" t="s">
        <v>198</v>
      </c>
      <c r="B1969">
        <v>2018</v>
      </c>
      <c r="C1969" t="s">
        <v>205</v>
      </c>
      <c r="D1969" s="437" t="s">
        <v>42</v>
      </c>
      <c r="E1969" s="437">
        <v>0</v>
      </c>
    </row>
    <row r="1970" spans="1:5" x14ac:dyDescent="0.25">
      <c r="A1970" t="s">
        <v>198</v>
      </c>
      <c r="B1970">
        <v>2018</v>
      </c>
      <c r="C1970" t="s">
        <v>205</v>
      </c>
      <c r="D1970" s="437" t="s">
        <v>44</v>
      </c>
      <c r="E1970" s="437">
        <v>0</v>
      </c>
    </row>
    <row r="1971" spans="1:5" x14ac:dyDescent="0.25">
      <c r="A1971" t="s">
        <v>198</v>
      </c>
      <c r="B1971">
        <v>2018</v>
      </c>
      <c r="C1971" t="s">
        <v>205</v>
      </c>
      <c r="D1971" s="437" t="s">
        <v>397</v>
      </c>
      <c r="E1971" s="437">
        <v>0</v>
      </c>
    </row>
    <row r="1972" spans="1:5" x14ac:dyDescent="0.25">
      <c r="A1972" t="s">
        <v>198</v>
      </c>
      <c r="B1972">
        <v>2018</v>
      </c>
      <c r="C1972" t="s">
        <v>205</v>
      </c>
      <c r="D1972" s="437" t="s">
        <v>133</v>
      </c>
      <c r="E1972" s="437">
        <v>0</v>
      </c>
    </row>
    <row r="1973" spans="1:5" x14ac:dyDescent="0.25">
      <c r="A1973" t="s">
        <v>198</v>
      </c>
      <c r="B1973">
        <v>2018</v>
      </c>
      <c r="C1973" t="s">
        <v>205</v>
      </c>
      <c r="D1973" s="437" t="s">
        <v>597</v>
      </c>
      <c r="E1973" s="437">
        <v>308</v>
      </c>
    </row>
    <row r="1974" spans="1:5" x14ac:dyDescent="0.25">
      <c r="A1974" t="s">
        <v>198</v>
      </c>
      <c r="B1974">
        <v>2018</v>
      </c>
      <c r="C1974" t="s">
        <v>205</v>
      </c>
      <c r="D1974" s="437" t="s">
        <v>596</v>
      </c>
      <c r="E1974" s="437">
        <v>958</v>
      </c>
    </row>
    <row r="1975" spans="1:5" x14ac:dyDescent="0.25">
      <c r="A1975" t="s">
        <v>198</v>
      </c>
      <c r="B1975">
        <v>2018</v>
      </c>
      <c r="C1975" t="s">
        <v>205</v>
      </c>
      <c r="D1975" s="437" t="s">
        <v>413</v>
      </c>
      <c r="E1975" s="437">
        <v>135</v>
      </c>
    </row>
    <row r="1976" spans="1:5" x14ac:dyDescent="0.25">
      <c r="A1976" t="s">
        <v>104</v>
      </c>
      <c r="B1976">
        <v>2018</v>
      </c>
      <c r="C1976" t="s">
        <v>205</v>
      </c>
      <c r="D1976" s="437" t="s">
        <v>57</v>
      </c>
      <c r="E1976" s="437">
        <v>4040</v>
      </c>
    </row>
    <row r="1977" spans="1:5" x14ac:dyDescent="0.25">
      <c r="A1977" t="s">
        <v>104</v>
      </c>
      <c r="B1977">
        <v>2018</v>
      </c>
      <c r="C1977" t="s">
        <v>205</v>
      </c>
      <c r="D1977" s="437" t="s">
        <v>348</v>
      </c>
      <c r="E1977" s="437">
        <v>8450</v>
      </c>
    </row>
    <row r="1978" spans="1:5" x14ac:dyDescent="0.25">
      <c r="A1978" t="s">
        <v>104</v>
      </c>
      <c r="B1978">
        <v>2018</v>
      </c>
      <c r="C1978" t="s">
        <v>205</v>
      </c>
      <c r="D1978" s="437" t="s">
        <v>349</v>
      </c>
      <c r="E1978" s="437">
        <v>1200</v>
      </c>
    </row>
    <row r="1979" spans="1:5" x14ac:dyDescent="0.25">
      <c r="A1979" t="s">
        <v>104</v>
      </c>
      <c r="B1979">
        <v>2018</v>
      </c>
      <c r="C1979" t="s">
        <v>205</v>
      </c>
      <c r="D1979" s="437" t="s">
        <v>595</v>
      </c>
      <c r="E1979" s="437">
        <v>1606</v>
      </c>
    </row>
    <row r="1980" spans="1:5" x14ac:dyDescent="0.25">
      <c r="A1980" t="s">
        <v>104</v>
      </c>
      <c r="B1980">
        <v>2018</v>
      </c>
      <c r="C1980" t="s">
        <v>205</v>
      </c>
      <c r="D1980" s="437" t="s">
        <v>352</v>
      </c>
      <c r="E1980" s="437">
        <v>0</v>
      </c>
    </row>
    <row r="1981" spans="1:5" x14ac:dyDescent="0.25">
      <c r="A1981" t="s">
        <v>104</v>
      </c>
      <c r="B1981">
        <v>2018</v>
      </c>
      <c r="C1981" t="s">
        <v>205</v>
      </c>
      <c r="D1981" s="437" t="s">
        <v>43</v>
      </c>
      <c r="E1981" s="437">
        <v>316</v>
      </c>
    </row>
    <row r="1982" spans="1:5" x14ac:dyDescent="0.25">
      <c r="A1982" t="s">
        <v>104</v>
      </c>
      <c r="B1982">
        <v>2018</v>
      </c>
      <c r="C1982" t="s">
        <v>205</v>
      </c>
      <c r="D1982" s="437" t="s">
        <v>42</v>
      </c>
      <c r="E1982" s="437">
        <v>0</v>
      </c>
    </row>
    <row r="1983" spans="1:5" x14ac:dyDescent="0.25">
      <c r="A1983" t="s">
        <v>104</v>
      </c>
      <c r="B1983">
        <v>2018</v>
      </c>
      <c r="C1983" t="s">
        <v>205</v>
      </c>
      <c r="D1983" s="437" t="s">
        <v>44</v>
      </c>
      <c r="E1983" s="437">
        <v>2049</v>
      </c>
    </row>
    <row r="1984" spans="1:5" x14ac:dyDescent="0.25">
      <c r="A1984" t="s">
        <v>104</v>
      </c>
      <c r="B1984">
        <v>2018</v>
      </c>
      <c r="C1984" t="s">
        <v>205</v>
      </c>
      <c r="D1984" s="437" t="s">
        <v>397</v>
      </c>
      <c r="E1984" s="437">
        <v>800</v>
      </c>
    </row>
    <row r="1985" spans="1:5" x14ac:dyDescent="0.25">
      <c r="A1985" t="s">
        <v>104</v>
      </c>
      <c r="B1985">
        <v>2018</v>
      </c>
      <c r="C1985" t="s">
        <v>205</v>
      </c>
      <c r="D1985" s="437" t="s">
        <v>133</v>
      </c>
      <c r="E1985" s="437">
        <v>2259</v>
      </c>
    </row>
    <row r="1986" spans="1:5" x14ac:dyDescent="0.25">
      <c r="A1986" t="s">
        <v>104</v>
      </c>
      <c r="B1986">
        <v>2018</v>
      </c>
      <c r="C1986" t="s">
        <v>205</v>
      </c>
      <c r="D1986" s="437" t="s">
        <v>597</v>
      </c>
      <c r="E1986" s="437">
        <v>4618</v>
      </c>
    </row>
    <row r="1987" spans="1:5" x14ac:dyDescent="0.25">
      <c r="A1987" t="s">
        <v>104</v>
      </c>
      <c r="B1987">
        <v>2018</v>
      </c>
      <c r="C1987" t="s">
        <v>205</v>
      </c>
      <c r="D1987" s="437" t="s">
        <v>596</v>
      </c>
      <c r="E1987" s="437">
        <v>11142</v>
      </c>
    </row>
    <row r="1988" spans="1:5" x14ac:dyDescent="0.25">
      <c r="A1988" t="s">
        <v>104</v>
      </c>
      <c r="B1988">
        <v>2018</v>
      </c>
      <c r="C1988" t="s">
        <v>205</v>
      </c>
      <c r="D1988" s="437" t="s">
        <v>413</v>
      </c>
      <c r="E1988" s="437">
        <v>100</v>
      </c>
    </row>
    <row r="1989" spans="1:5" x14ac:dyDescent="0.25">
      <c r="A1989" t="s">
        <v>105</v>
      </c>
      <c r="B1989">
        <v>2018</v>
      </c>
      <c r="C1989" t="s">
        <v>205</v>
      </c>
      <c r="D1989" s="437" t="s">
        <v>57</v>
      </c>
      <c r="E1989" s="437">
        <v>9516</v>
      </c>
    </row>
    <row r="1990" spans="1:5" x14ac:dyDescent="0.25">
      <c r="A1990" t="s">
        <v>105</v>
      </c>
      <c r="B1990">
        <v>2018</v>
      </c>
      <c r="C1990" t="s">
        <v>205</v>
      </c>
      <c r="D1990" s="437" t="s">
        <v>348</v>
      </c>
      <c r="E1990" s="437">
        <v>21110</v>
      </c>
    </row>
    <row r="1991" spans="1:5" x14ac:dyDescent="0.25">
      <c r="A1991" t="s">
        <v>105</v>
      </c>
      <c r="B1991">
        <v>2018</v>
      </c>
      <c r="C1991" t="s">
        <v>205</v>
      </c>
      <c r="D1991" s="437" t="s">
        <v>349</v>
      </c>
      <c r="E1991" s="437">
        <v>24645</v>
      </c>
    </row>
    <row r="1992" spans="1:5" x14ac:dyDescent="0.25">
      <c r="A1992" t="s">
        <v>105</v>
      </c>
      <c r="B1992">
        <v>2018</v>
      </c>
      <c r="C1992" t="s">
        <v>205</v>
      </c>
      <c r="D1992" s="437" t="s">
        <v>595</v>
      </c>
      <c r="E1992" s="437">
        <v>31614</v>
      </c>
    </row>
    <row r="1993" spans="1:5" x14ac:dyDescent="0.25">
      <c r="A1993" t="s">
        <v>105</v>
      </c>
      <c r="B1993">
        <v>2018</v>
      </c>
      <c r="C1993" t="s">
        <v>205</v>
      </c>
      <c r="D1993" s="437" t="s">
        <v>352</v>
      </c>
      <c r="E1993" s="437">
        <v>5801</v>
      </c>
    </row>
    <row r="1994" spans="1:5" x14ac:dyDescent="0.25">
      <c r="A1994" t="s">
        <v>105</v>
      </c>
      <c r="B1994">
        <v>2018</v>
      </c>
      <c r="C1994" t="s">
        <v>205</v>
      </c>
      <c r="D1994" s="437" t="s">
        <v>43</v>
      </c>
      <c r="E1994" s="437">
        <v>51844</v>
      </c>
    </row>
    <row r="1995" spans="1:5" x14ac:dyDescent="0.25">
      <c r="A1995" t="s">
        <v>105</v>
      </c>
      <c r="B1995">
        <v>2018</v>
      </c>
      <c r="C1995" t="s">
        <v>205</v>
      </c>
      <c r="D1995" s="437" t="s">
        <v>42</v>
      </c>
      <c r="E1995" s="437">
        <v>6385</v>
      </c>
    </row>
    <row r="1996" spans="1:5" x14ac:dyDescent="0.25">
      <c r="A1996" t="s">
        <v>105</v>
      </c>
      <c r="B1996">
        <v>2018</v>
      </c>
      <c r="C1996" t="s">
        <v>205</v>
      </c>
      <c r="D1996" s="437" t="s">
        <v>44</v>
      </c>
      <c r="E1996" s="437">
        <v>43922</v>
      </c>
    </row>
    <row r="1997" spans="1:5" x14ac:dyDescent="0.25">
      <c r="A1997" t="s">
        <v>105</v>
      </c>
      <c r="B1997">
        <v>2018</v>
      </c>
      <c r="C1997" t="s">
        <v>205</v>
      </c>
      <c r="D1997" s="437" t="s">
        <v>397</v>
      </c>
      <c r="E1997" s="437">
        <v>7570</v>
      </c>
    </row>
    <row r="1998" spans="1:5" x14ac:dyDescent="0.25">
      <c r="A1998" t="s">
        <v>105</v>
      </c>
      <c r="B1998">
        <v>2018</v>
      </c>
      <c r="C1998" t="s">
        <v>205</v>
      </c>
      <c r="D1998" s="437" t="s">
        <v>133</v>
      </c>
      <c r="E1998" s="437">
        <v>10342</v>
      </c>
    </row>
    <row r="1999" spans="1:5" x14ac:dyDescent="0.25">
      <c r="A1999" t="s">
        <v>105</v>
      </c>
      <c r="B1999">
        <v>2018</v>
      </c>
      <c r="C1999" t="s">
        <v>205</v>
      </c>
      <c r="D1999" s="437" t="s">
        <v>597</v>
      </c>
      <c r="E1999" s="437">
        <v>35718</v>
      </c>
    </row>
    <row r="2000" spans="1:5" x14ac:dyDescent="0.25">
      <c r="A2000" t="s">
        <v>105</v>
      </c>
      <c r="B2000">
        <v>2018</v>
      </c>
      <c r="C2000" t="s">
        <v>205</v>
      </c>
      <c r="D2000" s="437" t="s">
        <v>596</v>
      </c>
      <c r="E2000" s="437">
        <v>79074</v>
      </c>
    </row>
    <row r="2001" spans="1:5" x14ac:dyDescent="0.25">
      <c r="A2001" t="s">
        <v>105</v>
      </c>
      <c r="B2001">
        <v>2018</v>
      </c>
      <c r="C2001" t="s">
        <v>205</v>
      </c>
      <c r="D2001" s="437" t="s">
        <v>413</v>
      </c>
      <c r="E2001" s="437">
        <v>2298</v>
      </c>
    </row>
    <row r="2002" spans="1:5" x14ac:dyDescent="0.25">
      <c r="A2002" t="s">
        <v>106</v>
      </c>
      <c r="B2002">
        <v>2018</v>
      </c>
      <c r="C2002" t="s">
        <v>205</v>
      </c>
      <c r="D2002" s="437" t="s">
        <v>57</v>
      </c>
      <c r="E2002" s="437">
        <v>0</v>
      </c>
    </row>
    <row r="2003" spans="1:5" x14ac:dyDescent="0.25">
      <c r="A2003" t="s">
        <v>106</v>
      </c>
      <c r="B2003">
        <v>2018</v>
      </c>
      <c r="C2003" t="s">
        <v>205</v>
      </c>
      <c r="D2003" s="437" t="s">
        <v>348</v>
      </c>
      <c r="E2003" s="437">
        <v>0</v>
      </c>
    </row>
    <row r="2004" spans="1:5" x14ac:dyDescent="0.25">
      <c r="A2004" t="s">
        <v>106</v>
      </c>
      <c r="B2004">
        <v>2018</v>
      </c>
      <c r="C2004" t="s">
        <v>205</v>
      </c>
      <c r="D2004" s="437" t="s">
        <v>349</v>
      </c>
      <c r="E2004" s="437">
        <v>3656</v>
      </c>
    </row>
    <row r="2005" spans="1:5" x14ac:dyDescent="0.25">
      <c r="A2005" t="s">
        <v>106</v>
      </c>
      <c r="B2005">
        <v>2018</v>
      </c>
      <c r="C2005" t="s">
        <v>205</v>
      </c>
      <c r="D2005" s="437" t="s">
        <v>595</v>
      </c>
      <c r="E2005" s="437">
        <v>1829</v>
      </c>
    </row>
    <row r="2006" spans="1:5" x14ac:dyDescent="0.25">
      <c r="A2006" t="s">
        <v>106</v>
      </c>
      <c r="B2006">
        <v>2018</v>
      </c>
      <c r="C2006" t="s">
        <v>205</v>
      </c>
      <c r="D2006" s="437" t="s">
        <v>352</v>
      </c>
      <c r="E2006" s="437">
        <v>1051</v>
      </c>
    </row>
    <row r="2007" spans="1:5" x14ac:dyDescent="0.25">
      <c r="A2007" t="s">
        <v>106</v>
      </c>
      <c r="B2007">
        <v>2018</v>
      </c>
      <c r="C2007" t="s">
        <v>205</v>
      </c>
      <c r="D2007" s="437" t="s">
        <v>43</v>
      </c>
      <c r="E2007" s="437">
        <v>4423</v>
      </c>
    </row>
    <row r="2008" spans="1:5" x14ac:dyDescent="0.25">
      <c r="A2008" t="s">
        <v>106</v>
      </c>
      <c r="B2008">
        <v>2018</v>
      </c>
      <c r="C2008" t="s">
        <v>205</v>
      </c>
      <c r="D2008" s="437" t="s">
        <v>42</v>
      </c>
      <c r="E2008" s="437">
        <v>1701</v>
      </c>
    </row>
    <row r="2009" spans="1:5" x14ac:dyDescent="0.25">
      <c r="A2009" t="s">
        <v>106</v>
      </c>
      <c r="B2009">
        <v>2018</v>
      </c>
      <c r="C2009" t="s">
        <v>205</v>
      </c>
      <c r="D2009" s="437" t="s">
        <v>44</v>
      </c>
      <c r="E2009" s="437">
        <v>1000</v>
      </c>
    </row>
    <row r="2010" spans="1:5" x14ac:dyDescent="0.25">
      <c r="A2010" t="s">
        <v>106</v>
      </c>
      <c r="B2010">
        <v>2018</v>
      </c>
      <c r="C2010" t="s">
        <v>205</v>
      </c>
      <c r="D2010" s="437" t="s">
        <v>397</v>
      </c>
      <c r="E2010" s="437">
        <v>2066</v>
      </c>
    </row>
    <row r="2011" spans="1:5" x14ac:dyDescent="0.25">
      <c r="A2011" t="s">
        <v>106</v>
      </c>
      <c r="B2011">
        <v>2018</v>
      </c>
      <c r="C2011" t="s">
        <v>205</v>
      </c>
      <c r="D2011" s="437" t="s">
        <v>133</v>
      </c>
      <c r="E2011" s="437">
        <v>7</v>
      </c>
    </row>
    <row r="2012" spans="1:5" x14ac:dyDescent="0.25">
      <c r="A2012" t="s">
        <v>106</v>
      </c>
      <c r="B2012">
        <v>2018</v>
      </c>
      <c r="C2012" t="s">
        <v>205</v>
      </c>
      <c r="D2012" s="437" t="s">
        <v>597</v>
      </c>
      <c r="E2012" s="437">
        <v>2294</v>
      </c>
    </row>
    <row r="2013" spans="1:5" x14ac:dyDescent="0.25">
      <c r="A2013" t="s">
        <v>106</v>
      </c>
      <c r="B2013">
        <v>2018</v>
      </c>
      <c r="C2013" t="s">
        <v>205</v>
      </c>
      <c r="D2013" s="437" t="s">
        <v>596</v>
      </c>
      <c r="E2013" s="437">
        <v>6076</v>
      </c>
    </row>
    <row r="2014" spans="1:5" x14ac:dyDescent="0.25">
      <c r="A2014" t="s">
        <v>106</v>
      </c>
      <c r="B2014">
        <v>2018</v>
      </c>
      <c r="C2014" t="s">
        <v>205</v>
      </c>
      <c r="D2014" s="437" t="s">
        <v>413</v>
      </c>
      <c r="E2014" s="437">
        <v>323</v>
      </c>
    </row>
    <row r="2015" spans="1:5" x14ac:dyDescent="0.25">
      <c r="A2015" t="s">
        <v>199</v>
      </c>
      <c r="B2015">
        <v>2018</v>
      </c>
      <c r="C2015" t="s">
        <v>205</v>
      </c>
      <c r="D2015" s="437" t="s">
        <v>57</v>
      </c>
      <c r="E2015" s="437">
        <v>0</v>
      </c>
    </row>
    <row r="2016" spans="1:5" x14ac:dyDescent="0.25">
      <c r="A2016" t="s">
        <v>199</v>
      </c>
      <c r="B2016">
        <v>2018</v>
      </c>
      <c r="C2016" t="s">
        <v>205</v>
      </c>
      <c r="D2016" s="437" t="s">
        <v>348</v>
      </c>
      <c r="E2016" s="437">
        <v>0</v>
      </c>
    </row>
    <row r="2017" spans="1:5" x14ac:dyDescent="0.25">
      <c r="A2017" t="s">
        <v>199</v>
      </c>
      <c r="B2017">
        <v>2018</v>
      </c>
      <c r="C2017" t="s">
        <v>205</v>
      </c>
      <c r="D2017" s="437" t="s">
        <v>349</v>
      </c>
      <c r="E2017" s="437">
        <v>0</v>
      </c>
    </row>
    <row r="2018" spans="1:5" x14ac:dyDescent="0.25">
      <c r="A2018" t="s">
        <v>199</v>
      </c>
      <c r="B2018">
        <v>2018</v>
      </c>
      <c r="C2018" t="s">
        <v>205</v>
      </c>
      <c r="D2018" s="437" t="s">
        <v>595</v>
      </c>
      <c r="E2018" s="437">
        <v>200</v>
      </c>
    </row>
    <row r="2019" spans="1:5" x14ac:dyDescent="0.25">
      <c r="A2019" t="s">
        <v>199</v>
      </c>
      <c r="B2019">
        <v>2018</v>
      </c>
      <c r="C2019" t="s">
        <v>205</v>
      </c>
      <c r="D2019" s="437" t="s">
        <v>352</v>
      </c>
      <c r="E2019" s="437">
        <v>2152</v>
      </c>
    </row>
    <row r="2020" spans="1:5" x14ac:dyDescent="0.25">
      <c r="A2020" t="s">
        <v>199</v>
      </c>
      <c r="B2020">
        <v>2018</v>
      </c>
      <c r="C2020" t="s">
        <v>205</v>
      </c>
      <c r="D2020" s="437" t="s">
        <v>43</v>
      </c>
      <c r="E2020" s="437">
        <v>341</v>
      </c>
    </row>
    <row r="2021" spans="1:5" x14ac:dyDescent="0.25">
      <c r="A2021" t="s">
        <v>199</v>
      </c>
      <c r="B2021">
        <v>2018</v>
      </c>
      <c r="C2021" t="s">
        <v>205</v>
      </c>
      <c r="D2021" s="437" t="s">
        <v>42</v>
      </c>
      <c r="E2021" s="437">
        <v>0</v>
      </c>
    </row>
    <row r="2022" spans="1:5" x14ac:dyDescent="0.25">
      <c r="A2022" t="s">
        <v>199</v>
      </c>
      <c r="B2022">
        <v>2018</v>
      </c>
      <c r="C2022" t="s">
        <v>205</v>
      </c>
      <c r="D2022" s="437" t="s">
        <v>44</v>
      </c>
      <c r="E2022" s="437">
        <v>9</v>
      </c>
    </row>
    <row r="2023" spans="1:5" x14ac:dyDescent="0.25">
      <c r="A2023" t="s">
        <v>199</v>
      </c>
      <c r="B2023">
        <v>2018</v>
      </c>
      <c r="C2023" t="s">
        <v>205</v>
      </c>
      <c r="D2023" s="437" t="s">
        <v>397</v>
      </c>
      <c r="E2023" s="437">
        <v>92</v>
      </c>
    </row>
    <row r="2024" spans="1:5" x14ac:dyDescent="0.25">
      <c r="A2024" t="s">
        <v>199</v>
      </c>
      <c r="B2024">
        <v>2018</v>
      </c>
      <c r="C2024" t="s">
        <v>205</v>
      </c>
      <c r="D2024" s="437" t="s">
        <v>133</v>
      </c>
      <c r="E2024" s="437">
        <v>9</v>
      </c>
    </row>
    <row r="2025" spans="1:5" x14ac:dyDescent="0.25">
      <c r="A2025" t="s">
        <v>199</v>
      </c>
      <c r="B2025">
        <v>2018</v>
      </c>
      <c r="C2025" t="s">
        <v>205</v>
      </c>
      <c r="D2025" s="437" t="s">
        <v>597</v>
      </c>
      <c r="E2025" s="437">
        <v>452</v>
      </c>
    </row>
    <row r="2026" spans="1:5" x14ac:dyDescent="0.25">
      <c r="A2026" t="s">
        <v>199</v>
      </c>
      <c r="B2026">
        <v>2018</v>
      </c>
      <c r="C2026" t="s">
        <v>205</v>
      </c>
      <c r="D2026" s="437" t="s">
        <v>596</v>
      </c>
      <c r="E2026" s="437">
        <v>1532</v>
      </c>
    </row>
    <row r="2027" spans="1:5" x14ac:dyDescent="0.25">
      <c r="A2027" t="s">
        <v>199</v>
      </c>
      <c r="B2027">
        <v>2018</v>
      </c>
      <c r="C2027" t="s">
        <v>205</v>
      </c>
      <c r="D2027" s="437" t="s">
        <v>413</v>
      </c>
      <c r="E2027" s="437">
        <v>30</v>
      </c>
    </row>
    <row r="2028" spans="1:5" x14ac:dyDescent="0.25">
      <c r="A2028" t="s">
        <v>107</v>
      </c>
      <c r="B2028">
        <v>2018</v>
      </c>
      <c r="C2028" t="s">
        <v>205</v>
      </c>
      <c r="D2028" s="437" t="s">
        <v>57</v>
      </c>
      <c r="E2028" s="437">
        <v>7117</v>
      </c>
    </row>
    <row r="2029" spans="1:5" x14ac:dyDescent="0.25">
      <c r="A2029" t="s">
        <v>107</v>
      </c>
      <c r="B2029">
        <v>2018</v>
      </c>
      <c r="C2029" t="s">
        <v>205</v>
      </c>
      <c r="D2029" s="437" t="s">
        <v>348</v>
      </c>
      <c r="E2029" s="437">
        <v>1056</v>
      </c>
    </row>
    <row r="2030" spans="1:5" x14ac:dyDescent="0.25">
      <c r="A2030" t="s">
        <v>107</v>
      </c>
      <c r="B2030">
        <v>2018</v>
      </c>
      <c r="C2030" t="s">
        <v>205</v>
      </c>
      <c r="D2030" s="437" t="s">
        <v>349</v>
      </c>
      <c r="E2030" s="437">
        <v>8975</v>
      </c>
    </row>
    <row r="2031" spans="1:5" x14ac:dyDescent="0.25">
      <c r="A2031" t="s">
        <v>107</v>
      </c>
      <c r="B2031">
        <v>2018</v>
      </c>
      <c r="C2031" t="s">
        <v>205</v>
      </c>
      <c r="D2031" s="437" t="s">
        <v>595</v>
      </c>
      <c r="E2031" s="437">
        <v>31184</v>
      </c>
    </row>
    <row r="2032" spans="1:5" x14ac:dyDescent="0.25">
      <c r="A2032" t="s">
        <v>107</v>
      </c>
      <c r="B2032">
        <v>2018</v>
      </c>
      <c r="C2032" t="s">
        <v>205</v>
      </c>
      <c r="D2032" s="437" t="s">
        <v>352</v>
      </c>
      <c r="E2032" s="437">
        <v>3235</v>
      </c>
    </row>
    <row r="2033" spans="1:5" x14ac:dyDescent="0.25">
      <c r="A2033" t="s">
        <v>107</v>
      </c>
      <c r="B2033">
        <v>2018</v>
      </c>
      <c r="C2033" t="s">
        <v>205</v>
      </c>
      <c r="D2033" s="437" t="s">
        <v>43</v>
      </c>
      <c r="E2033" s="437">
        <v>23507</v>
      </c>
    </row>
    <row r="2034" spans="1:5" x14ac:dyDescent="0.25">
      <c r="A2034" t="s">
        <v>107</v>
      </c>
      <c r="B2034">
        <v>2018</v>
      </c>
      <c r="C2034" t="s">
        <v>205</v>
      </c>
      <c r="D2034" s="437" t="s">
        <v>42</v>
      </c>
      <c r="E2034" s="437">
        <v>0</v>
      </c>
    </row>
    <row r="2035" spans="1:5" x14ac:dyDescent="0.25">
      <c r="A2035" t="s">
        <v>107</v>
      </c>
      <c r="B2035">
        <v>2018</v>
      </c>
      <c r="C2035" t="s">
        <v>205</v>
      </c>
      <c r="D2035" s="437" t="s">
        <v>44</v>
      </c>
      <c r="E2035" s="437">
        <v>4714</v>
      </c>
    </row>
    <row r="2036" spans="1:5" x14ac:dyDescent="0.25">
      <c r="A2036" t="s">
        <v>107</v>
      </c>
      <c r="B2036">
        <v>2018</v>
      </c>
      <c r="C2036" t="s">
        <v>205</v>
      </c>
      <c r="D2036" s="437" t="s">
        <v>397</v>
      </c>
      <c r="E2036" s="437">
        <v>860</v>
      </c>
    </row>
    <row r="2037" spans="1:5" x14ac:dyDescent="0.25">
      <c r="A2037" t="s">
        <v>107</v>
      </c>
      <c r="B2037">
        <v>2018</v>
      </c>
      <c r="C2037" t="s">
        <v>205</v>
      </c>
      <c r="D2037" s="437" t="s">
        <v>133</v>
      </c>
      <c r="E2037" s="437">
        <v>20378</v>
      </c>
    </row>
    <row r="2038" spans="1:5" x14ac:dyDescent="0.25">
      <c r="A2038" t="s">
        <v>107</v>
      </c>
      <c r="B2038">
        <v>2018</v>
      </c>
      <c r="C2038" t="s">
        <v>205</v>
      </c>
      <c r="D2038" s="437" t="s">
        <v>597</v>
      </c>
      <c r="E2038" s="437">
        <v>18031</v>
      </c>
    </row>
    <row r="2039" spans="1:5" x14ac:dyDescent="0.25">
      <c r="A2039" t="s">
        <v>107</v>
      </c>
      <c r="B2039">
        <v>2018</v>
      </c>
      <c r="C2039" t="s">
        <v>205</v>
      </c>
      <c r="D2039" s="437" t="s">
        <v>596</v>
      </c>
      <c r="E2039" s="437">
        <v>40611</v>
      </c>
    </row>
    <row r="2040" spans="1:5" x14ac:dyDescent="0.25">
      <c r="A2040" t="s">
        <v>107</v>
      </c>
      <c r="B2040">
        <v>2018</v>
      </c>
      <c r="C2040" t="s">
        <v>205</v>
      </c>
      <c r="D2040" s="437" t="s">
        <v>413</v>
      </c>
      <c r="E2040" s="437">
        <v>3068</v>
      </c>
    </row>
    <row r="2041" spans="1:5" x14ac:dyDescent="0.25">
      <c r="A2041" t="s">
        <v>108</v>
      </c>
      <c r="B2041">
        <v>2018</v>
      </c>
      <c r="C2041" t="s">
        <v>205</v>
      </c>
      <c r="D2041" s="437" t="s">
        <v>57</v>
      </c>
      <c r="E2041" s="437">
        <v>2785</v>
      </c>
    </row>
    <row r="2042" spans="1:5" x14ac:dyDescent="0.25">
      <c r="A2042" t="s">
        <v>108</v>
      </c>
      <c r="B2042">
        <v>2018</v>
      </c>
      <c r="C2042" t="s">
        <v>205</v>
      </c>
      <c r="D2042" s="437" t="s">
        <v>348</v>
      </c>
      <c r="E2042" s="437">
        <v>0</v>
      </c>
    </row>
    <row r="2043" spans="1:5" x14ac:dyDescent="0.25">
      <c r="A2043" t="s">
        <v>108</v>
      </c>
      <c r="B2043">
        <v>2018</v>
      </c>
      <c r="C2043" t="s">
        <v>205</v>
      </c>
      <c r="D2043" s="437" t="s">
        <v>349</v>
      </c>
      <c r="E2043" s="437">
        <v>2278</v>
      </c>
    </row>
    <row r="2044" spans="1:5" x14ac:dyDescent="0.25">
      <c r="A2044" t="s">
        <v>108</v>
      </c>
      <c r="B2044">
        <v>2018</v>
      </c>
      <c r="C2044" t="s">
        <v>205</v>
      </c>
      <c r="D2044" s="437" t="s">
        <v>595</v>
      </c>
      <c r="E2044" s="437">
        <v>1912</v>
      </c>
    </row>
    <row r="2045" spans="1:5" x14ac:dyDescent="0.25">
      <c r="A2045" t="s">
        <v>108</v>
      </c>
      <c r="B2045">
        <v>2018</v>
      </c>
      <c r="C2045" t="s">
        <v>205</v>
      </c>
      <c r="D2045" s="437" t="s">
        <v>352</v>
      </c>
      <c r="E2045" s="437">
        <v>2569</v>
      </c>
    </row>
    <row r="2046" spans="1:5" x14ac:dyDescent="0.25">
      <c r="A2046" t="s">
        <v>108</v>
      </c>
      <c r="B2046">
        <v>2018</v>
      </c>
      <c r="C2046" t="s">
        <v>205</v>
      </c>
      <c r="D2046" s="437" t="s">
        <v>43</v>
      </c>
      <c r="E2046" s="437">
        <v>2013</v>
      </c>
    </row>
    <row r="2047" spans="1:5" x14ac:dyDescent="0.25">
      <c r="A2047" t="s">
        <v>108</v>
      </c>
      <c r="B2047">
        <v>2018</v>
      </c>
      <c r="C2047" t="s">
        <v>205</v>
      </c>
      <c r="D2047" s="437" t="s">
        <v>42</v>
      </c>
      <c r="E2047" s="437">
        <v>0</v>
      </c>
    </row>
    <row r="2048" spans="1:5" x14ac:dyDescent="0.25">
      <c r="A2048" t="s">
        <v>108</v>
      </c>
      <c r="B2048">
        <v>2018</v>
      </c>
      <c r="C2048" t="s">
        <v>205</v>
      </c>
      <c r="D2048" s="437" t="s">
        <v>44</v>
      </c>
      <c r="E2048" s="437">
        <v>113</v>
      </c>
    </row>
    <row r="2049" spans="1:5" x14ac:dyDescent="0.25">
      <c r="A2049" t="s">
        <v>108</v>
      </c>
      <c r="B2049">
        <v>2018</v>
      </c>
      <c r="C2049" t="s">
        <v>205</v>
      </c>
      <c r="D2049" s="437" t="s">
        <v>397</v>
      </c>
      <c r="E2049" s="437">
        <v>1804</v>
      </c>
    </row>
    <row r="2050" spans="1:5" x14ac:dyDescent="0.25">
      <c r="A2050" t="s">
        <v>108</v>
      </c>
      <c r="B2050">
        <v>2018</v>
      </c>
      <c r="C2050" t="s">
        <v>205</v>
      </c>
      <c r="D2050" s="437" t="s">
        <v>133</v>
      </c>
      <c r="E2050" s="437">
        <v>3148</v>
      </c>
    </row>
    <row r="2051" spans="1:5" x14ac:dyDescent="0.25">
      <c r="A2051" t="s">
        <v>108</v>
      </c>
      <c r="B2051">
        <v>2018</v>
      </c>
      <c r="C2051" t="s">
        <v>205</v>
      </c>
      <c r="D2051" s="437" t="s">
        <v>597</v>
      </c>
      <c r="E2051" s="437">
        <v>6581</v>
      </c>
    </row>
    <row r="2052" spans="1:5" x14ac:dyDescent="0.25">
      <c r="A2052" t="s">
        <v>108</v>
      </c>
      <c r="B2052">
        <v>2018</v>
      </c>
      <c r="C2052" t="s">
        <v>205</v>
      </c>
      <c r="D2052" s="437" t="s">
        <v>596</v>
      </c>
      <c r="E2052" s="437">
        <v>14155</v>
      </c>
    </row>
    <row r="2053" spans="1:5" x14ac:dyDescent="0.25">
      <c r="A2053" t="s">
        <v>108</v>
      </c>
      <c r="B2053">
        <v>2018</v>
      </c>
      <c r="C2053" t="s">
        <v>205</v>
      </c>
      <c r="D2053" s="437" t="s">
        <v>413</v>
      </c>
      <c r="E2053" s="437">
        <v>749</v>
      </c>
    </row>
    <row r="2054" spans="1:5" x14ac:dyDescent="0.25">
      <c r="A2054" t="s">
        <v>109</v>
      </c>
      <c r="B2054">
        <v>2018</v>
      </c>
      <c r="C2054" t="s">
        <v>205</v>
      </c>
      <c r="D2054" s="437" t="s">
        <v>57</v>
      </c>
      <c r="E2054" s="437">
        <v>63130</v>
      </c>
    </row>
    <row r="2055" spans="1:5" x14ac:dyDescent="0.25">
      <c r="A2055" t="s">
        <v>109</v>
      </c>
      <c r="B2055">
        <v>2018</v>
      </c>
      <c r="C2055" t="s">
        <v>205</v>
      </c>
      <c r="D2055" s="437" t="s">
        <v>348</v>
      </c>
      <c r="E2055" s="437">
        <v>0</v>
      </c>
    </row>
    <row r="2056" spans="1:5" x14ac:dyDescent="0.25">
      <c r="A2056" t="s">
        <v>109</v>
      </c>
      <c r="B2056">
        <v>2018</v>
      </c>
      <c r="C2056" t="s">
        <v>205</v>
      </c>
      <c r="D2056" s="437" t="s">
        <v>349</v>
      </c>
      <c r="E2056" s="437">
        <v>2997</v>
      </c>
    </row>
    <row r="2057" spans="1:5" x14ac:dyDescent="0.25">
      <c r="A2057" t="s">
        <v>109</v>
      </c>
      <c r="B2057">
        <v>2018</v>
      </c>
      <c r="C2057" t="s">
        <v>205</v>
      </c>
      <c r="D2057" s="437" t="s">
        <v>595</v>
      </c>
      <c r="E2057" s="437">
        <v>12151</v>
      </c>
    </row>
    <row r="2058" spans="1:5" x14ac:dyDescent="0.25">
      <c r="A2058" t="s">
        <v>109</v>
      </c>
      <c r="B2058">
        <v>2018</v>
      </c>
      <c r="C2058" t="s">
        <v>205</v>
      </c>
      <c r="D2058" s="437" t="s">
        <v>352</v>
      </c>
      <c r="E2058" s="437">
        <v>3441</v>
      </c>
    </row>
    <row r="2059" spans="1:5" x14ac:dyDescent="0.25">
      <c r="A2059" t="s">
        <v>109</v>
      </c>
      <c r="B2059">
        <v>2018</v>
      </c>
      <c r="C2059" t="s">
        <v>205</v>
      </c>
      <c r="D2059" s="437" t="s">
        <v>43</v>
      </c>
      <c r="E2059" s="437">
        <v>15084</v>
      </c>
    </row>
    <row r="2060" spans="1:5" x14ac:dyDescent="0.25">
      <c r="A2060" t="s">
        <v>109</v>
      </c>
      <c r="B2060">
        <v>2018</v>
      </c>
      <c r="C2060" t="s">
        <v>205</v>
      </c>
      <c r="D2060" s="437" t="s">
        <v>42</v>
      </c>
      <c r="E2060" s="437">
        <v>0</v>
      </c>
    </row>
    <row r="2061" spans="1:5" x14ac:dyDescent="0.25">
      <c r="A2061" t="s">
        <v>109</v>
      </c>
      <c r="B2061">
        <v>2018</v>
      </c>
      <c r="C2061" t="s">
        <v>205</v>
      </c>
      <c r="D2061" s="437" t="s">
        <v>44</v>
      </c>
      <c r="E2061" s="437">
        <v>8526</v>
      </c>
    </row>
    <row r="2062" spans="1:5" x14ac:dyDescent="0.25">
      <c r="A2062" t="s">
        <v>109</v>
      </c>
      <c r="B2062">
        <v>2018</v>
      </c>
      <c r="C2062" t="s">
        <v>205</v>
      </c>
      <c r="D2062" s="437" t="s">
        <v>397</v>
      </c>
      <c r="E2062" s="437">
        <v>1143</v>
      </c>
    </row>
    <row r="2063" spans="1:5" x14ac:dyDescent="0.25">
      <c r="A2063" t="s">
        <v>109</v>
      </c>
      <c r="B2063">
        <v>2018</v>
      </c>
      <c r="C2063" t="s">
        <v>205</v>
      </c>
      <c r="D2063" s="437" t="s">
        <v>133</v>
      </c>
      <c r="E2063" s="437">
        <v>23787</v>
      </c>
    </row>
    <row r="2064" spans="1:5" x14ac:dyDescent="0.25">
      <c r="A2064" t="s">
        <v>109</v>
      </c>
      <c r="B2064">
        <v>2018</v>
      </c>
      <c r="C2064" t="s">
        <v>205</v>
      </c>
      <c r="D2064" s="437" t="s">
        <v>597</v>
      </c>
      <c r="E2064" s="437">
        <v>30448</v>
      </c>
    </row>
    <row r="2065" spans="1:5" x14ac:dyDescent="0.25">
      <c r="A2065" t="s">
        <v>109</v>
      </c>
      <c r="B2065">
        <v>2018</v>
      </c>
      <c r="C2065" t="s">
        <v>205</v>
      </c>
      <c r="D2065" s="437" t="s">
        <v>596</v>
      </c>
      <c r="E2065" s="437">
        <v>96328</v>
      </c>
    </row>
    <row r="2066" spans="1:5" x14ac:dyDescent="0.25">
      <c r="A2066" t="s">
        <v>109</v>
      </c>
      <c r="B2066">
        <v>2018</v>
      </c>
      <c r="C2066" t="s">
        <v>205</v>
      </c>
      <c r="D2066" s="437" t="s">
        <v>413</v>
      </c>
      <c r="E2066" s="437">
        <v>2611</v>
      </c>
    </row>
    <row r="2067" spans="1:5" x14ac:dyDescent="0.25">
      <c r="A2067" t="s">
        <v>110</v>
      </c>
      <c r="B2067">
        <v>2018</v>
      </c>
      <c r="C2067" t="s">
        <v>205</v>
      </c>
      <c r="D2067" s="437" t="s">
        <v>57</v>
      </c>
      <c r="E2067" s="437">
        <v>9160</v>
      </c>
    </row>
    <row r="2068" spans="1:5" x14ac:dyDescent="0.25">
      <c r="A2068" t="s">
        <v>110</v>
      </c>
      <c r="B2068">
        <v>2018</v>
      </c>
      <c r="C2068" t="s">
        <v>205</v>
      </c>
      <c r="D2068" s="437" t="s">
        <v>348</v>
      </c>
      <c r="E2068" s="437">
        <v>0</v>
      </c>
    </row>
    <row r="2069" spans="1:5" x14ac:dyDescent="0.25">
      <c r="A2069" t="s">
        <v>110</v>
      </c>
      <c r="B2069">
        <v>2018</v>
      </c>
      <c r="C2069" t="s">
        <v>205</v>
      </c>
      <c r="D2069" s="437" t="s">
        <v>349</v>
      </c>
      <c r="E2069" s="437">
        <v>10860</v>
      </c>
    </row>
    <row r="2070" spans="1:5" x14ac:dyDescent="0.25">
      <c r="A2070" t="s">
        <v>110</v>
      </c>
      <c r="B2070">
        <v>2018</v>
      </c>
      <c r="C2070" t="s">
        <v>205</v>
      </c>
      <c r="D2070" s="437" t="s">
        <v>595</v>
      </c>
      <c r="E2070" s="437">
        <v>30176</v>
      </c>
    </row>
    <row r="2071" spans="1:5" x14ac:dyDescent="0.25">
      <c r="A2071" t="s">
        <v>110</v>
      </c>
      <c r="B2071">
        <v>2018</v>
      </c>
      <c r="C2071" t="s">
        <v>205</v>
      </c>
      <c r="D2071" s="437" t="s">
        <v>352</v>
      </c>
      <c r="E2071" s="437">
        <v>882</v>
      </c>
    </row>
    <row r="2072" spans="1:5" x14ac:dyDescent="0.25">
      <c r="A2072" t="s">
        <v>110</v>
      </c>
      <c r="B2072">
        <v>2018</v>
      </c>
      <c r="C2072" t="s">
        <v>205</v>
      </c>
      <c r="D2072" s="437" t="s">
        <v>43</v>
      </c>
      <c r="E2072" s="437">
        <v>13604</v>
      </c>
    </row>
    <row r="2073" spans="1:5" x14ac:dyDescent="0.25">
      <c r="A2073" t="s">
        <v>110</v>
      </c>
      <c r="B2073">
        <v>2018</v>
      </c>
      <c r="C2073" t="s">
        <v>205</v>
      </c>
      <c r="D2073" s="437" t="s">
        <v>42</v>
      </c>
      <c r="E2073" s="437">
        <v>6610</v>
      </c>
    </row>
    <row r="2074" spans="1:5" x14ac:dyDescent="0.25">
      <c r="A2074" t="s">
        <v>110</v>
      </c>
      <c r="B2074">
        <v>2018</v>
      </c>
      <c r="C2074" t="s">
        <v>205</v>
      </c>
      <c r="D2074" s="437" t="s">
        <v>44</v>
      </c>
      <c r="E2074" s="437">
        <v>13100</v>
      </c>
    </row>
    <row r="2075" spans="1:5" x14ac:dyDescent="0.25">
      <c r="A2075" t="s">
        <v>110</v>
      </c>
      <c r="B2075">
        <v>2018</v>
      </c>
      <c r="C2075" t="s">
        <v>205</v>
      </c>
      <c r="D2075" s="437" t="s">
        <v>397</v>
      </c>
      <c r="E2075" s="437">
        <v>2017</v>
      </c>
    </row>
    <row r="2076" spans="1:5" x14ac:dyDescent="0.25">
      <c r="A2076" t="s">
        <v>110</v>
      </c>
      <c r="B2076">
        <v>2018</v>
      </c>
      <c r="C2076" t="s">
        <v>205</v>
      </c>
      <c r="D2076" s="437" t="s">
        <v>133</v>
      </c>
      <c r="E2076" s="437">
        <v>3793</v>
      </c>
    </row>
    <row r="2077" spans="1:5" x14ac:dyDescent="0.25">
      <c r="A2077" t="s">
        <v>110</v>
      </c>
      <c r="B2077">
        <v>2018</v>
      </c>
      <c r="C2077" t="s">
        <v>205</v>
      </c>
      <c r="D2077" s="437" t="s">
        <v>597</v>
      </c>
      <c r="E2077" s="437">
        <v>20369</v>
      </c>
    </row>
    <row r="2078" spans="1:5" x14ac:dyDescent="0.25">
      <c r="A2078" t="s">
        <v>110</v>
      </c>
      <c r="B2078">
        <v>2018</v>
      </c>
      <c r="C2078" t="s">
        <v>205</v>
      </c>
      <c r="D2078" s="437" t="s">
        <v>596</v>
      </c>
      <c r="E2078" s="437">
        <v>61437</v>
      </c>
    </row>
    <row r="2079" spans="1:5" x14ac:dyDescent="0.25">
      <c r="A2079" t="s">
        <v>110</v>
      </c>
      <c r="B2079">
        <v>2018</v>
      </c>
      <c r="C2079" t="s">
        <v>205</v>
      </c>
      <c r="D2079" s="437" t="s">
        <v>413</v>
      </c>
      <c r="E2079" s="437">
        <v>5</v>
      </c>
    </row>
    <row r="2080" spans="1:5" x14ac:dyDescent="0.25">
      <c r="A2080" t="s">
        <v>111</v>
      </c>
      <c r="B2080">
        <v>2018</v>
      </c>
      <c r="C2080" t="s">
        <v>205</v>
      </c>
      <c r="D2080" s="437" t="s">
        <v>57</v>
      </c>
      <c r="E2080" s="437">
        <v>0</v>
      </c>
    </row>
    <row r="2081" spans="1:5" x14ac:dyDescent="0.25">
      <c r="A2081" t="s">
        <v>111</v>
      </c>
      <c r="B2081">
        <v>2018</v>
      </c>
      <c r="C2081" t="s">
        <v>205</v>
      </c>
      <c r="D2081" s="437" t="s">
        <v>348</v>
      </c>
      <c r="E2081" s="437">
        <v>3904</v>
      </c>
    </row>
    <row r="2082" spans="1:5" x14ac:dyDescent="0.25">
      <c r="A2082" t="s">
        <v>111</v>
      </c>
      <c r="B2082">
        <v>2018</v>
      </c>
      <c r="C2082" t="s">
        <v>205</v>
      </c>
      <c r="D2082" s="437" t="s">
        <v>349</v>
      </c>
      <c r="E2082" s="437">
        <v>0</v>
      </c>
    </row>
    <row r="2083" spans="1:5" x14ac:dyDescent="0.25">
      <c r="A2083" t="s">
        <v>111</v>
      </c>
      <c r="B2083">
        <v>2018</v>
      </c>
      <c r="C2083" t="s">
        <v>205</v>
      </c>
      <c r="D2083" s="437" t="s">
        <v>595</v>
      </c>
      <c r="E2083" s="437">
        <v>4269</v>
      </c>
    </row>
    <row r="2084" spans="1:5" x14ac:dyDescent="0.25">
      <c r="A2084" t="s">
        <v>111</v>
      </c>
      <c r="B2084">
        <v>2018</v>
      </c>
      <c r="C2084" t="s">
        <v>205</v>
      </c>
      <c r="D2084" s="437" t="s">
        <v>352</v>
      </c>
      <c r="E2084" s="437">
        <v>0</v>
      </c>
    </row>
    <row r="2085" spans="1:5" x14ac:dyDescent="0.25">
      <c r="A2085" t="s">
        <v>111</v>
      </c>
      <c r="B2085">
        <v>2018</v>
      </c>
      <c r="C2085" t="s">
        <v>205</v>
      </c>
      <c r="D2085" s="437" t="s">
        <v>43</v>
      </c>
      <c r="E2085" s="437">
        <v>2082</v>
      </c>
    </row>
    <row r="2086" spans="1:5" x14ac:dyDescent="0.25">
      <c r="A2086" t="s">
        <v>111</v>
      </c>
      <c r="B2086">
        <v>2018</v>
      </c>
      <c r="C2086" t="s">
        <v>205</v>
      </c>
      <c r="D2086" s="437" t="s">
        <v>42</v>
      </c>
      <c r="E2086" s="437">
        <v>0</v>
      </c>
    </row>
    <row r="2087" spans="1:5" x14ac:dyDescent="0.25">
      <c r="A2087" t="s">
        <v>111</v>
      </c>
      <c r="B2087">
        <v>2018</v>
      </c>
      <c r="C2087" t="s">
        <v>205</v>
      </c>
      <c r="D2087" s="437" t="s">
        <v>44</v>
      </c>
      <c r="E2087" s="437">
        <v>2448</v>
      </c>
    </row>
    <row r="2088" spans="1:5" x14ac:dyDescent="0.25">
      <c r="A2088" t="s">
        <v>111</v>
      </c>
      <c r="B2088">
        <v>2018</v>
      </c>
      <c r="C2088" t="s">
        <v>205</v>
      </c>
      <c r="D2088" s="437" t="s">
        <v>397</v>
      </c>
      <c r="E2088" s="437">
        <v>60</v>
      </c>
    </row>
    <row r="2089" spans="1:5" x14ac:dyDescent="0.25">
      <c r="A2089" t="s">
        <v>111</v>
      </c>
      <c r="B2089">
        <v>2018</v>
      </c>
      <c r="C2089" t="s">
        <v>205</v>
      </c>
      <c r="D2089" s="437" t="s">
        <v>133</v>
      </c>
      <c r="E2089" s="437">
        <v>3399</v>
      </c>
    </row>
    <row r="2090" spans="1:5" x14ac:dyDescent="0.25">
      <c r="A2090" t="s">
        <v>111</v>
      </c>
      <c r="B2090">
        <v>2018</v>
      </c>
      <c r="C2090" t="s">
        <v>205</v>
      </c>
      <c r="D2090" s="437" t="s">
        <v>597</v>
      </c>
      <c r="E2090" s="437">
        <v>3437</v>
      </c>
    </row>
    <row r="2091" spans="1:5" x14ac:dyDescent="0.25">
      <c r="A2091" t="s">
        <v>111</v>
      </c>
      <c r="B2091">
        <v>2018</v>
      </c>
      <c r="C2091" t="s">
        <v>205</v>
      </c>
      <c r="D2091" s="437" t="s">
        <v>596</v>
      </c>
      <c r="E2091" s="437">
        <v>9062</v>
      </c>
    </row>
    <row r="2092" spans="1:5" x14ac:dyDescent="0.25">
      <c r="A2092" t="s">
        <v>111</v>
      </c>
      <c r="B2092">
        <v>2018</v>
      </c>
      <c r="C2092" t="s">
        <v>205</v>
      </c>
      <c r="D2092" s="437" t="s">
        <v>413</v>
      </c>
      <c r="E2092" s="437">
        <v>230</v>
      </c>
    </row>
    <row r="2093" spans="1:5" x14ac:dyDescent="0.25">
      <c r="A2093" t="s">
        <v>112</v>
      </c>
      <c r="B2093">
        <v>2018</v>
      </c>
      <c r="C2093" t="s">
        <v>205</v>
      </c>
      <c r="D2093" s="437" t="s">
        <v>57</v>
      </c>
      <c r="E2093" s="437">
        <v>0</v>
      </c>
    </row>
    <row r="2094" spans="1:5" x14ac:dyDescent="0.25">
      <c r="A2094" t="s">
        <v>112</v>
      </c>
      <c r="B2094">
        <v>2018</v>
      </c>
      <c r="C2094" t="s">
        <v>205</v>
      </c>
      <c r="D2094" s="437" t="s">
        <v>348</v>
      </c>
      <c r="E2094" s="437">
        <v>0</v>
      </c>
    </row>
    <row r="2095" spans="1:5" x14ac:dyDescent="0.25">
      <c r="A2095" t="s">
        <v>112</v>
      </c>
      <c r="B2095">
        <v>2018</v>
      </c>
      <c r="C2095" t="s">
        <v>205</v>
      </c>
      <c r="D2095" s="437" t="s">
        <v>349</v>
      </c>
      <c r="E2095" s="437">
        <v>325</v>
      </c>
    </row>
    <row r="2096" spans="1:5" x14ac:dyDescent="0.25">
      <c r="A2096" t="s">
        <v>112</v>
      </c>
      <c r="B2096">
        <v>2018</v>
      </c>
      <c r="C2096" t="s">
        <v>205</v>
      </c>
      <c r="D2096" s="437" t="s">
        <v>595</v>
      </c>
      <c r="E2096" s="437">
        <v>743</v>
      </c>
    </row>
    <row r="2097" spans="1:5" x14ac:dyDescent="0.25">
      <c r="A2097" t="s">
        <v>112</v>
      </c>
      <c r="B2097">
        <v>2018</v>
      </c>
      <c r="C2097" t="s">
        <v>205</v>
      </c>
      <c r="D2097" s="437" t="s">
        <v>352</v>
      </c>
      <c r="E2097" s="437">
        <v>950</v>
      </c>
    </row>
    <row r="2098" spans="1:5" x14ac:dyDescent="0.25">
      <c r="A2098" t="s">
        <v>112</v>
      </c>
      <c r="B2098">
        <v>2018</v>
      </c>
      <c r="C2098" t="s">
        <v>205</v>
      </c>
      <c r="D2098" s="437" t="s">
        <v>43</v>
      </c>
      <c r="E2098" s="437">
        <v>556</v>
      </c>
    </row>
    <row r="2099" spans="1:5" x14ac:dyDescent="0.25">
      <c r="A2099" t="s">
        <v>112</v>
      </c>
      <c r="B2099">
        <v>2018</v>
      </c>
      <c r="C2099" t="s">
        <v>205</v>
      </c>
      <c r="D2099" s="437" t="s">
        <v>42</v>
      </c>
      <c r="E2099" s="437">
        <v>0</v>
      </c>
    </row>
    <row r="2100" spans="1:5" x14ac:dyDescent="0.25">
      <c r="A2100" t="s">
        <v>112</v>
      </c>
      <c r="B2100">
        <v>2018</v>
      </c>
      <c r="C2100" t="s">
        <v>205</v>
      </c>
      <c r="D2100" s="437" t="s">
        <v>44</v>
      </c>
      <c r="E2100" s="437">
        <v>52</v>
      </c>
    </row>
    <row r="2101" spans="1:5" x14ac:dyDescent="0.25">
      <c r="A2101" t="s">
        <v>112</v>
      </c>
      <c r="B2101">
        <v>2018</v>
      </c>
      <c r="C2101" t="s">
        <v>205</v>
      </c>
      <c r="D2101" s="437" t="s">
        <v>397</v>
      </c>
      <c r="E2101" s="437">
        <v>99</v>
      </c>
    </row>
    <row r="2102" spans="1:5" x14ac:dyDescent="0.25">
      <c r="A2102" t="s">
        <v>112</v>
      </c>
      <c r="B2102">
        <v>2018</v>
      </c>
      <c r="C2102" t="s">
        <v>205</v>
      </c>
      <c r="D2102" s="437" t="s">
        <v>133</v>
      </c>
      <c r="E2102" s="437">
        <v>2095</v>
      </c>
    </row>
    <row r="2103" spans="1:5" x14ac:dyDescent="0.25">
      <c r="A2103" t="s">
        <v>112</v>
      </c>
      <c r="B2103">
        <v>2018</v>
      </c>
      <c r="C2103" t="s">
        <v>205</v>
      </c>
      <c r="D2103" s="437" t="s">
        <v>597</v>
      </c>
      <c r="E2103" s="437">
        <v>1249</v>
      </c>
    </row>
    <row r="2104" spans="1:5" x14ac:dyDescent="0.25">
      <c r="A2104" t="s">
        <v>112</v>
      </c>
      <c r="B2104">
        <v>2018</v>
      </c>
      <c r="C2104" t="s">
        <v>205</v>
      </c>
      <c r="D2104" s="437" t="s">
        <v>596</v>
      </c>
      <c r="E2104" s="437">
        <v>3168</v>
      </c>
    </row>
    <row r="2105" spans="1:5" x14ac:dyDescent="0.25">
      <c r="A2105" t="s">
        <v>112</v>
      </c>
      <c r="B2105">
        <v>2018</v>
      </c>
      <c r="C2105" t="s">
        <v>205</v>
      </c>
      <c r="D2105" s="437" t="s">
        <v>413</v>
      </c>
      <c r="E2105" s="437">
        <v>12</v>
      </c>
    </row>
    <row r="2106" spans="1:5" x14ac:dyDescent="0.25">
      <c r="A2106" t="s">
        <v>113</v>
      </c>
      <c r="B2106">
        <v>2018</v>
      </c>
      <c r="C2106" t="s">
        <v>205</v>
      </c>
      <c r="D2106" s="437" t="s">
        <v>57</v>
      </c>
      <c r="E2106" s="437">
        <v>1899</v>
      </c>
    </row>
    <row r="2107" spans="1:5" x14ac:dyDescent="0.25">
      <c r="A2107" t="s">
        <v>113</v>
      </c>
      <c r="B2107">
        <v>2018</v>
      </c>
      <c r="C2107" t="s">
        <v>205</v>
      </c>
      <c r="D2107" s="437" t="s">
        <v>348</v>
      </c>
      <c r="E2107" s="437">
        <v>1049</v>
      </c>
    </row>
    <row r="2108" spans="1:5" x14ac:dyDescent="0.25">
      <c r="A2108" t="s">
        <v>113</v>
      </c>
      <c r="B2108">
        <v>2018</v>
      </c>
      <c r="C2108" t="s">
        <v>205</v>
      </c>
      <c r="D2108" s="437" t="s">
        <v>349</v>
      </c>
      <c r="E2108" s="437">
        <v>0</v>
      </c>
    </row>
    <row r="2109" spans="1:5" x14ac:dyDescent="0.25">
      <c r="A2109" t="s">
        <v>113</v>
      </c>
      <c r="B2109">
        <v>2018</v>
      </c>
      <c r="C2109" t="s">
        <v>205</v>
      </c>
      <c r="D2109" s="437" t="s">
        <v>595</v>
      </c>
      <c r="E2109" s="437">
        <v>4042</v>
      </c>
    </row>
    <row r="2110" spans="1:5" x14ac:dyDescent="0.25">
      <c r="A2110" t="s">
        <v>113</v>
      </c>
      <c r="B2110">
        <v>2018</v>
      </c>
      <c r="C2110" t="s">
        <v>205</v>
      </c>
      <c r="D2110" s="437" t="s">
        <v>352</v>
      </c>
      <c r="E2110" s="437">
        <v>412</v>
      </c>
    </row>
    <row r="2111" spans="1:5" x14ac:dyDescent="0.25">
      <c r="A2111" t="s">
        <v>113</v>
      </c>
      <c r="B2111">
        <v>2018</v>
      </c>
      <c r="C2111" t="s">
        <v>205</v>
      </c>
      <c r="D2111" s="437" t="s">
        <v>43</v>
      </c>
      <c r="E2111" s="437">
        <v>325</v>
      </c>
    </row>
    <row r="2112" spans="1:5" x14ac:dyDescent="0.25">
      <c r="A2112" t="s">
        <v>113</v>
      </c>
      <c r="B2112">
        <v>2018</v>
      </c>
      <c r="C2112" t="s">
        <v>205</v>
      </c>
      <c r="D2112" s="437" t="s">
        <v>42</v>
      </c>
      <c r="E2112" s="437">
        <v>0</v>
      </c>
    </row>
    <row r="2113" spans="1:5" x14ac:dyDescent="0.25">
      <c r="A2113" t="s">
        <v>113</v>
      </c>
      <c r="B2113">
        <v>2018</v>
      </c>
      <c r="C2113" t="s">
        <v>205</v>
      </c>
      <c r="D2113" s="437" t="s">
        <v>44</v>
      </c>
      <c r="E2113" s="437">
        <v>336</v>
      </c>
    </row>
    <row r="2114" spans="1:5" x14ac:dyDescent="0.25">
      <c r="A2114" t="s">
        <v>113</v>
      </c>
      <c r="B2114">
        <v>2018</v>
      </c>
      <c r="C2114" t="s">
        <v>205</v>
      </c>
      <c r="D2114" s="437" t="s">
        <v>397</v>
      </c>
      <c r="E2114" s="437">
        <v>319</v>
      </c>
    </row>
    <row r="2115" spans="1:5" x14ac:dyDescent="0.25">
      <c r="A2115" t="s">
        <v>113</v>
      </c>
      <c r="B2115">
        <v>2018</v>
      </c>
      <c r="C2115" t="s">
        <v>205</v>
      </c>
      <c r="D2115" s="437" t="s">
        <v>133</v>
      </c>
      <c r="E2115" s="437">
        <v>56</v>
      </c>
    </row>
    <row r="2116" spans="1:5" x14ac:dyDescent="0.25">
      <c r="A2116" t="s">
        <v>113</v>
      </c>
      <c r="B2116">
        <v>2018</v>
      </c>
      <c r="C2116" t="s">
        <v>205</v>
      </c>
      <c r="D2116" s="437" t="s">
        <v>597</v>
      </c>
      <c r="E2116" s="437">
        <v>2914</v>
      </c>
    </row>
    <row r="2117" spans="1:5" x14ac:dyDescent="0.25">
      <c r="A2117" t="s">
        <v>113</v>
      </c>
      <c r="B2117">
        <v>2018</v>
      </c>
      <c r="C2117" t="s">
        <v>205</v>
      </c>
      <c r="D2117" s="437" t="s">
        <v>596</v>
      </c>
      <c r="E2117" s="437">
        <v>6572</v>
      </c>
    </row>
    <row r="2118" spans="1:5" x14ac:dyDescent="0.25">
      <c r="A2118" t="s">
        <v>113</v>
      </c>
      <c r="B2118">
        <v>2018</v>
      </c>
      <c r="C2118" t="s">
        <v>205</v>
      </c>
      <c r="D2118" s="437" t="s">
        <v>413</v>
      </c>
      <c r="E2118" s="437">
        <v>36</v>
      </c>
    </row>
    <row r="2119" spans="1:5" x14ac:dyDescent="0.25">
      <c r="A2119" t="s">
        <v>114</v>
      </c>
      <c r="B2119">
        <v>2018</v>
      </c>
      <c r="C2119" t="s">
        <v>205</v>
      </c>
      <c r="D2119" s="437" t="s">
        <v>57</v>
      </c>
      <c r="E2119" s="437">
        <v>0</v>
      </c>
    </row>
    <row r="2120" spans="1:5" x14ac:dyDescent="0.25">
      <c r="A2120" t="s">
        <v>114</v>
      </c>
      <c r="B2120">
        <v>2018</v>
      </c>
      <c r="C2120" t="s">
        <v>205</v>
      </c>
      <c r="D2120" s="437" t="s">
        <v>348</v>
      </c>
      <c r="E2120" s="437">
        <v>0</v>
      </c>
    </row>
    <row r="2121" spans="1:5" x14ac:dyDescent="0.25">
      <c r="A2121" t="s">
        <v>114</v>
      </c>
      <c r="B2121">
        <v>2018</v>
      </c>
      <c r="C2121" t="s">
        <v>205</v>
      </c>
      <c r="D2121" s="437" t="s">
        <v>349</v>
      </c>
      <c r="E2121" s="437">
        <v>855</v>
      </c>
    </row>
    <row r="2122" spans="1:5" x14ac:dyDescent="0.25">
      <c r="A2122" t="s">
        <v>114</v>
      </c>
      <c r="B2122">
        <v>2018</v>
      </c>
      <c r="C2122" t="s">
        <v>205</v>
      </c>
      <c r="D2122" s="437" t="s">
        <v>595</v>
      </c>
      <c r="E2122" s="437">
        <v>4215</v>
      </c>
    </row>
    <row r="2123" spans="1:5" x14ac:dyDescent="0.25">
      <c r="A2123" t="s">
        <v>114</v>
      </c>
      <c r="B2123">
        <v>2018</v>
      </c>
      <c r="C2123" t="s">
        <v>205</v>
      </c>
      <c r="D2123" s="437" t="s">
        <v>352</v>
      </c>
      <c r="E2123" s="437">
        <v>1144</v>
      </c>
    </row>
    <row r="2124" spans="1:5" x14ac:dyDescent="0.25">
      <c r="A2124" t="s">
        <v>114</v>
      </c>
      <c r="B2124">
        <v>2018</v>
      </c>
      <c r="C2124" t="s">
        <v>205</v>
      </c>
      <c r="D2124" s="437" t="s">
        <v>43</v>
      </c>
      <c r="E2124" s="437">
        <v>3080</v>
      </c>
    </row>
    <row r="2125" spans="1:5" x14ac:dyDescent="0.25">
      <c r="A2125" t="s">
        <v>114</v>
      </c>
      <c r="B2125">
        <v>2018</v>
      </c>
      <c r="C2125" t="s">
        <v>205</v>
      </c>
      <c r="D2125" s="437" t="s">
        <v>42</v>
      </c>
      <c r="E2125" s="437">
        <v>0</v>
      </c>
    </row>
    <row r="2126" spans="1:5" x14ac:dyDescent="0.25">
      <c r="A2126" t="s">
        <v>114</v>
      </c>
      <c r="B2126">
        <v>2018</v>
      </c>
      <c r="C2126" t="s">
        <v>205</v>
      </c>
      <c r="D2126" s="437" t="s">
        <v>44</v>
      </c>
      <c r="E2126" s="437">
        <v>0</v>
      </c>
    </row>
    <row r="2127" spans="1:5" x14ac:dyDescent="0.25">
      <c r="A2127" t="s">
        <v>114</v>
      </c>
      <c r="B2127">
        <v>2018</v>
      </c>
      <c r="C2127" t="s">
        <v>205</v>
      </c>
      <c r="D2127" s="437" t="s">
        <v>397</v>
      </c>
      <c r="E2127" s="437">
        <v>0</v>
      </c>
    </row>
    <row r="2128" spans="1:5" x14ac:dyDescent="0.25">
      <c r="A2128" t="s">
        <v>114</v>
      </c>
      <c r="B2128">
        <v>2018</v>
      </c>
      <c r="C2128" t="s">
        <v>205</v>
      </c>
      <c r="D2128" s="437" t="s">
        <v>133</v>
      </c>
      <c r="E2128" s="437">
        <v>530</v>
      </c>
    </row>
    <row r="2129" spans="1:5" x14ac:dyDescent="0.25">
      <c r="A2129" t="s">
        <v>114</v>
      </c>
      <c r="B2129">
        <v>2018</v>
      </c>
      <c r="C2129" t="s">
        <v>205</v>
      </c>
      <c r="D2129" s="437" t="s">
        <v>597</v>
      </c>
      <c r="E2129" s="437">
        <v>2044</v>
      </c>
    </row>
    <row r="2130" spans="1:5" x14ac:dyDescent="0.25">
      <c r="A2130" t="s">
        <v>114</v>
      </c>
      <c r="B2130">
        <v>2018</v>
      </c>
      <c r="C2130" t="s">
        <v>205</v>
      </c>
      <c r="D2130" s="437" t="s">
        <v>596</v>
      </c>
      <c r="E2130" s="437">
        <v>4895</v>
      </c>
    </row>
    <row r="2131" spans="1:5" x14ac:dyDescent="0.25">
      <c r="A2131" t="s">
        <v>114</v>
      </c>
      <c r="B2131">
        <v>2018</v>
      </c>
      <c r="C2131" t="s">
        <v>205</v>
      </c>
      <c r="D2131" s="437" t="s">
        <v>413</v>
      </c>
      <c r="E2131" s="437">
        <v>687</v>
      </c>
    </row>
    <row r="2132" spans="1:5" x14ac:dyDescent="0.25">
      <c r="A2132" t="s">
        <v>200</v>
      </c>
      <c r="B2132">
        <v>2018</v>
      </c>
      <c r="C2132" t="s">
        <v>205</v>
      </c>
      <c r="D2132" s="437" t="s">
        <v>57</v>
      </c>
      <c r="E2132" s="437">
        <v>0</v>
      </c>
    </row>
    <row r="2133" spans="1:5" x14ac:dyDescent="0.25">
      <c r="A2133" t="s">
        <v>200</v>
      </c>
      <c r="B2133">
        <v>2018</v>
      </c>
      <c r="C2133" t="s">
        <v>205</v>
      </c>
      <c r="D2133" s="437" t="s">
        <v>348</v>
      </c>
      <c r="E2133" s="437">
        <v>0</v>
      </c>
    </row>
    <row r="2134" spans="1:5" x14ac:dyDescent="0.25">
      <c r="A2134" t="s">
        <v>200</v>
      </c>
      <c r="B2134">
        <v>2018</v>
      </c>
      <c r="C2134" t="s">
        <v>205</v>
      </c>
      <c r="D2134" s="437" t="s">
        <v>349</v>
      </c>
      <c r="E2134" s="437">
        <v>0</v>
      </c>
    </row>
    <row r="2135" spans="1:5" x14ac:dyDescent="0.25">
      <c r="A2135" t="s">
        <v>200</v>
      </c>
      <c r="B2135">
        <v>2018</v>
      </c>
      <c r="C2135" t="s">
        <v>205</v>
      </c>
      <c r="D2135" s="437" t="s">
        <v>595</v>
      </c>
      <c r="E2135" s="437">
        <v>0</v>
      </c>
    </row>
    <row r="2136" spans="1:5" x14ac:dyDescent="0.25">
      <c r="A2136" t="s">
        <v>200</v>
      </c>
      <c r="B2136">
        <v>2018</v>
      </c>
      <c r="C2136" t="s">
        <v>205</v>
      </c>
      <c r="D2136" s="437" t="s">
        <v>352</v>
      </c>
      <c r="E2136" s="437">
        <v>11</v>
      </c>
    </row>
    <row r="2137" spans="1:5" x14ac:dyDescent="0.25">
      <c r="A2137" t="s">
        <v>200</v>
      </c>
      <c r="B2137">
        <v>2018</v>
      </c>
      <c r="C2137" t="s">
        <v>205</v>
      </c>
      <c r="D2137" s="437" t="s">
        <v>43</v>
      </c>
      <c r="E2137" s="437">
        <v>2</v>
      </c>
    </row>
    <row r="2138" spans="1:5" x14ac:dyDescent="0.25">
      <c r="A2138" t="s">
        <v>200</v>
      </c>
      <c r="B2138">
        <v>2018</v>
      </c>
      <c r="C2138" t="s">
        <v>205</v>
      </c>
      <c r="D2138" s="437" t="s">
        <v>42</v>
      </c>
      <c r="E2138" s="437">
        <v>0</v>
      </c>
    </row>
    <row r="2139" spans="1:5" x14ac:dyDescent="0.25">
      <c r="A2139" t="s">
        <v>200</v>
      </c>
      <c r="B2139">
        <v>2018</v>
      </c>
      <c r="C2139" t="s">
        <v>205</v>
      </c>
      <c r="D2139" s="437" t="s">
        <v>44</v>
      </c>
      <c r="E2139" s="437">
        <v>0</v>
      </c>
    </row>
    <row r="2140" spans="1:5" x14ac:dyDescent="0.25">
      <c r="A2140" t="s">
        <v>200</v>
      </c>
      <c r="B2140">
        <v>2018</v>
      </c>
      <c r="C2140" t="s">
        <v>205</v>
      </c>
      <c r="D2140" s="437" t="s">
        <v>397</v>
      </c>
      <c r="E2140" s="437">
        <v>0</v>
      </c>
    </row>
    <row r="2141" spans="1:5" x14ac:dyDescent="0.25">
      <c r="A2141" t="s">
        <v>200</v>
      </c>
      <c r="B2141">
        <v>2018</v>
      </c>
      <c r="C2141" t="s">
        <v>205</v>
      </c>
      <c r="D2141" s="437" t="s">
        <v>133</v>
      </c>
      <c r="E2141" s="437">
        <v>1973</v>
      </c>
    </row>
    <row r="2142" spans="1:5" x14ac:dyDescent="0.25">
      <c r="A2142" t="s">
        <v>200</v>
      </c>
      <c r="B2142">
        <v>2018</v>
      </c>
      <c r="C2142" t="s">
        <v>205</v>
      </c>
      <c r="D2142" s="437" t="s">
        <v>597</v>
      </c>
      <c r="E2142" s="437">
        <v>1522</v>
      </c>
    </row>
    <row r="2143" spans="1:5" x14ac:dyDescent="0.25">
      <c r="A2143" t="s">
        <v>200</v>
      </c>
      <c r="B2143">
        <v>2018</v>
      </c>
      <c r="C2143" t="s">
        <v>205</v>
      </c>
      <c r="D2143" s="437" t="s">
        <v>596</v>
      </c>
      <c r="E2143" s="437">
        <v>2450</v>
      </c>
    </row>
    <row r="2144" spans="1:5" x14ac:dyDescent="0.25">
      <c r="A2144" t="s">
        <v>200</v>
      </c>
      <c r="B2144">
        <v>2018</v>
      </c>
      <c r="C2144" t="s">
        <v>205</v>
      </c>
      <c r="D2144" s="437" t="s">
        <v>413</v>
      </c>
      <c r="E2144" s="437">
        <v>748</v>
      </c>
    </row>
    <row r="2145" spans="1:5" x14ac:dyDescent="0.25">
      <c r="A2145" t="s">
        <v>115</v>
      </c>
      <c r="B2145">
        <v>2018</v>
      </c>
      <c r="C2145" t="s">
        <v>205</v>
      </c>
      <c r="D2145" s="437" t="s">
        <v>57</v>
      </c>
      <c r="E2145" s="437">
        <v>0</v>
      </c>
    </row>
    <row r="2146" spans="1:5" x14ac:dyDescent="0.25">
      <c r="A2146" t="s">
        <v>115</v>
      </c>
      <c r="B2146">
        <v>2018</v>
      </c>
      <c r="C2146" t="s">
        <v>205</v>
      </c>
      <c r="D2146" s="437" t="s">
        <v>348</v>
      </c>
      <c r="E2146" s="437">
        <v>0</v>
      </c>
    </row>
    <row r="2147" spans="1:5" x14ac:dyDescent="0.25">
      <c r="A2147" t="s">
        <v>115</v>
      </c>
      <c r="B2147">
        <v>2018</v>
      </c>
      <c r="C2147" t="s">
        <v>205</v>
      </c>
      <c r="D2147" s="437" t="s">
        <v>349</v>
      </c>
      <c r="E2147" s="437">
        <v>6444</v>
      </c>
    </row>
    <row r="2148" spans="1:5" x14ac:dyDescent="0.25">
      <c r="A2148" t="s">
        <v>115</v>
      </c>
      <c r="B2148">
        <v>2018</v>
      </c>
      <c r="C2148" t="s">
        <v>205</v>
      </c>
      <c r="D2148" s="437" t="s">
        <v>595</v>
      </c>
      <c r="E2148" s="437">
        <v>52086</v>
      </c>
    </row>
    <row r="2149" spans="1:5" x14ac:dyDescent="0.25">
      <c r="A2149" t="s">
        <v>115</v>
      </c>
      <c r="B2149">
        <v>2018</v>
      </c>
      <c r="C2149" t="s">
        <v>205</v>
      </c>
      <c r="D2149" s="437" t="s">
        <v>352</v>
      </c>
      <c r="E2149" s="437">
        <v>8599</v>
      </c>
    </row>
    <row r="2150" spans="1:5" x14ac:dyDescent="0.25">
      <c r="A2150" t="s">
        <v>115</v>
      </c>
      <c r="B2150">
        <v>2018</v>
      </c>
      <c r="C2150" t="s">
        <v>205</v>
      </c>
      <c r="D2150" s="437" t="s">
        <v>43</v>
      </c>
      <c r="E2150" s="437">
        <v>10310</v>
      </c>
    </row>
    <row r="2151" spans="1:5" x14ac:dyDescent="0.25">
      <c r="A2151" t="s">
        <v>115</v>
      </c>
      <c r="B2151">
        <v>2018</v>
      </c>
      <c r="C2151" t="s">
        <v>205</v>
      </c>
      <c r="D2151" s="437" t="s">
        <v>42</v>
      </c>
      <c r="E2151" s="437">
        <v>0</v>
      </c>
    </row>
    <row r="2152" spans="1:5" x14ac:dyDescent="0.25">
      <c r="A2152" t="s">
        <v>115</v>
      </c>
      <c r="B2152">
        <v>2018</v>
      </c>
      <c r="C2152" t="s">
        <v>205</v>
      </c>
      <c r="D2152" s="437" t="s">
        <v>44</v>
      </c>
      <c r="E2152" s="437">
        <v>20120</v>
      </c>
    </row>
    <row r="2153" spans="1:5" x14ac:dyDescent="0.25">
      <c r="A2153" t="s">
        <v>115</v>
      </c>
      <c r="B2153">
        <v>2018</v>
      </c>
      <c r="C2153" t="s">
        <v>205</v>
      </c>
      <c r="D2153" s="437" t="s">
        <v>397</v>
      </c>
      <c r="E2153" s="437">
        <v>2934</v>
      </c>
    </row>
    <row r="2154" spans="1:5" x14ac:dyDescent="0.25">
      <c r="A2154" t="s">
        <v>115</v>
      </c>
      <c r="B2154">
        <v>2018</v>
      </c>
      <c r="C2154" t="s">
        <v>205</v>
      </c>
      <c r="D2154" s="437" t="s">
        <v>133</v>
      </c>
      <c r="E2154" s="437">
        <v>26698</v>
      </c>
    </row>
    <row r="2155" spans="1:5" x14ac:dyDescent="0.25">
      <c r="A2155" t="s">
        <v>115</v>
      </c>
      <c r="B2155">
        <v>2018</v>
      </c>
      <c r="C2155" t="s">
        <v>205</v>
      </c>
      <c r="D2155" s="437" t="s">
        <v>597</v>
      </c>
      <c r="E2155" s="437">
        <v>19511</v>
      </c>
    </row>
    <row r="2156" spans="1:5" x14ac:dyDescent="0.25">
      <c r="A2156" t="s">
        <v>115</v>
      </c>
      <c r="B2156">
        <v>2018</v>
      </c>
      <c r="C2156" t="s">
        <v>205</v>
      </c>
      <c r="D2156" s="437" t="s">
        <v>596</v>
      </c>
      <c r="E2156" s="437">
        <v>57572</v>
      </c>
    </row>
    <row r="2157" spans="1:5" x14ac:dyDescent="0.25">
      <c r="A2157" t="s">
        <v>115</v>
      </c>
      <c r="B2157">
        <v>2018</v>
      </c>
      <c r="C2157" t="s">
        <v>205</v>
      </c>
      <c r="D2157" s="437" t="s">
        <v>413</v>
      </c>
      <c r="E2157" s="437">
        <v>3745</v>
      </c>
    </row>
    <row r="2158" spans="1:5" x14ac:dyDescent="0.25">
      <c r="A2158" t="s">
        <v>116</v>
      </c>
      <c r="B2158">
        <v>2018</v>
      </c>
      <c r="C2158" t="s">
        <v>205</v>
      </c>
      <c r="D2158" s="437" t="s">
        <v>57</v>
      </c>
      <c r="E2158" s="437">
        <v>0</v>
      </c>
    </row>
    <row r="2159" spans="1:5" x14ac:dyDescent="0.25">
      <c r="A2159" t="s">
        <v>116</v>
      </c>
      <c r="B2159">
        <v>2018</v>
      </c>
      <c r="C2159" t="s">
        <v>205</v>
      </c>
      <c r="D2159" s="437" t="s">
        <v>348</v>
      </c>
      <c r="E2159" s="437">
        <v>0</v>
      </c>
    </row>
    <row r="2160" spans="1:5" x14ac:dyDescent="0.25">
      <c r="A2160" t="s">
        <v>116</v>
      </c>
      <c r="B2160">
        <v>2018</v>
      </c>
      <c r="C2160" t="s">
        <v>205</v>
      </c>
      <c r="D2160" s="437" t="s">
        <v>349</v>
      </c>
      <c r="E2160" s="437">
        <v>0</v>
      </c>
    </row>
    <row r="2161" spans="1:5" x14ac:dyDescent="0.25">
      <c r="A2161" t="s">
        <v>116</v>
      </c>
      <c r="B2161">
        <v>2018</v>
      </c>
      <c r="C2161" t="s">
        <v>205</v>
      </c>
      <c r="D2161" s="437" t="s">
        <v>595</v>
      </c>
      <c r="E2161" s="437">
        <v>568</v>
      </c>
    </row>
    <row r="2162" spans="1:5" x14ac:dyDescent="0.25">
      <c r="A2162" t="s">
        <v>116</v>
      </c>
      <c r="B2162">
        <v>2018</v>
      </c>
      <c r="C2162" t="s">
        <v>205</v>
      </c>
      <c r="D2162" s="437" t="s">
        <v>352</v>
      </c>
      <c r="E2162" s="437">
        <v>1192</v>
      </c>
    </row>
    <row r="2163" spans="1:5" x14ac:dyDescent="0.25">
      <c r="A2163" t="s">
        <v>116</v>
      </c>
      <c r="B2163">
        <v>2018</v>
      </c>
      <c r="C2163" t="s">
        <v>205</v>
      </c>
      <c r="D2163" s="437" t="s">
        <v>43</v>
      </c>
      <c r="E2163" s="437">
        <v>533</v>
      </c>
    </row>
    <row r="2164" spans="1:5" x14ac:dyDescent="0.25">
      <c r="A2164" t="s">
        <v>116</v>
      </c>
      <c r="B2164">
        <v>2018</v>
      </c>
      <c r="C2164" t="s">
        <v>205</v>
      </c>
      <c r="D2164" s="437" t="s">
        <v>42</v>
      </c>
      <c r="E2164" s="437">
        <v>0</v>
      </c>
    </row>
    <row r="2165" spans="1:5" x14ac:dyDescent="0.25">
      <c r="A2165" t="s">
        <v>116</v>
      </c>
      <c r="B2165">
        <v>2018</v>
      </c>
      <c r="C2165" t="s">
        <v>205</v>
      </c>
      <c r="D2165" s="437" t="s">
        <v>44</v>
      </c>
      <c r="E2165" s="437">
        <v>83</v>
      </c>
    </row>
    <row r="2166" spans="1:5" x14ac:dyDescent="0.25">
      <c r="A2166" t="s">
        <v>116</v>
      </c>
      <c r="B2166">
        <v>2018</v>
      </c>
      <c r="C2166" t="s">
        <v>205</v>
      </c>
      <c r="D2166" s="437" t="s">
        <v>397</v>
      </c>
      <c r="E2166" s="437">
        <v>93</v>
      </c>
    </row>
    <row r="2167" spans="1:5" x14ac:dyDescent="0.25">
      <c r="A2167" t="s">
        <v>116</v>
      </c>
      <c r="B2167">
        <v>2018</v>
      </c>
      <c r="C2167" t="s">
        <v>205</v>
      </c>
      <c r="D2167" s="437" t="s">
        <v>133</v>
      </c>
      <c r="E2167" s="437">
        <v>1027</v>
      </c>
    </row>
    <row r="2168" spans="1:5" x14ac:dyDescent="0.25">
      <c r="A2168" t="s">
        <v>116</v>
      </c>
      <c r="B2168">
        <v>2018</v>
      </c>
      <c r="C2168" t="s">
        <v>205</v>
      </c>
      <c r="D2168" s="437" t="s">
        <v>597</v>
      </c>
      <c r="E2168" s="437">
        <v>858</v>
      </c>
    </row>
    <row r="2169" spans="1:5" x14ac:dyDescent="0.25">
      <c r="A2169" t="s">
        <v>116</v>
      </c>
      <c r="B2169">
        <v>2018</v>
      </c>
      <c r="C2169" t="s">
        <v>205</v>
      </c>
      <c r="D2169" s="437" t="s">
        <v>596</v>
      </c>
      <c r="E2169" s="437">
        <v>1999</v>
      </c>
    </row>
    <row r="2170" spans="1:5" x14ac:dyDescent="0.25">
      <c r="A2170" t="s">
        <v>116</v>
      </c>
      <c r="B2170">
        <v>2018</v>
      </c>
      <c r="C2170" t="s">
        <v>205</v>
      </c>
      <c r="D2170" s="437" t="s">
        <v>413</v>
      </c>
      <c r="E2170" s="437">
        <v>57</v>
      </c>
    </row>
    <row r="2171" spans="1:5" x14ac:dyDescent="0.25">
      <c r="A2171" t="s">
        <v>117</v>
      </c>
      <c r="B2171">
        <v>2018</v>
      </c>
      <c r="C2171" t="s">
        <v>205</v>
      </c>
      <c r="D2171" s="437" t="s">
        <v>57</v>
      </c>
      <c r="E2171" s="437">
        <v>0</v>
      </c>
    </row>
    <row r="2172" spans="1:5" x14ac:dyDescent="0.25">
      <c r="A2172" t="s">
        <v>117</v>
      </c>
      <c r="B2172">
        <v>2018</v>
      </c>
      <c r="C2172" t="s">
        <v>205</v>
      </c>
      <c r="D2172" s="437" t="s">
        <v>348</v>
      </c>
      <c r="E2172" s="437">
        <v>0</v>
      </c>
    </row>
    <row r="2173" spans="1:5" x14ac:dyDescent="0.25">
      <c r="A2173" t="s">
        <v>117</v>
      </c>
      <c r="B2173">
        <v>2018</v>
      </c>
      <c r="C2173" t="s">
        <v>205</v>
      </c>
      <c r="D2173" s="437" t="s">
        <v>349</v>
      </c>
      <c r="E2173" s="437">
        <v>0</v>
      </c>
    </row>
    <row r="2174" spans="1:5" x14ac:dyDescent="0.25">
      <c r="A2174" t="s">
        <v>117</v>
      </c>
      <c r="B2174">
        <v>2018</v>
      </c>
      <c r="C2174" t="s">
        <v>205</v>
      </c>
      <c r="D2174" s="437" t="s">
        <v>595</v>
      </c>
      <c r="E2174" s="437">
        <v>136</v>
      </c>
    </row>
    <row r="2175" spans="1:5" x14ac:dyDescent="0.25">
      <c r="A2175" t="s">
        <v>117</v>
      </c>
      <c r="B2175">
        <v>2018</v>
      </c>
      <c r="C2175" t="s">
        <v>205</v>
      </c>
      <c r="D2175" s="437" t="s">
        <v>352</v>
      </c>
      <c r="E2175" s="437">
        <v>0</v>
      </c>
    </row>
    <row r="2176" spans="1:5" x14ac:dyDescent="0.25">
      <c r="A2176" t="s">
        <v>117</v>
      </c>
      <c r="B2176">
        <v>2018</v>
      </c>
      <c r="C2176" t="s">
        <v>205</v>
      </c>
      <c r="D2176" s="437" t="s">
        <v>43</v>
      </c>
      <c r="E2176" s="437">
        <v>120</v>
      </c>
    </row>
    <row r="2177" spans="1:5" x14ac:dyDescent="0.25">
      <c r="A2177" t="s">
        <v>117</v>
      </c>
      <c r="B2177">
        <v>2018</v>
      </c>
      <c r="C2177" t="s">
        <v>205</v>
      </c>
      <c r="D2177" s="437" t="s">
        <v>42</v>
      </c>
      <c r="E2177" s="437">
        <v>0</v>
      </c>
    </row>
    <row r="2178" spans="1:5" x14ac:dyDescent="0.25">
      <c r="A2178" t="s">
        <v>117</v>
      </c>
      <c r="B2178">
        <v>2018</v>
      </c>
      <c r="C2178" t="s">
        <v>205</v>
      </c>
      <c r="D2178" s="437" t="s">
        <v>44</v>
      </c>
      <c r="E2178" s="437">
        <v>128</v>
      </c>
    </row>
    <row r="2179" spans="1:5" x14ac:dyDescent="0.25">
      <c r="A2179" t="s">
        <v>117</v>
      </c>
      <c r="B2179">
        <v>2018</v>
      </c>
      <c r="C2179" t="s">
        <v>205</v>
      </c>
      <c r="D2179" s="437" t="s">
        <v>397</v>
      </c>
      <c r="E2179" s="437">
        <v>11</v>
      </c>
    </row>
    <row r="2180" spans="1:5" x14ac:dyDescent="0.25">
      <c r="A2180" t="s">
        <v>117</v>
      </c>
      <c r="B2180">
        <v>2018</v>
      </c>
      <c r="C2180" t="s">
        <v>205</v>
      </c>
      <c r="D2180" s="437" t="s">
        <v>133</v>
      </c>
      <c r="E2180" s="437">
        <v>1328</v>
      </c>
    </row>
    <row r="2181" spans="1:5" x14ac:dyDescent="0.25">
      <c r="A2181" t="s">
        <v>117</v>
      </c>
      <c r="B2181">
        <v>2018</v>
      </c>
      <c r="C2181" t="s">
        <v>205</v>
      </c>
      <c r="D2181" s="437" t="s">
        <v>597</v>
      </c>
      <c r="E2181" s="437">
        <v>401</v>
      </c>
    </row>
    <row r="2182" spans="1:5" x14ac:dyDescent="0.25">
      <c r="A2182" t="s">
        <v>117</v>
      </c>
      <c r="B2182">
        <v>2018</v>
      </c>
      <c r="C2182" t="s">
        <v>205</v>
      </c>
      <c r="D2182" s="437" t="s">
        <v>596</v>
      </c>
      <c r="E2182" s="437">
        <v>1031</v>
      </c>
    </row>
    <row r="2183" spans="1:5" x14ac:dyDescent="0.25">
      <c r="A2183" t="s">
        <v>117</v>
      </c>
      <c r="B2183">
        <v>2018</v>
      </c>
      <c r="C2183" t="s">
        <v>205</v>
      </c>
      <c r="D2183" s="437" t="s">
        <v>413</v>
      </c>
      <c r="E2183" s="437">
        <v>21</v>
      </c>
    </row>
    <row r="2184" spans="1:5" x14ac:dyDescent="0.25">
      <c r="A2184" t="s">
        <v>201</v>
      </c>
      <c r="B2184">
        <v>2018</v>
      </c>
      <c r="C2184" t="s">
        <v>205</v>
      </c>
      <c r="D2184" s="437" t="s">
        <v>57</v>
      </c>
      <c r="E2184" s="437">
        <v>0</v>
      </c>
    </row>
    <row r="2185" spans="1:5" x14ac:dyDescent="0.25">
      <c r="A2185" t="s">
        <v>201</v>
      </c>
      <c r="B2185">
        <v>2018</v>
      </c>
      <c r="C2185" t="s">
        <v>205</v>
      </c>
      <c r="D2185" s="437" t="s">
        <v>348</v>
      </c>
      <c r="E2185" s="437">
        <v>0</v>
      </c>
    </row>
    <row r="2186" spans="1:5" x14ac:dyDescent="0.25">
      <c r="A2186" t="s">
        <v>201</v>
      </c>
      <c r="B2186">
        <v>2018</v>
      </c>
      <c r="C2186" t="s">
        <v>205</v>
      </c>
      <c r="D2186" s="437" t="s">
        <v>349</v>
      </c>
      <c r="E2186" s="437">
        <v>0</v>
      </c>
    </row>
    <row r="2187" spans="1:5" x14ac:dyDescent="0.25">
      <c r="A2187" t="s">
        <v>201</v>
      </c>
      <c r="B2187">
        <v>2018</v>
      </c>
      <c r="C2187" t="s">
        <v>205</v>
      </c>
      <c r="D2187" s="437" t="s">
        <v>595</v>
      </c>
      <c r="E2187" s="437">
        <v>1031</v>
      </c>
    </row>
    <row r="2188" spans="1:5" x14ac:dyDescent="0.25">
      <c r="A2188" t="s">
        <v>201</v>
      </c>
      <c r="B2188">
        <v>2018</v>
      </c>
      <c r="C2188" t="s">
        <v>205</v>
      </c>
      <c r="D2188" s="437" t="s">
        <v>352</v>
      </c>
      <c r="E2188" s="437">
        <v>90</v>
      </c>
    </row>
    <row r="2189" spans="1:5" x14ac:dyDescent="0.25">
      <c r="A2189" t="s">
        <v>201</v>
      </c>
      <c r="B2189">
        <v>2018</v>
      </c>
      <c r="C2189" t="s">
        <v>205</v>
      </c>
      <c r="D2189" s="437" t="s">
        <v>43</v>
      </c>
      <c r="E2189" s="437">
        <v>77</v>
      </c>
    </row>
    <row r="2190" spans="1:5" x14ac:dyDescent="0.25">
      <c r="A2190" t="s">
        <v>201</v>
      </c>
      <c r="B2190">
        <v>2018</v>
      </c>
      <c r="C2190" t="s">
        <v>205</v>
      </c>
      <c r="D2190" s="437" t="s">
        <v>42</v>
      </c>
      <c r="E2190" s="437">
        <v>0</v>
      </c>
    </row>
    <row r="2191" spans="1:5" x14ac:dyDescent="0.25">
      <c r="A2191" t="s">
        <v>201</v>
      </c>
      <c r="B2191">
        <v>2018</v>
      </c>
      <c r="C2191" t="s">
        <v>205</v>
      </c>
      <c r="D2191" s="437" t="s">
        <v>44</v>
      </c>
      <c r="E2191" s="437">
        <v>0</v>
      </c>
    </row>
    <row r="2192" spans="1:5" x14ac:dyDescent="0.25">
      <c r="A2192" t="s">
        <v>201</v>
      </c>
      <c r="B2192">
        <v>2018</v>
      </c>
      <c r="C2192" t="s">
        <v>205</v>
      </c>
      <c r="D2192" s="437" t="s">
        <v>397</v>
      </c>
      <c r="E2192" s="437">
        <v>74</v>
      </c>
    </row>
    <row r="2193" spans="1:5" x14ac:dyDescent="0.25">
      <c r="A2193" t="s">
        <v>201</v>
      </c>
      <c r="B2193">
        <v>2018</v>
      </c>
      <c r="C2193" t="s">
        <v>205</v>
      </c>
      <c r="D2193" s="437" t="s">
        <v>133</v>
      </c>
      <c r="E2193" s="437">
        <v>1557</v>
      </c>
    </row>
    <row r="2194" spans="1:5" x14ac:dyDescent="0.25">
      <c r="A2194" t="s">
        <v>201</v>
      </c>
      <c r="B2194">
        <v>2018</v>
      </c>
      <c r="C2194" t="s">
        <v>205</v>
      </c>
      <c r="D2194" s="437" t="s">
        <v>597</v>
      </c>
      <c r="E2194" s="437">
        <v>459</v>
      </c>
    </row>
    <row r="2195" spans="1:5" x14ac:dyDescent="0.25">
      <c r="A2195" t="s">
        <v>201</v>
      </c>
      <c r="B2195">
        <v>2018</v>
      </c>
      <c r="C2195" t="s">
        <v>205</v>
      </c>
      <c r="D2195" s="437" t="s">
        <v>596</v>
      </c>
      <c r="E2195" s="437">
        <v>1252</v>
      </c>
    </row>
    <row r="2196" spans="1:5" x14ac:dyDescent="0.25">
      <c r="A2196" t="s">
        <v>201</v>
      </c>
      <c r="B2196">
        <v>2018</v>
      </c>
      <c r="C2196" t="s">
        <v>205</v>
      </c>
      <c r="D2196" s="437" t="s">
        <v>413</v>
      </c>
      <c r="E2196" s="437">
        <v>0</v>
      </c>
    </row>
    <row r="2197" spans="1:5" x14ac:dyDescent="0.25">
      <c r="A2197" t="s">
        <v>120</v>
      </c>
      <c r="B2197">
        <v>2018</v>
      </c>
      <c r="C2197" t="s">
        <v>205</v>
      </c>
      <c r="D2197" s="437" t="s">
        <v>57</v>
      </c>
      <c r="E2197" s="437">
        <v>486</v>
      </c>
    </row>
    <row r="2198" spans="1:5" x14ac:dyDescent="0.25">
      <c r="A2198" t="s">
        <v>120</v>
      </c>
      <c r="B2198">
        <v>2018</v>
      </c>
      <c r="C2198" t="s">
        <v>205</v>
      </c>
      <c r="D2198" s="437" t="s">
        <v>348</v>
      </c>
      <c r="E2198" s="437">
        <v>0</v>
      </c>
    </row>
    <row r="2199" spans="1:5" x14ac:dyDescent="0.25">
      <c r="A2199" t="s">
        <v>120</v>
      </c>
      <c r="B2199">
        <v>2018</v>
      </c>
      <c r="C2199" t="s">
        <v>205</v>
      </c>
      <c r="D2199" s="437" t="s">
        <v>349</v>
      </c>
      <c r="E2199" s="437">
        <v>4631</v>
      </c>
    </row>
    <row r="2200" spans="1:5" x14ac:dyDescent="0.25">
      <c r="A2200" t="s">
        <v>120</v>
      </c>
      <c r="B2200">
        <v>2018</v>
      </c>
      <c r="C2200" t="s">
        <v>205</v>
      </c>
      <c r="D2200" s="437" t="s">
        <v>595</v>
      </c>
      <c r="E2200" s="437">
        <v>15570</v>
      </c>
    </row>
    <row r="2201" spans="1:5" x14ac:dyDescent="0.25">
      <c r="A2201" t="s">
        <v>120</v>
      </c>
      <c r="B2201">
        <v>2018</v>
      </c>
      <c r="C2201" t="s">
        <v>205</v>
      </c>
      <c r="D2201" s="437" t="s">
        <v>352</v>
      </c>
      <c r="E2201" s="437">
        <v>0</v>
      </c>
    </row>
    <row r="2202" spans="1:5" x14ac:dyDescent="0.25">
      <c r="A2202" t="s">
        <v>120</v>
      </c>
      <c r="B2202">
        <v>2018</v>
      </c>
      <c r="C2202" t="s">
        <v>205</v>
      </c>
      <c r="D2202" s="437" t="s">
        <v>43</v>
      </c>
      <c r="E2202" s="437">
        <v>3669</v>
      </c>
    </row>
    <row r="2203" spans="1:5" x14ac:dyDescent="0.25">
      <c r="A2203" t="s">
        <v>120</v>
      </c>
      <c r="B2203">
        <v>2018</v>
      </c>
      <c r="C2203" t="s">
        <v>205</v>
      </c>
      <c r="D2203" s="437" t="s">
        <v>42</v>
      </c>
      <c r="E2203" s="437">
        <v>957</v>
      </c>
    </row>
    <row r="2204" spans="1:5" x14ac:dyDescent="0.25">
      <c r="A2204" t="s">
        <v>120</v>
      </c>
      <c r="B2204">
        <v>2018</v>
      </c>
      <c r="C2204" t="s">
        <v>205</v>
      </c>
      <c r="D2204" s="437" t="s">
        <v>44</v>
      </c>
      <c r="E2204" s="437">
        <v>3937</v>
      </c>
    </row>
    <row r="2205" spans="1:5" x14ac:dyDescent="0.25">
      <c r="A2205" t="s">
        <v>120</v>
      </c>
      <c r="B2205">
        <v>2018</v>
      </c>
      <c r="C2205" t="s">
        <v>205</v>
      </c>
      <c r="D2205" s="437" t="s">
        <v>397</v>
      </c>
      <c r="E2205" s="437">
        <v>485</v>
      </c>
    </row>
    <row r="2206" spans="1:5" x14ac:dyDescent="0.25">
      <c r="A2206" t="s">
        <v>120</v>
      </c>
      <c r="B2206">
        <v>2018</v>
      </c>
      <c r="C2206" t="s">
        <v>205</v>
      </c>
      <c r="D2206" s="437" t="s">
        <v>133</v>
      </c>
      <c r="E2206" s="437">
        <v>38</v>
      </c>
    </row>
    <row r="2207" spans="1:5" x14ac:dyDescent="0.25">
      <c r="A2207" t="s">
        <v>120</v>
      </c>
      <c r="B2207">
        <v>2018</v>
      </c>
      <c r="C2207" t="s">
        <v>205</v>
      </c>
      <c r="D2207" s="437" t="s">
        <v>597</v>
      </c>
      <c r="E2207" s="437">
        <v>9245</v>
      </c>
    </row>
    <row r="2208" spans="1:5" x14ac:dyDescent="0.25">
      <c r="A2208" t="s">
        <v>120</v>
      </c>
      <c r="B2208">
        <v>2018</v>
      </c>
      <c r="C2208" t="s">
        <v>205</v>
      </c>
      <c r="D2208" s="437" t="s">
        <v>596</v>
      </c>
      <c r="E2208" s="437">
        <v>18479</v>
      </c>
    </row>
    <row r="2209" spans="1:5" x14ac:dyDescent="0.25">
      <c r="A2209" t="s">
        <v>120</v>
      </c>
      <c r="B2209">
        <v>2018</v>
      </c>
      <c r="C2209" t="s">
        <v>205</v>
      </c>
      <c r="D2209" s="437" t="s">
        <v>413</v>
      </c>
      <c r="E2209" s="437">
        <v>758</v>
      </c>
    </row>
    <row r="2210" spans="1:5" x14ac:dyDescent="0.25">
      <c r="A2210" t="s">
        <v>121</v>
      </c>
      <c r="B2210">
        <v>2018</v>
      </c>
      <c r="C2210" t="s">
        <v>205</v>
      </c>
      <c r="D2210" s="437" t="s">
        <v>57</v>
      </c>
      <c r="E2210" s="437">
        <v>0</v>
      </c>
    </row>
    <row r="2211" spans="1:5" x14ac:dyDescent="0.25">
      <c r="A2211" t="s">
        <v>121</v>
      </c>
      <c r="B2211">
        <v>2018</v>
      </c>
      <c r="C2211" t="s">
        <v>205</v>
      </c>
      <c r="D2211" s="437" t="s">
        <v>348</v>
      </c>
      <c r="E2211" s="437">
        <v>0</v>
      </c>
    </row>
    <row r="2212" spans="1:5" x14ac:dyDescent="0.25">
      <c r="A2212" t="s">
        <v>121</v>
      </c>
      <c r="B2212">
        <v>2018</v>
      </c>
      <c r="C2212" t="s">
        <v>205</v>
      </c>
      <c r="D2212" s="437" t="s">
        <v>349</v>
      </c>
      <c r="E2212" s="437">
        <v>0</v>
      </c>
    </row>
    <row r="2213" spans="1:5" x14ac:dyDescent="0.25">
      <c r="A2213" t="s">
        <v>121</v>
      </c>
      <c r="B2213">
        <v>2018</v>
      </c>
      <c r="C2213" t="s">
        <v>205</v>
      </c>
      <c r="D2213" s="437" t="s">
        <v>595</v>
      </c>
      <c r="E2213" s="437">
        <v>542</v>
      </c>
    </row>
    <row r="2214" spans="1:5" x14ac:dyDescent="0.25">
      <c r="A2214" t="s">
        <v>121</v>
      </c>
      <c r="B2214">
        <v>2018</v>
      </c>
      <c r="C2214" t="s">
        <v>205</v>
      </c>
      <c r="D2214" s="437" t="s">
        <v>352</v>
      </c>
      <c r="E2214" s="437">
        <v>0</v>
      </c>
    </row>
    <row r="2215" spans="1:5" x14ac:dyDescent="0.25">
      <c r="A2215" t="s">
        <v>121</v>
      </c>
      <c r="B2215">
        <v>2018</v>
      </c>
      <c r="C2215" t="s">
        <v>205</v>
      </c>
      <c r="D2215" s="437" t="s">
        <v>43</v>
      </c>
      <c r="E2215" s="437">
        <v>1749</v>
      </c>
    </row>
    <row r="2216" spans="1:5" x14ac:dyDescent="0.25">
      <c r="A2216" t="s">
        <v>121</v>
      </c>
      <c r="B2216">
        <v>2018</v>
      </c>
      <c r="C2216" t="s">
        <v>205</v>
      </c>
      <c r="D2216" s="437" t="s">
        <v>42</v>
      </c>
      <c r="E2216" s="437">
        <v>0</v>
      </c>
    </row>
    <row r="2217" spans="1:5" x14ac:dyDescent="0.25">
      <c r="A2217" t="s">
        <v>121</v>
      </c>
      <c r="B2217">
        <v>2018</v>
      </c>
      <c r="C2217" t="s">
        <v>205</v>
      </c>
      <c r="D2217" s="437" t="s">
        <v>44</v>
      </c>
      <c r="E2217" s="437">
        <v>45</v>
      </c>
    </row>
    <row r="2218" spans="1:5" x14ac:dyDescent="0.25">
      <c r="A2218" t="s">
        <v>121</v>
      </c>
      <c r="B2218">
        <v>2018</v>
      </c>
      <c r="C2218" t="s">
        <v>205</v>
      </c>
      <c r="D2218" s="437" t="s">
        <v>397</v>
      </c>
      <c r="E2218" s="437">
        <v>7</v>
      </c>
    </row>
    <row r="2219" spans="1:5" x14ac:dyDescent="0.25">
      <c r="A2219" t="s">
        <v>121</v>
      </c>
      <c r="B2219">
        <v>2018</v>
      </c>
      <c r="C2219" t="s">
        <v>205</v>
      </c>
      <c r="D2219" s="437" t="s">
        <v>133</v>
      </c>
      <c r="E2219" s="437">
        <v>32574</v>
      </c>
    </row>
    <row r="2220" spans="1:5" x14ac:dyDescent="0.25">
      <c r="A2220" t="s">
        <v>121</v>
      </c>
      <c r="B2220">
        <v>2018</v>
      </c>
      <c r="C2220" t="s">
        <v>205</v>
      </c>
      <c r="D2220" s="437" t="s">
        <v>597</v>
      </c>
      <c r="E2220" s="437">
        <v>9343</v>
      </c>
    </row>
    <row r="2221" spans="1:5" x14ac:dyDescent="0.25">
      <c r="A2221" t="s">
        <v>121</v>
      </c>
      <c r="B2221">
        <v>2018</v>
      </c>
      <c r="C2221" t="s">
        <v>205</v>
      </c>
      <c r="D2221" s="437" t="s">
        <v>596</v>
      </c>
      <c r="E2221" s="437">
        <v>24108</v>
      </c>
    </row>
    <row r="2222" spans="1:5" x14ac:dyDescent="0.25">
      <c r="A2222" t="s">
        <v>121</v>
      </c>
      <c r="B2222">
        <v>2018</v>
      </c>
      <c r="C2222" t="s">
        <v>205</v>
      </c>
      <c r="D2222" s="437" t="s">
        <v>413</v>
      </c>
      <c r="E2222" s="437">
        <v>104</v>
      </c>
    </row>
    <row r="2223" spans="1:5" x14ac:dyDescent="0.25">
      <c r="A2223" t="s">
        <v>122</v>
      </c>
      <c r="B2223">
        <v>2018</v>
      </c>
      <c r="C2223" t="s">
        <v>205</v>
      </c>
      <c r="D2223" s="437" t="s">
        <v>57</v>
      </c>
      <c r="E2223" s="437">
        <v>0</v>
      </c>
    </row>
    <row r="2224" spans="1:5" x14ac:dyDescent="0.25">
      <c r="A2224" t="s">
        <v>122</v>
      </c>
      <c r="B2224">
        <v>2018</v>
      </c>
      <c r="C2224" t="s">
        <v>205</v>
      </c>
      <c r="D2224" s="437" t="s">
        <v>348</v>
      </c>
      <c r="E2224" s="437">
        <v>8049</v>
      </c>
    </row>
    <row r="2225" spans="1:5" x14ac:dyDescent="0.25">
      <c r="A2225" t="s">
        <v>122</v>
      </c>
      <c r="B2225">
        <v>2018</v>
      </c>
      <c r="C2225" t="s">
        <v>205</v>
      </c>
      <c r="D2225" s="437" t="s">
        <v>349</v>
      </c>
      <c r="E2225" s="437">
        <v>19195</v>
      </c>
    </row>
    <row r="2226" spans="1:5" x14ac:dyDescent="0.25">
      <c r="A2226" t="s">
        <v>122</v>
      </c>
      <c r="B2226">
        <v>2018</v>
      </c>
      <c r="C2226" t="s">
        <v>205</v>
      </c>
      <c r="D2226" s="437" t="s">
        <v>595</v>
      </c>
      <c r="E2226" s="437">
        <v>2972</v>
      </c>
    </row>
    <row r="2227" spans="1:5" x14ac:dyDescent="0.25">
      <c r="A2227" t="s">
        <v>122</v>
      </c>
      <c r="B2227">
        <v>2018</v>
      </c>
      <c r="C2227" t="s">
        <v>205</v>
      </c>
      <c r="D2227" s="437" t="s">
        <v>352</v>
      </c>
      <c r="E2227" s="437">
        <v>379</v>
      </c>
    </row>
    <row r="2228" spans="1:5" x14ac:dyDescent="0.25">
      <c r="A2228" t="s">
        <v>122</v>
      </c>
      <c r="B2228">
        <v>2018</v>
      </c>
      <c r="C2228" t="s">
        <v>205</v>
      </c>
      <c r="D2228" s="437" t="s">
        <v>43</v>
      </c>
      <c r="E2228" s="437">
        <v>5608</v>
      </c>
    </row>
    <row r="2229" spans="1:5" x14ac:dyDescent="0.25">
      <c r="A2229" t="s">
        <v>122</v>
      </c>
      <c r="B2229">
        <v>2018</v>
      </c>
      <c r="C2229" t="s">
        <v>205</v>
      </c>
      <c r="D2229" s="437" t="s">
        <v>42</v>
      </c>
      <c r="E2229" s="437">
        <v>0</v>
      </c>
    </row>
    <row r="2230" spans="1:5" x14ac:dyDescent="0.25">
      <c r="A2230" t="s">
        <v>122</v>
      </c>
      <c r="B2230">
        <v>2018</v>
      </c>
      <c r="C2230" t="s">
        <v>205</v>
      </c>
      <c r="D2230" s="437" t="s">
        <v>44</v>
      </c>
      <c r="E2230" s="437">
        <v>399</v>
      </c>
    </row>
    <row r="2231" spans="1:5" x14ac:dyDescent="0.25">
      <c r="A2231" t="s">
        <v>122</v>
      </c>
      <c r="B2231">
        <v>2018</v>
      </c>
      <c r="C2231" t="s">
        <v>205</v>
      </c>
      <c r="D2231" s="437" t="s">
        <v>397</v>
      </c>
      <c r="E2231" s="437">
        <v>864</v>
      </c>
    </row>
    <row r="2232" spans="1:5" x14ac:dyDescent="0.25">
      <c r="A2232" t="s">
        <v>122</v>
      </c>
      <c r="B2232">
        <v>2018</v>
      </c>
      <c r="C2232" t="s">
        <v>205</v>
      </c>
      <c r="D2232" s="437" t="s">
        <v>133</v>
      </c>
      <c r="E2232" s="437">
        <v>2355</v>
      </c>
    </row>
    <row r="2233" spans="1:5" x14ac:dyDescent="0.25">
      <c r="A2233" t="s">
        <v>122</v>
      </c>
      <c r="B2233">
        <v>2018</v>
      </c>
      <c r="C2233" t="s">
        <v>205</v>
      </c>
      <c r="D2233" s="437" t="s">
        <v>597</v>
      </c>
      <c r="E2233" s="437">
        <v>11339</v>
      </c>
    </row>
    <row r="2234" spans="1:5" x14ac:dyDescent="0.25">
      <c r="A2234" t="s">
        <v>122</v>
      </c>
      <c r="B2234">
        <v>2018</v>
      </c>
      <c r="C2234" t="s">
        <v>205</v>
      </c>
      <c r="D2234" s="437" t="s">
        <v>596</v>
      </c>
      <c r="E2234" s="437">
        <v>24465</v>
      </c>
    </row>
    <row r="2235" spans="1:5" x14ac:dyDescent="0.25">
      <c r="A2235" t="s">
        <v>122</v>
      </c>
      <c r="B2235">
        <v>2018</v>
      </c>
      <c r="C2235" t="s">
        <v>205</v>
      </c>
      <c r="D2235" s="437" t="s">
        <v>413</v>
      </c>
      <c r="E2235" s="437">
        <v>57</v>
      </c>
    </row>
    <row r="2236" spans="1:5" x14ac:dyDescent="0.25">
      <c r="A2236" t="s">
        <v>123</v>
      </c>
      <c r="B2236">
        <v>2018</v>
      </c>
      <c r="C2236" t="s">
        <v>205</v>
      </c>
      <c r="D2236" s="437" t="s">
        <v>57</v>
      </c>
      <c r="E2236" s="437">
        <v>0</v>
      </c>
    </row>
    <row r="2237" spans="1:5" x14ac:dyDescent="0.25">
      <c r="A2237" t="s">
        <v>123</v>
      </c>
      <c r="B2237">
        <v>2018</v>
      </c>
      <c r="C2237" t="s">
        <v>205</v>
      </c>
      <c r="D2237" s="437" t="s">
        <v>348</v>
      </c>
      <c r="E2237" s="437">
        <v>0</v>
      </c>
    </row>
    <row r="2238" spans="1:5" x14ac:dyDescent="0.25">
      <c r="A2238" t="s">
        <v>123</v>
      </c>
      <c r="B2238">
        <v>2018</v>
      </c>
      <c r="C2238" t="s">
        <v>205</v>
      </c>
      <c r="D2238" s="437" t="s">
        <v>349</v>
      </c>
      <c r="E2238" s="437">
        <v>1756</v>
      </c>
    </row>
    <row r="2239" spans="1:5" x14ac:dyDescent="0.25">
      <c r="A2239" t="s">
        <v>123</v>
      </c>
      <c r="B2239">
        <v>2018</v>
      </c>
      <c r="C2239" t="s">
        <v>205</v>
      </c>
      <c r="D2239" s="437" t="s">
        <v>595</v>
      </c>
      <c r="E2239" s="437">
        <v>4609</v>
      </c>
    </row>
    <row r="2240" spans="1:5" x14ac:dyDescent="0.25">
      <c r="A2240" t="s">
        <v>123</v>
      </c>
      <c r="B2240">
        <v>2018</v>
      </c>
      <c r="C2240" t="s">
        <v>205</v>
      </c>
      <c r="D2240" s="437" t="s">
        <v>352</v>
      </c>
      <c r="E2240" s="437">
        <v>14</v>
      </c>
    </row>
    <row r="2241" spans="1:5" x14ac:dyDescent="0.25">
      <c r="A2241" t="s">
        <v>123</v>
      </c>
      <c r="B2241">
        <v>2018</v>
      </c>
      <c r="C2241" t="s">
        <v>205</v>
      </c>
      <c r="D2241" s="437" t="s">
        <v>43</v>
      </c>
      <c r="E2241" s="437">
        <v>5150</v>
      </c>
    </row>
    <row r="2242" spans="1:5" x14ac:dyDescent="0.25">
      <c r="A2242" t="s">
        <v>123</v>
      </c>
      <c r="B2242">
        <v>2018</v>
      </c>
      <c r="C2242" t="s">
        <v>205</v>
      </c>
      <c r="D2242" s="437" t="s">
        <v>42</v>
      </c>
      <c r="E2242" s="437">
        <v>0</v>
      </c>
    </row>
    <row r="2243" spans="1:5" x14ac:dyDescent="0.25">
      <c r="A2243" t="s">
        <v>123</v>
      </c>
      <c r="B2243">
        <v>2018</v>
      </c>
      <c r="C2243" t="s">
        <v>205</v>
      </c>
      <c r="D2243" s="437" t="s">
        <v>44</v>
      </c>
      <c r="E2243" s="437">
        <v>558</v>
      </c>
    </row>
    <row r="2244" spans="1:5" x14ac:dyDescent="0.25">
      <c r="A2244" t="s">
        <v>123</v>
      </c>
      <c r="B2244">
        <v>2018</v>
      </c>
      <c r="C2244" t="s">
        <v>205</v>
      </c>
      <c r="D2244" s="437" t="s">
        <v>397</v>
      </c>
      <c r="E2244" s="437">
        <v>658</v>
      </c>
    </row>
    <row r="2245" spans="1:5" x14ac:dyDescent="0.25">
      <c r="A2245" t="s">
        <v>123</v>
      </c>
      <c r="B2245">
        <v>2018</v>
      </c>
      <c r="C2245" t="s">
        <v>205</v>
      </c>
      <c r="D2245" s="437" t="s">
        <v>133</v>
      </c>
      <c r="E2245" s="437">
        <v>7215</v>
      </c>
    </row>
    <row r="2246" spans="1:5" x14ac:dyDescent="0.25">
      <c r="A2246" t="s">
        <v>123</v>
      </c>
      <c r="B2246">
        <v>2018</v>
      </c>
      <c r="C2246" t="s">
        <v>205</v>
      </c>
      <c r="D2246" s="437" t="s">
        <v>597</v>
      </c>
      <c r="E2246" s="437">
        <v>3561</v>
      </c>
    </row>
    <row r="2247" spans="1:5" x14ac:dyDescent="0.25">
      <c r="A2247" t="s">
        <v>123</v>
      </c>
      <c r="B2247">
        <v>2018</v>
      </c>
      <c r="C2247" t="s">
        <v>205</v>
      </c>
      <c r="D2247" s="437" t="s">
        <v>596</v>
      </c>
      <c r="E2247" s="437">
        <v>8721</v>
      </c>
    </row>
    <row r="2248" spans="1:5" x14ac:dyDescent="0.25">
      <c r="A2248" t="s">
        <v>123</v>
      </c>
      <c r="B2248">
        <v>2018</v>
      </c>
      <c r="C2248" t="s">
        <v>205</v>
      </c>
      <c r="D2248" s="437" t="s">
        <v>413</v>
      </c>
      <c r="E2248" s="437">
        <v>18</v>
      </c>
    </row>
    <row r="2249" spans="1:5" x14ac:dyDescent="0.25">
      <c r="A2249" t="s">
        <v>124</v>
      </c>
      <c r="B2249">
        <v>2018</v>
      </c>
      <c r="C2249" t="s">
        <v>205</v>
      </c>
      <c r="D2249" s="437" t="s">
        <v>57</v>
      </c>
      <c r="E2249" s="437">
        <v>1300</v>
      </c>
    </row>
    <row r="2250" spans="1:5" x14ac:dyDescent="0.25">
      <c r="A2250" t="s">
        <v>124</v>
      </c>
      <c r="B2250">
        <v>2018</v>
      </c>
      <c r="C2250" t="s">
        <v>205</v>
      </c>
      <c r="D2250" s="437" t="s">
        <v>348</v>
      </c>
      <c r="E2250" s="437">
        <v>3341</v>
      </c>
    </row>
    <row r="2251" spans="1:5" x14ac:dyDescent="0.25">
      <c r="A2251" t="s">
        <v>124</v>
      </c>
      <c r="B2251">
        <v>2018</v>
      </c>
      <c r="C2251" t="s">
        <v>205</v>
      </c>
      <c r="D2251" s="437" t="s">
        <v>349</v>
      </c>
      <c r="E2251" s="437">
        <v>1032</v>
      </c>
    </row>
    <row r="2252" spans="1:5" x14ac:dyDescent="0.25">
      <c r="A2252" t="s">
        <v>124</v>
      </c>
      <c r="B2252">
        <v>2018</v>
      </c>
      <c r="C2252" t="s">
        <v>205</v>
      </c>
      <c r="D2252" s="437" t="s">
        <v>595</v>
      </c>
      <c r="E2252" s="437">
        <v>1826</v>
      </c>
    </row>
    <row r="2253" spans="1:5" x14ac:dyDescent="0.25">
      <c r="A2253" t="s">
        <v>124</v>
      </c>
      <c r="B2253">
        <v>2018</v>
      </c>
      <c r="C2253" t="s">
        <v>205</v>
      </c>
      <c r="D2253" s="437" t="s">
        <v>352</v>
      </c>
      <c r="E2253" s="437">
        <v>1578</v>
      </c>
    </row>
    <row r="2254" spans="1:5" x14ac:dyDescent="0.25">
      <c r="A2254" t="s">
        <v>124</v>
      </c>
      <c r="B2254">
        <v>2018</v>
      </c>
      <c r="C2254" t="s">
        <v>205</v>
      </c>
      <c r="D2254" s="437" t="s">
        <v>43</v>
      </c>
      <c r="E2254" s="437">
        <v>2977</v>
      </c>
    </row>
    <row r="2255" spans="1:5" x14ac:dyDescent="0.25">
      <c r="A2255" t="s">
        <v>124</v>
      </c>
      <c r="B2255">
        <v>2018</v>
      </c>
      <c r="C2255" t="s">
        <v>205</v>
      </c>
      <c r="D2255" s="437" t="s">
        <v>42</v>
      </c>
      <c r="E2255" s="437">
        <v>0</v>
      </c>
    </row>
    <row r="2256" spans="1:5" x14ac:dyDescent="0.25">
      <c r="A2256" t="s">
        <v>124</v>
      </c>
      <c r="B2256">
        <v>2018</v>
      </c>
      <c r="C2256" t="s">
        <v>205</v>
      </c>
      <c r="D2256" s="437" t="s">
        <v>44</v>
      </c>
      <c r="E2256" s="437">
        <v>1262</v>
      </c>
    </row>
    <row r="2257" spans="1:5" x14ac:dyDescent="0.25">
      <c r="A2257" t="s">
        <v>124</v>
      </c>
      <c r="B2257">
        <v>2018</v>
      </c>
      <c r="C2257" t="s">
        <v>205</v>
      </c>
      <c r="D2257" s="437" t="s">
        <v>397</v>
      </c>
      <c r="E2257" s="437">
        <v>121</v>
      </c>
    </row>
    <row r="2258" spans="1:5" x14ac:dyDescent="0.25">
      <c r="A2258" t="s">
        <v>124</v>
      </c>
      <c r="B2258">
        <v>2018</v>
      </c>
      <c r="C2258" t="s">
        <v>205</v>
      </c>
      <c r="D2258" s="437" t="s">
        <v>133</v>
      </c>
      <c r="E2258" s="437">
        <v>6329</v>
      </c>
    </row>
    <row r="2259" spans="1:5" x14ac:dyDescent="0.25">
      <c r="A2259" t="s">
        <v>124</v>
      </c>
      <c r="B2259">
        <v>2018</v>
      </c>
      <c r="C2259" t="s">
        <v>205</v>
      </c>
      <c r="D2259" s="437" t="s">
        <v>597</v>
      </c>
      <c r="E2259" s="437">
        <v>4091</v>
      </c>
    </row>
    <row r="2260" spans="1:5" x14ac:dyDescent="0.25">
      <c r="A2260" t="s">
        <v>124</v>
      </c>
      <c r="B2260">
        <v>2018</v>
      </c>
      <c r="C2260" t="s">
        <v>205</v>
      </c>
      <c r="D2260" s="437" t="s">
        <v>596</v>
      </c>
      <c r="E2260" s="437">
        <v>8920</v>
      </c>
    </row>
    <row r="2261" spans="1:5" x14ac:dyDescent="0.25">
      <c r="A2261" t="s">
        <v>124</v>
      </c>
      <c r="B2261">
        <v>2018</v>
      </c>
      <c r="C2261" t="s">
        <v>205</v>
      </c>
      <c r="D2261" s="437" t="s">
        <v>413</v>
      </c>
      <c r="E2261" s="437">
        <v>0</v>
      </c>
    </row>
    <row r="2262" spans="1:5" x14ac:dyDescent="0.25">
      <c r="A2262" t="s">
        <v>126</v>
      </c>
      <c r="B2262">
        <v>2018</v>
      </c>
      <c r="C2262" t="s">
        <v>205</v>
      </c>
      <c r="D2262" s="437" t="s">
        <v>57</v>
      </c>
      <c r="E2262" s="437">
        <v>8614</v>
      </c>
    </row>
    <row r="2263" spans="1:5" x14ac:dyDescent="0.25">
      <c r="A2263" t="s">
        <v>126</v>
      </c>
      <c r="B2263">
        <v>2018</v>
      </c>
      <c r="C2263" t="s">
        <v>205</v>
      </c>
      <c r="D2263" s="437" t="s">
        <v>348</v>
      </c>
      <c r="E2263" s="437">
        <v>0</v>
      </c>
    </row>
    <row r="2264" spans="1:5" x14ac:dyDescent="0.25">
      <c r="A2264" t="s">
        <v>126</v>
      </c>
      <c r="B2264">
        <v>2018</v>
      </c>
      <c r="C2264" t="s">
        <v>205</v>
      </c>
      <c r="D2264" s="437" t="s">
        <v>349</v>
      </c>
      <c r="E2264" s="437">
        <v>205</v>
      </c>
    </row>
    <row r="2265" spans="1:5" x14ac:dyDescent="0.25">
      <c r="A2265" t="s">
        <v>126</v>
      </c>
      <c r="B2265">
        <v>2018</v>
      </c>
      <c r="C2265" t="s">
        <v>205</v>
      </c>
      <c r="D2265" s="437" t="s">
        <v>595</v>
      </c>
      <c r="E2265" s="437">
        <v>849</v>
      </c>
    </row>
    <row r="2266" spans="1:5" x14ac:dyDescent="0.25">
      <c r="A2266" t="s">
        <v>126</v>
      </c>
      <c r="B2266">
        <v>2018</v>
      </c>
      <c r="C2266" t="s">
        <v>205</v>
      </c>
      <c r="D2266" s="437" t="s">
        <v>352</v>
      </c>
      <c r="E2266" s="437">
        <v>2815</v>
      </c>
    </row>
    <row r="2267" spans="1:5" x14ac:dyDescent="0.25">
      <c r="A2267" t="s">
        <v>126</v>
      </c>
      <c r="B2267">
        <v>2018</v>
      </c>
      <c r="C2267" t="s">
        <v>205</v>
      </c>
      <c r="D2267" s="437" t="s">
        <v>43</v>
      </c>
      <c r="E2267" s="437">
        <v>7205</v>
      </c>
    </row>
    <row r="2268" spans="1:5" x14ac:dyDescent="0.25">
      <c r="A2268" t="s">
        <v>126</v>
      </c>
      <c r="B2268">
        <v>2018</v>
      </c>
      <c r="C2268" t="s">
        <v>205</v>
      </c>
      <c r="D2268" s="437" t="s">
        <v>42</v>
      </c>
      <c r="E2268" s="437">
        <v>0</v>
      </c>
    </row>
    <row r="2269" spans="1:5" x14ac:dyDescent="0.25">
      <c r="A2269" t="s">
        <v>126</v>
      </c>
      <c r="B2269">
        <v>2018</v>
      </c>
      <c r="C2269" t="s">
        <v>205</v>
      </c>
      <c r="D2269" s="437" t="s">
        <v>44</v>
      </c>
      <c r="E2269" s="437">
        <v>0</v>
      </c>
    </row>
    <row r="2270" spans="1:5" x14ac:dyDescent="0.25">
      <c r="A2270" t="s">
        <v>126</v>
      </c>
      <c r="B2270">
        <v>2018</v>
      </c>
      <c r="C2270" t="s">
        <v>205</v>
      </c>
      <c r="D2270" s="437" t="s">
        <v>397</v>
      </c>
      <c r="E2270" s="437">
        <v>3145</v>
      </c>
    </row>
    <row r="2271" spans="1:5" x14ac:dyDescent="0.25">
      <c r="A2271" t="s">
        <v>126</v>
      </c>
      <c r="B2271">
        <v>2018</v>
      </c>
      <c r="C2271" t="s">
        <v>205</v>
      </c>
      <c r="D2271" s="437" t="s">
        <v>133</v>
      </c>
      <c r="E2271" s="437">
        <v>16630</v>
      </c>
    </row>
    <row r="2272" spans="1:5" x14ac:dyDescent="0.25">
      <c r="A2272" t="s">
        <v>126</v>
      </c>
      <c r="B2272">
        <v>2018</v>
      </c>
      <c r="C2272" t="s">
        <v>205</v>
      </c>
      <c r="D2272" s="437" t="s">
        <v>597</v>
      </c>
      <c r="E2272" s="437">
        <v>9164</v>
      </c>
    </row>
    <row r="2273" spans="1:5" x14ac:dyDescent="0.25">
      <c r="A2273" t="s">
        <v>126</v>
      </c>
      <c r="B2273">
        <v>2018</v>
      </c>
      <c r="C2273" t="s">
        <v>205</v>
      </c>
      <c r="D2273" s="437" t="s">
        <v>596</v>
      </c>
      <c r="E2273" s="437">
        <v>27380</v>
      </c>
    </row>
    <row r="2274" spans="1:5" x14ac:dyDescent="0.25">
      <c r="A2274" t="s">
        <v>126</v>
      </c>
      <c r="B2274">
        <v>2018</v>
      </c>
      <c r="C2274" t="s">
        <v>205</v>
      </c>
      <c r="D2274" s="437" t="s">
        <v>413</v>
      </c>
      <c r="E2274" s="437">
        <v>445</v>
      </c>
    </row>
    <row r="2275" spans="1:5" x14ac:dyDescent="0.25">
      <c r="A2275" t="s">
        <v>127</v>
      </c>
      <c r="B2275">
        <v>2018</v>
      </c>
      <c r="C2275" t="s">
        <v>205</v>
      </c>
      <c r="D2275" s="437" t="s">
        <v>57</v>
      </c>
      <c r="E2275" s="437">
        <v>696</v>
      </c>
    </row>
    <row r="2276" spans="1:5" x14ac:dyDescent="0.25">
      <c r="A2276" t="s">
        <v>127</v>
      </c>
      <c r="B2276">
        <v>2018</v>
      </c>
      <c r="C2276" t="s">
        <v>205</v>
      </c>
      <c r="D2276" s="437" t="s">
        <v>348</v>
      </c>
      <c r="E2276" s="437">
        <v>981</v>
      </c>
    </row>
    <row r="2277" spans="1:5" x14ac:dyDescent="0.25">
      <c r="A2277" t="s">
        <v>127</v>
      </c>
      <c r="B2277">
        <v>2018</v>
      </c>
      <c r="C2277" t="s">
        <v>205</v>
      </c>
      <c r="D2277" s="437" t="s">
        <v>349</v>
      </c>
      <c r="E2277" s="437">
        <v>0</v>
      </c>
    </row>
    <row r="2278" spans="1:5" x14ac:dyDescent="0.25">
      <c r="A2278" t="s">
        <v>127</v>
      </c>
      <c r="B2278">
        <v>2018</v>
      </c>
      <c r="C2278" t="s">
        <v>205</v>
      </c>
      <c r="D2278" s="437" t="s">
        <v>595</v>
      </c>
      <c r="E2278" s="437">
        <v>519</v>
      </c>
    </row>
    <row r="2279" spans="1:5" x14ac:dyDescent="0.25">
      <c r="A2279" t="s">
        <v>127</v>
      </c>
      <c r="B2279">
        <v>2018</v>
      </c>
      <c r="C2279" t="s">
        <v>205</v>
      </c>
      <c r="D2279" s="437" t="s">
        <v>352</v>
      </c>
      <c r="E2279" s="437">
        <v>0</v>
      </c>
    </row>
    <row r="2280" spans="1:5" x14ac:dyDescent="0.25">
      <c r="A2280" t="s">
        <v>127</v>
      </c>
      <c r="B2280">
        <v>2018</v>
      </c>
      <c r="C2280" t="s">
        <v>205</v>
      </c>
      <c r="D2280" s="437" t="s">
        <v>43</v>
      </c>
      <c r="E2280" s="437">
        <v>3</v>
      </c>
    </row>
    <row r="2281" spans="1:5" x14ac:dyDescent="0.25">
      <c r="A2281" t="s">
        <v>127</v>
      </c>
      <c r="B2281">
        <v>2018</v>
      </c>
      <c r="C2281" t="s">
        <v>205</v>
      </c>
      <c r="D2281" s="437" t="s">
        <v>42</v>
      </c>
      <c r="E2281" s="437">
        <v>0</v>
      </c>
    </row>
    <row r="2282" spans="1:5" x14ac:dyDescent="0.25">
      <c r="A2282" t="s">
        <v>127</v>
      </c>
      <c r="B2282">
        <v>2018</v>
      </c>
      <c r="C2282" t="s">
        <v>205</v>
      </c>
      <c r="D2282" s="437" t="s">
        <v>44</v>
      </c>
      <c r="E2282" s="437">
        <v>290</v>
      </c>
    </row>
    <row r="2283" spans="1:5" x14ac:dyDescent="0.25">
      <c r="A2283" t="s">
        <v>127</v>
      </c>
      <c r="B2283">
        <v>2018</v>
      </c>
      <c r="C2283" t="s">
        <v>205</v>
      </c>
      <c r="D2283" s="437" t="s">
        <v>397</v>
      </c>
      <c r="E2283" s="437">
        <v>48</v>
      </c>
    </row>
    <row r="2284" spans="1:5" x14ac:dyDescent="0.25">
      <c r="A2284" t="s">
        <v>127</v>
      </c>
      <c r="B2284">
        <v>2018</v>
      </c>
      <c r="C2284" t="s">
        <v>205</v>
      </c>
      <c r="D2284" s="437" t="s">
        <v>133</v>
      </c>
      <c r="E2284" s="437">
        <v>1302</v>
      </c>
    </row>
    <row r="2285" spans="1:5" x14ac:dyDescent="0.25">
      <c r="A2285" t="s">
        <v>127</v>
      </c>
      <c r="B2285">
        <v>2018</v>
      </c>
      <c r="C2285" t="s">
        <v>205</v>
      </c>
      <c r="D2285" s="437" t="s">
        <v>597</v>
      </c>
      <c r="E2285" s="437">
        <v>927</v>
      </c>
    </row>
    <row r="2286" spans="1:5" x14ac:dyDescent="0.25">
      <c r="A2286" t="s">
        <v>127</v>
      </c>
      <c r="B2286">
        <v>2018</v>
      </c>
      <c r="C2286" t="s">
        <v>205</v>
      </c>
      <c r="D2286" s="437" t="s">
        <v>596</v>
      </c>
      <c r="E2286" s="437">
        <v>2381</v>
      </c>
    </row>
    <row r="2287" spans="1:5" x14ac:dyDescent="0.25">
      <c r="A2287" t="s">
        <v>127</v>
      </c>
      <c r="B2287">
        <v>2018</v>
      </c>
      <c r="C2287" t="s">
        <v>205</v>
      </c>
      <c r="D2287" s="437" t="s">
        <v>413</v>
      </c>
      <c r="E2287" s="437">
        <v>119</v>
      </c>
    </row>
    <row r="2288" spans="1:5" x14ac:dyDescent="0.25">
      <c r="A2288" t="s">
        <v>128</v>
      </c>
      <c r="B2288">
        <v>2018</v>
      </c>
      <c r="C2288" t="s">
        <v>205</v>
      </c>
      <c r="D2288" s="437" t="s">
        <v>57</v>
      </c>
      <c r="E2288" s="437">
        <v>1940</v>
      </c>
    </row>
    <row r="2289" spans="1:5" x14ac:dyDescent="0.25">
      <c r="A2289" t="s">
        <v>128</v>
      </c>
      <c r="B2289">
        <v>2018</v>
      </c>
      <c r="C2289" t="s">
        <v>205</v>
      </c>
      <c r="D2289" s="437" t="s">
        <v>348</v>
      </c>
      <c r="E2289" s="437">
        <v>345</v>
      </c>
    </row>
    <row r="2290" spans="1:5" x14ac:dyDescent="0.25">
      <c r="A2290" t="s">
        <v>128</v>
      </c>
      <c r="B2290">
        <v>2018</v>
      </c>
      <c r="C2290" t="s">
        <v>205</v>
      </c>
      <c r="D2290" s="437" t="s">
        <v>349</v>
      </c>
      <c r="E2290" s="437">
        <v>221</v>
      </c>
    </row>
    <row r="2291" spans="1:5" x14ac:dyDescent="0.25">
      <c r="A2291" t="s">
        <v>128</v>
      </c>
      <c r="B2291">
        <v>2018</v>
      </c>
      <c r="C2291" t="s">
        <v>205</v>
      </c>
      <c r="D2291" s="437" t="s">
        <v>595</v>
      </c>
      <c r="E2291" s="437">
        <v>1111</v>
      </c>
    </row>
    <row r="2292" spans="1:5" x14ac:dyDescent="0.25">
      <c r="A2292" t="s">
        <v>128</v>
      </c>
      <c r="B2292">
        <v>2018</v>
      </c>
      <c r="C2292" t="s">
        <v>205</v>
      </c>
      <c r="D2292" s="437" t="s">
        <v>352</v>
      </c>
      <c r="E2292" s="437">
        <v>676</v>
      </c>
    </row>
    <row r="2293" spans="1:5" x14ac:dyDescent="0.25">
      <c r="A2293" t="s">
        <v>128</v>
      </c>
      <c r="B2293">
        <v>2018</v>
      </c>
      <c r="C2293" t="s">
        <v>205</v>
      </c>
      <c r="D2293" s="437" t="s">
        <v>43</v>
      </c>
      <c r="E2293" s="437">
        <v>3</v>
      </c>
    </row>
    <row r="2294" spans="1:5" x14ac:dyDescent="0.25">
      <c r="A2294" t="s">
        <v>128</v>
      </c>
      <c r="B2294">
        <v>2018</v>
      </c>
      <c r="C2294" t="s">
        <v>205</v>
      </c>
      <c r="D2294" s="437" t="s">
        <v>42</v>
      </c>
      <c r="E2294" s="437">
        <v>0</v>
      </c>
    </row>
    <row r="2295" spans="1:5" x14ac:dyDescent="0.25">
      <c r="A2295" t="s">
        <v>128</v>
      </c>
      <c r="B2295">
        <v>2018</v>
      </c>
      <c r="C2295" t="s">
        <v>205</v>
      </c>
      <c r="D2295" s="437" t="s">
        <v>44</v>
      </c>
      <c r="E2295" s="437">
        <v>531</v>
      </c>
    </row>
    <row r="2296" spans="1:5" x14ac:dyDescent="0.25">
      <c r="A2296" t="s">
        <v>128</v>
      </c>
      <c r="B2296">
        <v>2018</v>
      </c>
      <c r="C2296" t="s">
        <v>205</v>
      </c>
      <c r="D2296" s="437" t="s">
        <v>397</v>
      </c>
      <c r="E2296" s="437">
        <v>328</v>
      </c>
    </row>
    <row r="2297" spans="1:5" x14ac:dyDescent="0.25">
      <c r="A2297" t="s">
        <v>128</v>
      </c>
      <c r="B2297">
        <v>2018</v>
      </c>
      <c r="C2297" t="s">
        <v>205</v>
      </c>
      <c r="D2297" s="437" t="s">
        <v>133</v>
      </c>
      <c r="E2297" s="437">
        <v>2542</v>
      </c>
    </row>
    <row r="2298" spans="1:5" x14ac:dyDescent="0.25">
      <c r="A2298" t="s">
        <v>128</v>
      </c>
      <c r="B2298">
        <v>2018</v>
      </c>
      <c r="C2298" t="s">
        <v>205</v>
      </c>
      <c r="D2298" s="437" t="s">
        <v>597</v>
      </c>
      <c r="E2298" s="437">
        <v>2395</v>
      </c>
    </row>
    <row r="2299" spans="1:5" x14ac:dyDescent="0.25">
      <c r="A2299" t="s">
        <v>128</v>
      </c>
      <c r="B2299">
        <v>2018</v>
      </c>
      <c r="C2299" t="s">
        <v>205</v>
      </c>
      <c r="D2299" s="437" t="s">
        <v>596</v>
      </c>
      <c r="E2299" s="437">
        <v>4519</v>
      </c>
    </row>
    <row r="2300" spans="1:5" x14ac:dyDescent="0.25">
      <c r="A2300" t="s">
        <v>128</v>
      </c>
      <c r="B2300">
        <v>2018</v>
      </c>
      <c r="C2300" t="s">
        <v>205</v>
      </c>
      <c r="D2300" s="437" t="s">
        <v>413</v>
      </c>
      <c r="E2300" s="437">
        <v>31</v>
      </c>
    </row>
    <row r="2301" spans="1:5" x14ac:dyDescent="0.25">
      <c r="A2301" t="s">
        <v>129</v>
      </c>
      <c r="B2301">
        <v>2018</v>
      </c>
      <c r="C2301" t="s">
        <v>205</v>
      </c>
      <c r="D2301" s="437" t="s">
        <v>57</v>
      </c>
      <c r="E2301" s="437">
        <v>0</v>
      </c>
    </row>
    <row r="2302" spans="1:5" x14ac:dyDescent="0.25">
      <c r="A2302" t="s">
        <v>129</v>
      </c>
      <c r="B2302">
        <v>2018</v>
      </c>
      <c r="C2302" t="s">
        <v>205</v>
      </c>
      <c r="D2302" s="437" t="s">
        <v>348</v>
      </c>
      <c r="E2302" s="437">
        <v>10118</v>
      </c>
    </row>
    <row r="2303" spans="1:5" x14ac:dyDescent="0.25">
      <c r="A2303" t="s">
        <v>129</v>
      </c>
      <c r="B2303">
        <v>2018</v>
      </c>
      <c r="C2303" t="s">
        <v>205</v>
      </c>
      <c r="D2303" s="437" t="s">
        <v>349</v>
      </c>
      <c r="E2303" s="437">
        <v>9576</v>
      </c>
    </row>
    <row r="2304" spans="1:5" x14ac:dyDescent="0.25">
      <c r="A2304" t="s">
        <v>129</v>
      </c>
      <c r="B2304">
        <v>2018</v>
      </c>
      <c r="C2304" t="s">
        <v>205</v>
      </c>
      <c r="D2304" s="437" t="s">
        <v>595</v>
      </c>
      <c r="E2304" s="437">
        <v>26107</v>
      </c>
    </row>
    <row r="2305" spans="1:5" x14ac:dyDescent="0.25">
      <c r="A2305" t="s">
        <v>129</v>
      </c>
      <c r="B2305">
        <v>2018</v>
      </c>
      <c r="C2305" t="s">
        <v>205</v>
      </c>
      <c r="D2305" s="437" t="s">
        <v>352</v>
      </c>
      <c r="E2305" s="437">
        <v>296</v>
      </c>
    </row>
    <row r="2306" spans="1:5" x14ac:dyDescent="0.25">
      <c r="A2306" t="s">
        <v>129</v>
      </c>
      <c r="B2306">
        <v>2018</v>
      </c>
      <c r="C2306" t="s">
        <v>205</v>
      </c>
      <c r="D2306" s="437" t="s">
        <v>43</v>
      </c>
      <c r="E2306" s="437">
        <v>7005</v>
      </c>
    </row>
    <row r="2307" spans="1:5" x14ac:dyDescent="0.25">
      <c r="A2307" t="s">
        <v>129</v>
      </c>
      <c r="B2307">
        <v>2018</v>
      </c>
      <c r="C2307" t="s">
        <v>205</v>
      </c>
      <c r="D2307" s="437" t="s">
        <v>42</v>
      </c>
      <c r="E2307" s="437">
        <v>0</v>
      </c>
    </row>
    <row r="2308" spans="1:5" x14ac:dyDescent="0.25">
      <c r="A2308" t="s">
        <v>129</v>
      </c>
      <c r="B2308">
        <v>2018</v>
      </c>
      <c r="C2308" t="s">
        <v>205</v>
      </c>
      <c r="D2308" s="437" t="s">
        <v>44</v>
      </c>
      <c r="E2308" s="437">
        <v>5063</v>
      </c>
    </row>
    <row r="2309" spans="1:5" x14ac:dyDescent="0.25">
      <c r="A2309" t="s">
        <v>129</v>
      </c>
      <c r="B2309">
        <v>2018</v>
      </c>
      <c r="C2309" t="s">
        <v>205</v>
      </c>
      <c r="D2309" s="437" t="s">
        <v>397</v>
      </c>
      <c r="E2309" s="437">
        <v>811</v>
      </c>
    </row>
    <row r="2310" spans="1:5" x14ac:dyDescent="0.25">
      <c r="A2310" t="s">
        <v>129</v>
      </c>
      <c r="B2310">
        <v>2018</v>
      </c>
      <c r="C2310" t="s">
        <v>205</v>
      </c>
      <c r="D2310" s="437" t="s">
        <v>133</v>
      </c>
      <c r="E2310" s="437">
        <v>28291</v>
      </c>
    </row>
    <row r="2311" spans="1:5" x14ac:dyDescent="0.25">
      <c r="A2311" t="s">
        <v>129</v>
      </c>
      <c r="B2311">
        <v>2018</v>
      </c>
      <c r="C2311" t="s">
        <v>205</v>
      </c>
      <c r="D2311" s="437" t="s">
        <v>597</v>
      </c>
      <c r="E2311" s="437">
        <v>18497</v>
      </c>
    </row>
    <row r="2312" spans="1:5" x14ac:dyDescent="0.25">
      <c r="A2312" t="s">
        <v>129</v>
      </c>
      <c r="B2312">
        <v>2018</v>
      </c>
      <c r="C2312" t="s">
        <v>205</v>
      </c>
      <c r="D2312" s="437" t="s">
        <v>596</v>
      </c>
      <c r="E2312" s="437">
        <v>45996</v>
      </c>
    </row>
    <row r="2313" spans="1:5" x14ac:dyDescent="0.25">
      <c r="A2313" t="s">
        <v>129</v>
      </c>
      <c r="B2313">
        <v>2018</v>
      </c>
      <c r="C2313" t="s">
        <v>205</v>
      </c>
      <c r="D2313" s="437" t="s">
        <v>413</v>
      </c>
      <c r="E2313" s="437">
        <v>1283</v>
      </c>
    </row>
    <row r="2314" spans="1:5" x14ac:dyDescent="0.25">
      <c r="A2314" t="s">
        <v>98</v>
      </c>
      <c r="B2314">
        <v>2018</v>
      </c>
      <c r="C2314" t="s">
        <v>205</v>
      </c>
      <c r="D2314" s="437" t="s">
        <v>57</v>
      </c>
      <c r="E2314" s="437">
        <v>0</v>
      </c>
    </row>
    <row r="2315" spans="1:5" x14ac:dyDescent="0.25">
      <c r="A2315" t="s">
        <v>98</v>
      </c>
      <c r="B2315">
        <v>2018</v>
      </c>
      <c r="C2315" t="s">
        <v>205</v>
      </c>
      <c r="D2315" s="437" t="s">
        <v>348</v>
      </c>
      <c r="E2315" s="437">
        <v>0</v>
      </c>
    </row>
    <row r="2316" spans="1:5" x14ac:dyDescent="0.25">
      <c r="A2316" t="s">
        <v>98</v>
      </c>
      <c r="B2316">
        <v>2018</v>
      </c>
      <c r="C2316" t="s">
        <v>205</v>
      </c>
      <c r="D2316" s="437" t="s">
        <v>349</v>
      </c>
      <c r="E2316" s="437">
        <v>0</v>
      </c>
    </row>
    <row r="2317" spans="1:5" x14ac:dyDescent="0.25">
      <c r="A2317" t="s">
        <v>98</v>
      </c>
      <c r="B2317">
        <v>2018</v>
      </c>
      <c r="C2317" t="s">
        <v>205</v>
      </c>
      <c r="D2317" s="437" t="s">
        <v>595</v>
      </c>
      <c r="E2317" s="437">
        <v>0</v>
      </c>
    </row>
    <row r="2318" spans="1:5" x14ac:dyDescent="0.25">
      <c r="A2318" t="s">
        <v>98</v>
      </c>
      <c r="B2318">
        <v>2018</v>
      </c>
      <c r="C2318" t="s">
        <v>205</v>
      </c>
      <c r="D2318" s="437" t="s">
        <v>352</v>
      </c>
      <c r="E2318" s="437">
        <v>97</v>
      </c>
    </row>
    <row r="2319" spans="1:5" x14ac:dyDescent="0.25">
      <c r="A2319" t="s">
        <v>98</v>
      </c>
      <c r="B2319">
        <v>2018</v>
      </c>
      <c r="C2319" t="s">
        <v>205</v>
      </c>
      <c r="D2319" s="437" t="s">
        <v>43</v>
      </c>
      <c r="E2319" s="437">
        <v>0</v>
      </c>
    </row>
    <row r="2320" spans="1:5" x14ac:dyDescent="0.25">
      <c r="A2320" t="s">
        <v>98</v>
      </c>
      <c r="B2320">
        <v>2018</v>
      </c>
      <c r="C2320" t="s">
        <v>205</v>
      </c>
      <c r="D2320" s="437" t="s">
        <v>42</v>
      </c>
      <c r="E2320" s="437">
        <v>0</v>
      </c>
    </row>
    <row r="2321" spans="1:5" x14ac:dyDescent="0.25">
      <c r="A2321" t="s">
        <v>98</v>
      </c>
      <c r="B2321">
        <v>2018</v>
      </c>
      <c r="C2321" t="s">
        <v>205</v>
      </c>
      <c r="D2321" s="437" t="s">
        <v>44</v>
      </c>
      <c r="E2321" s="437">
        <v>0</v>
      </c>
    </row>
    <row r="2322" spans="1:5" x14ac:dyDescent="0.25">
      <c r="A2322" t="s">
        <v>98</v>
      </c>
      <c r="B2322">
        <v>2018</v>
      </c>
      <c r="C2322" t="s">
        <v>205</v>
      </c>
      <c r="D2322" s="437" t="s">
        <v>397</v>
      </c>
      <c r="E2322" s="437">
        <v>0</v>
      </c>
    </row>
    <row r="2323" spans="1:5" x14ac:dyDescent="0.25">
      <c r="A2323" t="s">
        <v>98</v>
      </c>
      <c r="B2323">
        <v>2018</v>
      </c>
      <c r="C2323" t="s">
        <v>205</v>
      </c>
      <c r="D2323" s="437" t="s">
        <v>133</v>
      </c>
      <c r="E2323" s="437">
        <v>1835</v>
      </c>
    </row>
    <row r="2324" spans="1:5" x14ac:dyDescent="0.25">
      <c r="A2324" t="s">
        <v>98</v>
      </c>
      <c r="B2324">
        <v>2018</v>
      </c>
      <c r="C2324" t="s">
        <v>205</v>
      </c>
      <c r="D2324" s="437" t="s">
        <v>597</v>
      </c>
      <c r="E2324" s="437">
        <v>434</v>
      </c>
    </row>
    <row r="2325" spans="1:5" x14ac:dyDescent="0.25">
      <c r="A2325" t="s">
        <v>98</v>
      </c>
      <c r="B2325">
        <v>2018</v>
      </c>
      <c r="C2325" t="s">
        <v>205</v>
      </c>
      <c r="D2325" s="437" t="s">
        <v>596</v>
      </c>
      <c r="E2325" s="437">
        <v>1480</v>
      </c>
    </row>
    <row r="2326" spans="1:5" x14ac:dyDescent="0.25">
      <c r="A2326" t="s">
        <v>98</v>
      </c>
      <c r="B2326">
        <v>2018</v>
      </c>
      <c r="C2326" t="s">
        <v>205</v>
      </c>
      <c r="D2326" s="437" t="s">
        <v>413</v>
      </c>
      <c r="E2326" s="437">
        <v>0</v>
      </c>
    </row>
    <row r="2327" spans="1:5" x14ac:dyDescent="0.25">
      <c r="A2327" t="s">
        <v>100</v>
      </c>
      <c r="B2327">
        <v>2018</v>
      </c>
      <c r="C2327" t="s">
        <v>205</v>
      </c>
      <c r="D2327" s="437" t="s">
        <v>57</v>
      </c>
      <c r="E2327" s="437">
        <v>0</v>
      </c>
    </row>
    <row r="2328" spans="1:5" x14ac:dyDescent="0.25">
      <c r="A2328" t="s">
        <v>100</v>
      </c>
      <c r="B2328">
        <v>2018</v>
      </c>
      <c r="C2328" t="s">
        <v>205</v>
      </c>
      <c r="D2328" s="437" t="s">
        <v>348</v>
      </c>
      <c r="E2328" s="437">
        <v>1888</v>
      </c>
    </row>
    <row r="2329" spans="1:5" x14ac:dyDescent="0.25">
      <c r="A2329" t="s">
        <v>100</v>
      </c>
      <c r="B2329">
        <v>2018</v>
      </c>
      <c r="C2329" t="s">
        <v>205</v>
      </c>
      <c r="D2329" s="437" t="s">
        <v>349</v>
      </c>
      <c r="E2329" s="437">
        <v>0</v>
      </c>
    </row>
    <row r="2330" spans="1:5" x14ac:dyDescent="0.25">
      <c r="A2330" t="s">
        <v>100</v>
      </c>
      <c r="B2330">
        <v>2018</v>
      </c>
      <c r="C2330" t="s">
        <v>205</v>
      </c>
      <c r="D2330" s="437" t="s">
        <v>595</v>
      </c>
      <c r="E2330" s="437">
        <v>0</v>
      </c>
    </row>
    <row r="2331" spans="1:5" x14ac:dyDescent="0.25">
      <c r="A2331" t="s">
        <v>100</v>
      </c>
      <c r="B2331">
        <v>2018</v>
      </c>
      <c r="C2331" t="s">
        <v>205</v>
      </c>
      <c r="D2331" s="437" t="s">
        <v>352</v>
      </c>
      <c r="E2331" s="437">
        <v>0</v>
      </c>
    </row>
    <row r="2332" spans="1:5" x14ac:dyDescent="0.25">
      <c r="A2332" t="s">
        <v>100</v>
      </c>
      <c r="B2332">
        <v>2018</v>
      </c>
      <c r="C2332" t="s">
        <v>205</v>
      </c>
      <c r="D2332" s="437" t="s">
        <v>43</v>
      </c>
      <c r="E2332" s="437">
        <v>51</v>
      </c>
    </row>
    <row r="2333" spans="1:5" x14ac:dyDescent="0.25">
      <c r="A2333" t="s">
        <v>100</v>
      </c>
      <c r="B2333">
        <v>2018</v>
      </c>
      <c r="C2333" t="s">
        <v>205</v>
      </c>
      <c r="D2333" s="437" t="s">
        <v>42</v>
      </c>
      <c r="E2333" s="437">
        <v>0</v>
      </c>
    </row>
    <row r="2334" spans="1:5" x14ac:dyDescent="0.25">
      <c r="A2334" t="s">
        <v>100</v>
      </c>
      <c r="B2334">
        <v>2018</v>
      </c>
      <c r="C2334" t="s">
        <v>205</v>
      </c>
      <c r="D2334" s="437" t="s">
        <v>44</v>
      </c>
      <c r="E2334" s="437">
        <v>0</v>
      </c>
    </row>
    <row r="2335" spans="1:5" x14ac:dyDescent="0.25">
      <c r="A2335" t="s">
        <v>100</v>
      </c>
      <c r="B2335">
        <v>2018</v>
      </c>
      <c r="C2335" t="s">
        <v>205</v>
      </c>
      <c r="D2335" s="437" t="s">
        <v>397</v>
      </c>
      <c r="E2335" s="437">
        <v>0</v>
      </c>
    </row>
    <row r="2336" spans="1:5" x14ac:dyDescent="0.25">
      <c r="A2336" t="s">
        <v>100</v>
      </c>
      <c r="B2336">
        <v>2018</v>
      </c>
      <c r="C2336" t="s">
        <v>205</v>
      </c>
      <c r="D2336" s="437" t="s">
        <v>133</v>
      </c>
      <c r="E2336" s="437">
        <v>2105</v>
      </c>
    </row>
    <row r="2337" spans="1:5" x14ac:dyDescent="0.25">
      <c r="A2337" t="s">
        <v>100</v>
      </c>
      <c r="B2337">
        <v>2018</v>
      </c>
      <c r="C2337" t="s">
        <v>205</v>
      </c>
      <c r="D2337" s="437" t="s">
        <v>597</v>
      </c>
      <c r="E2337" s="437">
        <v>828</v>
      </c>
    </row>
    <row r="2338" spans="1:5" x14ac:dyDescent="0.25">
      <c r="A2338" t="s">
        <v>100</v>
      </c>
      <c r="B2338">
        <v>2018</v>
      </c>
      <c r="C2338" t="s">
        <v>205</v>
      </c>
      <c r="D2338" s="437" t="s">
        <v>596</v>
      </c>
      <c r="E2338" s="437">
        <v>2080</v>
      </c>
    </row>
    <row r="2339" spans="1:5" x14ac:dyDescent="0.25">
      <c r="A2339" t="s">
        <v>100</v>
      </c>
      <c r="B2339">
        <v>2018</v>
      </c>
      <c r="C2339" t="s">
        <v>205</v>
      </c>
      <c r="D2339" s="437" t="s">
        <v>413</v>
      </c>
      <c r="E2339" s="437">
        <v>0</v>
      </c>
    </row>
    <row r="2340" spans="1:5" x14ac:dyDescent="0.25">
      <c r="A2340" t="s">
        <v>118</v>
      </c>
      <c r="B2340">
        <v>2018</v>
      </c>
      <c r="C2340" t="s">
        <v>205</v>
      </c>
      <c r="D2340" s="437" t="s">
        <v>57</v>
      </c>
      <c r="E2340" s="437">
        <v>0</v>
      </c>
    </row>
    <row r="2341" spans="1:5" x14ac:dyDescent="0.25">
      <c r="A2341" t="s">
        <v>118</v>
      </c>
      <c r="B2341">
        <v>2018</v>
      </c>
      <c r="C2341" t="s">
        <v>205</v>
      </c>
      <c r="D2341" s="437" t="s">
        <v>348</v>
      </c>
      <c r="E2341" s="437">
        <v>220</v>
      </c>
    </row>
    <row r="2342" spans="1:5" x14ac:dyDescent="0.25">
      <c r="A2342" t="s">
        <v>118</v>
      </c>
      <c r="B2342">
        <v>2018</v>
      </c>
      <c r="C2342" t="s">
        <v>205</v>
      </c>
      <c r="D2342" s="437" t="s">
        <v>349</v>
      </c>
      <c r="E2342" s="437">
        <v>0</v>
      </c>
    </row>
    <row r="2343" spans="1:5" x14ac:dyDescent="0.25">
      <c r="A2343" t="s">
        <v>118</v>
      </c>
      <c r="B2343">
        <v>2018</v>
      </c>
      <c r="C2343" t="s">
        <v>205</v>
      </c>
      <c r="D2343" s="437" t="s">
        <v>595</v>
      </c>
      <c r="E2343" s="437">
        <v>0</v>
      </c>
    </row>
    <row r="2344" spans="1:5" x14ac:dyDescent="0.25">
      <c r="A2344" t="s">
        <v>118</v>
      </c>
      <c r="B2344">
        <v>2018</v>
      </c>
      <c r="C2344" t="s">
        <v>205</v>
      </c>
      <c r="D2344" s="437" t="s">
        <v>352</v>
      </c>
      <c r="E2344" s="437">
        <v>0</v>
      </c>
    </row>
    <row r="2345" spans="1:5" x14ac:dyDescent="0.25">
      <c r="A2345" t="s">
        <v>118</v>
      </c>
      <c r="B2345">
        <v>2018</v>
      </c>
      <c r="C2345" t="s">
        <v>205</v>
      </c>
      <c r="D2345" s="437" t="s">
        <v>43</v>
      </c>
      <c r="E2345" s="437">
        <v>72</v>
      </c>
    </row>
    <row r="2346" spans="1:5" x14ac:dyDescent="0.25">
      <c r="A2346" t="s">
        <v>118</v>
      </c>
      <c r="B2346">
        <v>2018</v>
      </c>
      <c r="C2346" t="s">
        <v>205</v>
      </c>
      <c r="D2346" s="437" t="s">
        <v>42</v>
      </c>
      <c r="E2346" s="437">
        <v>0</v>
      </c>
    </row>
    <row r="2347" spans="1:5" x14ac:dyDescent="0.25">
      <c r="A2347" t="s">
        <v>118</v>
      </c>
      <c r="B2347">
        <v>2018</v>
      </c>
      <c r="C2347" t="s">
        <v>205</v>
      </c>
      <c r="D2347" s="437" t="s">
        <v>44</v>
      </c>
      <c r="E2347" s="437">
        <v>0</v>
      </c>
    </row>
    <row r="2348" spans="1:5" x14ac:dyDescent="0.25">
      <c r="A2348" t="s">
        <v>118</v>
      </c>
      <c r="B2348">
        <v>2018</v>
      </c>
      <c r="C2348" t="s">
        <v>205</v>
      </c>
      <c r="D2348" s="437" t="s">
        <v>397</v>
      </c>
      <c r="E2348" s="437">
        <v>0</v>
      </c>
    </row>
    <row r="2349" spans="1:5" x14ac:dyDescent="0.25">
      <c r="A2349" t="s">
        <v>118</v>
      </c>
      <c r="B2349">
        <v>2018</v>
      </c>
      <c r="C2349" t="s">
        <v>205</v>
      </c>
      <c r="D2349" s="437" t="s">
        <v>133</v>
      </c>
      <c r="E2349" s="437">
        <v>660</v>
      </c>
    </row>
    <row r="2350" spans="1:5" x14ac:dyDescent="0.25">
      <c r="A2350" t="s">
        <v>118</v>
      </c>
      <c r="B2350">
        <v>2018</v>
      </c>
      <c r="C2350" t="s">
        <v>205</v>
      </c>
      <c r="D2350" s="437" t="s">
        <v>597</v>
      </c>
      <c r="E2350" s="437">
        <v>228</v>
      </c>
    </row>
    <row r="2351" spans="1:5" x14ac:dyDescent="0.25">
      <c r="A2351" t="s">
        <v>118</v>
      </c>
      <c r="B2351">
        <v>2018</v>
      </c>
      <c r="C2351" t="s">
        <v>205</v>
      </c>
      <c r="D2351" s="437" t="s">
        <v>596</v>
      </c>
      <c r="E2351" s="437">
        <v>590</v>
      </c>
    </row>
    <row r="2352" spans="1:5" x14ac:dyDescent="0.25">
      <c r="A2352" t="s">
        <v>118</v>
      </c>
      <c r="B2352">
        <v>2018</v>
      </c>
      <c r="C2352" t="s">
        <v>205</v>
      </c>
      <c r="D2352" s="437" t="s">
        <v>413</v>
      </c>
      <c r="E2352" s="437">
        <v>0</v>
      </c>
    </row>
    <row r="2353" spans="1:5" x14ac:dyDescent="0.25">
      <c r="A2353" t="s">
        <v>119</v>
      </c>
      <c r="B2353">
        <v>2018</v>
      </c>
      <c r="C2353" t="s">
        <v>205</v>
      </c>
      <c r="D2353" s="437" t="s">
        <v>57</v>
      </c>
      <c r="E2353" s="437">
        <v>0</v>
      </c>
    </row>
    <row r="2354" spans="1:5" x14ac:dyDescent="0.25">
      <c r="A2354" t="s">
        <v>119</v>
      </c>
      <c r="B2354">
        <v>2018</v>
      </c>
      <c r="C2354" t="s">
        <v>205</v>
      </c>
      <c r="D2354" s="437" t="s">
        <v>348</v>
      </c>
      <c r="E2354" s="437">
        <v>718</v>
      </c>
    </row>
    <row r="2355" spans="1:5" x14ac:dyDescent="0.25">
      <c r="A2355" t="s">
        <v>119</v>
      </c>
      <c r="B2355">
        <v>2018</v>
      </c>
      <c r="C2355" t="s">
        <v>205</v>
      </c>
      <c r="D2355" s="437" t="s">
        <v>349</v>
      </c>
      <c r="E2355" s="437">
        <v>0</v>
      </c>
    </row>
    <row r="2356" spans="1:5" x14ac:dyDescent="0.25">
      <c r="A2356" t="s">
        <v>119</v>
      </c>
      <c r="B2356">
        <v>2018</v>
      </c>
      <c r="C2356" t="s">
        <v>205</v>
      </c>
      <c r="D2356" s="437" t="s">
        <v>595</v>
      </c>
      <c r="E2356" s="437">
        <v>250</v>
      </c>
    </row>
    <row r="2357" spans="1:5" x14ac:dyDescent="0.25">
      <c r="A2357" t="s">
        <v>119</v>
      </c>
      <c r="B2357">
        <v>2018</v>
      </c>
      <c r="C2357" t="s">
        <v>205</v>
      </c>
      <c r="D2357" s="437" t="s">
        <v>352</v>
      </c>
      <c r="E2357" s="437">
        <v>189</v>
      </c>
    </row>
    <row r="2358" spans="1:5" x14ac:dyDescent="0.25">
      <c r="A2358" t="s">
        <v>119</v>
      </c>
      <c r="B2358">
        <v>2018</v>
      </c>
      <c r="C2358" t="s">
        <v>205</v>
      </c>
      <c r="D2358" s="437" t="s">
        <v>43</v>
      </c>
      <c r="E2358" s="437">
        <v>37</v>
      </c>
    </row>
    <row r="2359" spans="1:5" x14ac:dyDescent="0.25">
      <c r="A2359" t="s">
        <v>119</v>
      </c>
      <c r="B2359">
        <v>2018</v>
      </c>
      <c r="C2359" t="s">
        <v>205</v>
      </c>
      <c r="D2359" s="437" t="s">
        <v>42</v>
      </c>
      <c r="E2359" s="437">
        <v>0</v>
      </c>
    </row>
    <row r="2360" spans="1:5" x14ac:dyDescent="0.25">
      <c r="A2360" t="s">
        <v>119</v>
      </c>
      <c r="B2360">
        <v>2018</v>
      </c>
      <c r="C2360" t="s">
        <v>205</v>
      </c>
      <c r="D2360" s="437" t="s">
        <v>44</v>
      </c>
      <c r="E2360" s="437">
        <v>17</v>
      </c>
    </row>
    <row r="2361" spans="1:5" x14ac:dyDescent="0.25">
      <c r="A2361" t="s">
        <v>119</v>
      </c>
      <c r="B2361">
        <v>2018</v>
      </c>
      <c r="C2361" t="s">
        <v>205</v>
      </c>
      <c r="D2361" s="437" t="s">
        <v>397</v>
      </c>
      <c r="E2361" s="437">
        <v>7</v>
      </c>
    </row>
    <row r="2362" spans="1:5" x14ac:dyDescent="0.25">
      <c r="A2362" t="s">
        <v>119</v>
      </c>
      <c r="B2362">
        <v>2018</v>
      </c>
      <c r="C2362" t="s">
        <v>205</v>
      </c>
      <c r="D2362" s="437" t="s">
        <v>133</v>
      </c>
      <c r="E2362" s="437">
        <v>676</v>
      </c>
    </row>
    <row r="2363" spans="1:5" x14ac:dyDescent="0.25">
      <c r="A2363" t="s">
        <v>119</v>
      </c>
      <c r="B2363">
        <v>2018</v>
      </c>
      <c r="C2363" t="s">
        <v>205</v>
      </c>
      <c r="D2363" s="437" t="s">
        <v>597</v>
      </c>
      <c r="E2363" s="437">
        <v>369</v>
      </c>
    </row>
    <row r="2364" spans="1:5" x14ac:dyDescent="0.25">
      <c r="A2364" t="s">
        <v>119</v>
      </c>
      <c r="B2364">
        <v>2018</v>
      </c>
      <c r="C2364" t="s">
        <v>205</v>
      </c>
      <c r="D2364" s="437" t="s">
        <v>596</v>
      </c>
      <c r="E2364" s="437">
        <v>1388</v>
      </c>
    </row>
    <row r="2365" spans="1:5" x14ac:dyDescent="0.25">
      <c r="A2365" t="s">
        <v>119</v>
      </c>
      <c r="B2365">
        <v>2018</v>
      </c>
      <c r="C2365" t="s">
        <v>205</v>
      </c>
      <c r="D2365" s="437" t="s">
        <v>413</v>
      </c>
      <c r="E2365" s="437">
        <v>0</v>
      </c>
    </row>
    <row r="2366" spans="1:5" x14ac:dyDescent="0.25">
      <c r="A2366" t="s">
        <v>125</v>
      </c>
      <c r="B2366">
        <v>2018</v>
      </c>
      <c r="C2366" t="s">
        <v>205</v>
      </c>
      <c r="D2366" s="437" t="s">
        <v>57</v>
      </c>
      <c r="E2366" s="437">
        <v>0</v>
      </c>
    </row>
    <row r="2367" spans="1:5" x14ac:dyDescent="0.25">
      <c r="A2367" t="s">
        <v>125</v>
      </c>
      <c r="B2367">
        <v>2018</v>
      </c>
      <c r="C2367" t="s">
        <v>205</v>
      </c>
      <c r="D2367" s="437" t="s">
        <v>348</v>
      </c>
      <c r="E2367" s="437">
        <v>5314</v>
      </c>
    </row>
    <row r="2368" spans="1:5" x14ac:dyDescent="0.25">
      <c r="A2368" t="s">
        <v>125</v>
      </c>
      <c r="B2368">
        <v>2018</v>
      </c>
      <c r="C2368" t="s">
        <v>205</v>
      </c>
      <c r="D2368" s="437" t="s">
        <v>349</v>
      </c>
      <c r="E2368" s="437">
        <v>0</v>
      </c>
    </row>
    <row r="2369" spans="1:5" x14ac:dyDescent="0.25">
      <c r="A2369" t="s">
        <v>125</v>
      </c>
      <c r="B2369">
        <v>2018</v>
      </c>
      <c r="C2369" t="s">
        <v>205</v>
      </c>
      <c r="D2369" s="437" t="s">
        <v>595</v>
      </c>
      <c r="E2369" s="437">
        <v>208</v>
      </c>
    </row>
    <row r="2370" spans="1:5" x14ac:dyDescent="0.25">
      <c r="A2370" t="s">
        <v>125</v>
      </c>
      <c r="B2370">
        <v>2018</v>
      </c>
      <c r="C2370" t="s">
        <v>205</v>
      </c>
      <c r="D2370" s="437" t="s">
        <v>352</v>
      </c>
      <c r="E2370" s="437">
        <v>0</v>
      </c>
    </row>
    <row r="2371" spans="1:5" x14ac:dyDescent="0.25">
      <c r="A2371" t="s">
        <v>125</v>
      </c>
      <c r="B2371">
        <v>2018</v>
      </c>
      <c r="C2371" t="s">
        <v>205</v>
      </c>
      <c r="D2371" s="437" t="s">
        <v>43</v>
      </c>
      <c r="E2371" s="437">
        <v>239</v>
      </c>
    </row>
    <row r="2372" spans="1:5" x14ac:dyDescent="0.25">
      <c r="A2372" t="s">
        <v>125</v>
      </c>
      <c r="B2372">
        <v>2018</v>
      </c>
      <c r="C2372" t="s">
        <v>205</v>
      </c>
      <c r="D2372" s="437" t="s">
        <v>42</v>
      </c>
      <c r="E2372" s="437">
        <v>0</v>
      </c>
    </row>
    <row r="2373" spans="1:5" x14ac:dyDescent="0.25">
      <c r="A2373" t="s">
        <v>125</v>
      </c>
      <c r="B2373">
        <v>2018</v>
      </c>
      <c r="C2373" t="s">
        <v>205</v>
      </c>
      <c r="D2373" s="437" t="s">
        <v>44</v>
      </c>
      <c r="E2373" s="437">
        <v>0</v>
      </c>
    </row>
    <row r="2374" spans="1:5" x14ac:dyDescent="0.25">
      <c r="A2374" t="s">
        <v>125</v>
      </c>
      <c r="B2374">
        <v>2018</v>
      </c>
      <c r="C2374" t="s">
        <v>205</v>
      </c>
      <c r="D2374" s="437" t="s">
        <v>397</v>
      </c>
      <c r="E2374" s="437">
        <v>0</v>
      </c>
    </row>
    <row r="2375" spans="1:5" x14ac:dyDescent="0.25">
      <c r="A2375" t="s">
        <v>125</v>
      </c>
      <c r="B2375">
        <v>2018</v>
      </c>
      <c r="C2375" t="s">
        <v>205</v>
      </c>
      <c r="D2375" s="437" t="s">
        <v>133</v>
      </c>
      <c r="E2375" s="437">
        <v>3005</v>
      </c>
    </row>
    <row r="2376" spans="1:5" x14ac:dyDescent="0.25">
      <c r="A2376" t="s">
        <v>125</v>
      </c>
      <c r="B2376">
        <v>2018</v>
      </c>
      <c r="C2376" t="s">
        <v>205</v>
      </c>
      <c r="D2376" s="437" t="s">
        <v>597</v>
      </c>
      <c r="E2376" s="437">
        <v>2428</v>
      </c>
    </row>
    <row r="2377" spans="1:5" x14ac:dyDescent="0.25">
      <c r="A2377" t="s">
        <v>125</v>
      </c>
      <c r="B2377">
        <v>2018</v>
      </c>
      <c r="C2377" t="s">
        <v>205</v>
      </c>
      <c r="D2377" s="437" t="s">
        <v>596</v>
      </c>
      <c r="E2377" s="437">
        <v>6867</v>
      </c>
    </row>
    <row r="2378" spans="1:5" x14ac:dyDescent="0.25">
      <c r="A2378" t="s">
        <v>125</v>
      </c>
      <c r="B2378">
        <v>2018</v>
      </c>
      <c r="C2378" t="s">
        <v>205</v>
      </c>
      <c r="D2378" s="437" t="s">
        <v>413</v>
      </c>
      <c r="E2378" s="437">
        <v>0</v>
      </c>
    </row>
    <row r="2379" spans="1:5" x14ac:dyDescent="0.25">
      <c r="A2379" t="s">
        <v>643</v>
      </c>
      <c r="B2379">
        <v>2018</v>
      </c>
      <c r="C2379" t="s">
        <v>205</v>
      </c>
      <c r="D2379" s="437" t="s">
        <v>57</v>
      </c>
      <c r="E2379" s="437">
        <v>121885</v>
      </c>
    </row>
    <row r="2380" spans="1:5" x14ac:dyDescent="0.25">
      <c r="A2380" t="s">
        <v>643</v>
      </c>
      <c r="B2380">
        <v>2018</v>
      </c>
      <c r="C2380" t="s">
        <v>205</v>
      </c>
      <c r="D2380" s="437" t="s">
        <v>348</v>
      </c>
      <c r="E2380" s="437">
        <v>70100</v>
      </c>
    </row>
    <row r="2381" spans="1:5" x14ac:dyDescent="0.25">
      <c r="A2381" t="s">
        <v>643</v>
      </c>
      <c r="B2381">
        <v>2018</v>
      </c>
      <c r="C2381" t="s">
        <v>205</v>
      </c>
      <c r="D2381" s="437" t="s">
        <v>349</v>
      </c>
      <c r="E2381" s="437">
        <v>99624</v>
      </c>
    </row>
    <row r="2382" spans="1:5" x14ac:dyDescent="0.25">
      <c r="A2382" t="s">
        <v>643</v>
      </c>
      <c r="B2382">
        <v>2018</v>
      </c>
      <c r="C2382" t="s">
        <v>205</v>
      </c>
      <c r="D2382" s="437" t="s">
        <v>595</v>
      </c>
      <c r="E2382" s="437">
        <v>244906</v>
      </c>
    </row>
    <row r="2383" spans="1:5" x14ac:dyDescent="0.25">
      <c r="A2383" t="s">
        <v>643</v>
      </c>
      <c r="B2383">
        <v>2018</v>
      </c>
      <c r="C2383" t="s">
        <v>205</v>
      </c>
      <c r="D2383" s="437" t="s">
        <v>352</v>
      </c>
      <c r="E2383" s="437">
        <v>40472</v>
      </c>
    </row>
    <row r="2384" spans="1:5" x14ac:dyDescent="0.25">
      <c r="A2384" t="s">
        <v>643</v>
      </c>
      <c r="B2384">
        <v>2018</v>
      </c>
      <c r="C2384" t="s">
        <v>205</v>
      </c>
      <c r="D2384" s="437" t="s">
        <v>43</v>
      </c>
      <c r="E2384" s="437">
        <v>167868</v>
      </c>
    </row>
    <row r="2385" spans="1:5" x14ac:dyDescent="0.25">
      <c r="A2385" t="s">
        <v>643</v>
      </c>
      <c r="B2385">
        <v>2018</v>
      </c>
      <c r="C2385" t="s">
        <v>205</v>
      </c>
      <c r="D2385" s="437" t="s">
        <v>42</v>
      </c>
      <c r="E2385" s="437">
        <v>16831</v>
      </c>
    </row>
    <row r="2386" spans="1:5" x14ac:dyDescent="0.25">
      <c r="A2386" t="s">
        <v>643</v>
      </c>
      <c r="B2386">
        <v>2018</v>
      </c>
      <c r="C2386" t="s">
        <v>205</v>
      </c>
      <c r="D2386" s="437" t="s">
        <v>44</v>
      </c>
      <c r="E2386" s="437">
        <v>116192</v>
      </c>
    </row>
    <row r="2387" spans="1:5" x14ac:dyDescent="0.25">
      <c r="A2387" t="s">
        <v>643</v>
      </c>
      <c r="B2387">
        <v>2018</v>
      </c>
      <c r="C2387" t="s">
        <v>205</v>
      </c>
      <c r="D2387" s="437" t="s">
        <v>397</v>
      </c>
      <c r="E2387" s="437">
        <v>28089</v>
      </c>
    </row>
    <row r="2388" spans="1:5" x14ac:dyDescent="0.25">
      <c r="A2388" t="s">
        <v>643</v>
      </c>
      <c r="B2388">
        <v>2018</v>
      </c>
      <c r="C2388" t="s">
        <v>205</v>
      </c>
      <c r="D2388" s="437" t="s">
        <v>133</v>
      </c>
      <c r="E2388" s="437">
        <v>238917</v>
      </c>
    </row>
    <row r="2389" spans="1:5" x14ac:dyDescent="0.25">
      <c r="A2389" t="s">
        <v>643</v>
      </c>
      <c r="B2389">
        <v>2018</v>
      </c>
      <c r="C2389" t="s">
        <v>205</v>
      </c>
      <c r="D2389" s="437" t="s">
        <v>597</v>
      </c>
      <c r="E2389" s="437">
        <v>264157</v>
      </c>
    </row>
    <row r="2390" spans="1:5" x14ac:dyDescent="0.25">
      <c r="A2390" t="s">
        <v>643</v>
      </c>
      <c r="B2390">
        <v>2018</v>
      </c>
      <c r="C2390" t="s">
        <v>205</v>
      </c>
      <c r="D2390" s="437" t="s">
        <v>596</v>
      </c>
      <c r="E2390" s="437">
        <v>589716</v>
      </c>
    </row>
    <row r="2391" spans="1:5" x14ac:dyDescent="0.25">
      <c r="A2391" t="s">
        <v>643</v>
      </c>
      <c r="B2391">
        <v>2018</v>
      </c>
      <c r="C2391" t="s">
        <v>205</v>
      </c>
      <c r="D2391" s="437" t="s">
        <v>413</v>
      </c>
      <c r="E2391" s="437">
        <v>18521</v>
      </c>
    </row>
    <row r="2392" spans="1:5" x14ac:dyDescent="0.25">
      <c r="A2392" t="s">
        <v>264</v>
      </c>
      <c r="B2392">
        <v>2018</v>
      </c>
      <c r="C2392" t="s">
        <v>205</v>
      </c>
      <c r="D2392" s="437" t="s">
        <v>57</v>
      </c>
      <c r="E2392" s="437">
        <v>118552</v>
      </c>
    </row>
    <row r="2393" spans="1:5" x14ac:dyDescent="0.25">
      <c r="A2393" t="s">
        <v>264</v>
      </c>
      <c r="B2393">
        <v>2018</v>
      </c>
      <c r="C2393" t="s">
        <v>205</v>
      </c>
      <c r="D2393" s="437" t="s">
        <v>348</v>
      </c>
      <c r="E2393" s="437">
        <v>51842</v>
      </c>
    </row>
    <row r="2394" spans="1:5" x14ac:dyDescent="0.25">
      <c r="A2394" t="s">
        <v>264</v>
      </c>
      <c r="B2394">
        <v>2018</v>
      </c>
      <c r="C2394" t="s">
        <v>205</v>
      </c>
      <c r="D2394" s="437" t="s">
        <v>349</v>
      </c>
      <c r="E2394" s="437">
        <v>90048</v>
      </c>
    </row>
    <row r="2395" spans="1:5" x14ac:dyDescent="0.25">
      <c r="A2395" t="s">
        <v>264</v>
      </c>
      <c r="B2395">
        <v>2018</v>
      </c>
      <c r="C2395" t="s">
        <v>205</v>
      </c>
      <c r="D2395" s="437" t="s">
        <v>595</v>
      </c>
      <c r="E2395" s="437">
        <v>217799</v>
      </c>
    </row>
    <row r="2396" spans="1:5" x14ac:dyDescent="0.25">
      <c r="A2396" t="s">
        <v>264</v>
      </c>
      <c r="B2396">
        <v>2018</v>
      </c>
      <c r="C2396" t="s">
        <v>205</v>
      </c>
      <c r="D2396" s="437" t="s">
        <v>352</v>
      </c>
      <c r="E2396" s="437">
        <v>39880</v>
      </c>
    </row>
    <row r="2397" spans="1:5" x14ac:dyDescent="0.25">
      <c r="A2397" t="s">
        <v>264</v>
      </c>
      <c r="B2397">
        <v>2018</v>
      </c>
      <c r="C2397" t="s">
        <v>205</v>
      </c>
      <c r="D2397" s="437" t="s">
        <v>43</v>
      </c>
      <c r="E2397" s="437">
        <v>158639</v>
      </c>
    </row>
    <row r="2398" spans="1:5" x14ac:dyDescent="0.25">
      <c r="A2398" t="s">
        <v>264</v>
      </c>
      <c r="B2398">
        <v>2018</v>
      </c>
      <c r="C2398" t="s">
        <v>205</v>
      </c>
      <c r="D2398" s="437" t="s">
        <v>42</v>
      </c>
      <c r="E2398" s="437">
        <v>16831</v>
      </c>
    </row>
    <row r="2399" spans="1:5" x14ac:dyDescent="0.25">
      <c r="A2399" t="s">
        <v>264</v>
      </c>
      <c r="B2399">
        <v>2018</v>
      </c>
      <c r="C2399" t="s">
        <v>205</v>
      </c>
      <c r="D2399" s="437" t="s">
        <v>44</v>
      </c>
      <c r="E2399" s="437">
        <v>109403</v>
      </c>
    </row>
    <row r="2400" spans="1:5" x14ac:dyDescent="0.25">
      <c r="A2400" t="s">
        <v>264</v>
      </c>
      <c r="B2400">
        <v>2018</v>
      </c>
      <c r="C2400" t="s">
        <v>205</v>
      </c>
      <c r="D2400" s="437" t="s">
        <v>397</v>
      </c>
      <c r="E2400" s="437">
        <v>27068</v>
      </c>
    </row>
    <row r="2401" spans="1:5" x14ac:dyDescent="0.25">
      <c r="A2401" t="s">
        <v>264</v>
      </c>
      <c r="B2401">
        <v>2018</v>
      </c>
      <c r="C2401" t="s">
        <v>205</v>
      </c>
      <c r="D2401" s="437" t="s">
        <v>133</v>
      </c>
      <c r="E2401" s="437">
        <v>162782</v>
      </c>
    </row>
    <row r="2402" spans="1:5" x14ac:dyDescent="0.25">
      <c r="A2402" t="s">
        <v>264</v>
      </c>
      <c r="B2402">
        <v>2018</v>
      </c>
      <c r="C2402" t="s">
        <v>205</v>
      </c>
      <c r="D2402" s="437" t="s">
        <v>597</v>
      </c>
      <c r="E2402" s="437">
        <v>0</v>
      </c>
    </row>
    <row r="2403" spans="1:5" x14ac:dyDescent="0.25">
      <c r="A2403" t="s">
        <v>264</v>
      </c>
      <c r="B2403">
        <v>2018</v>
      </c>
      <c r="C2403" t="s">
        <v>205</v>
      </c>
      <c r="D2403" s="437" t="s">
        <v>596</v>
      </c>
      <c r="E2403" s="437">
        <v>0</v>
      </c>
    </row>
    <row r="2404" spans="1:5" x14ac:dyDescent="0.25">
      <c r="A2404" t="s">
        <v>264</v>
      </c>
      <c r="B2404">
        <v>2018</v>
      </c>
      <c r="C2404" t="s">
        <v>205</v>
      </c>
      <c r="D2404" s="437" t="s">
        <v>413</v>
      </c>
      <c r="E2404" s="437">
        <v>15963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B3:X67"/>
  <sheetViews>
    <sheetView zoomScale="85" zoomScaleNormal="85" workbookViewId="0">
      <selection activeCell="B3" sqref="B3:F35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4" width="7" bestFit="1" customWidth="1"/>
    <col min="5" max="5" width="7.85546875" bestFit="1" customWidth="1"/>
    <col min="6" max="6" width="7.140625" bestFit="1" customWidth="1"/>
    <col min="7" max="7" width="13" bestFit="1" customWidth="1"/>
    <col min="8" max="8" width="15.5703125" bestFit="1" customWidth="1"/>
    <col min="17" max="17" width="14.28515625" bestFit="1" customWidth="1"/>
    <col min="18" max="18" width="20.28515625" bestFit="1" customWidth="1"/>
    <col min="19" max="19" width="14.28515625" bestFit="1" customWidth="1"/>
    <col min="20" max="20" width="20.28515625" bestFit="1" customWidth="1"/>
    <col min="21" max="22" width="12" bestFit="1" customWidth="1"/>
  </cols>
  <sheetData>
    <row r="3" spans="2:24" x14ac:dyDescent="0.25">
      <c r="B3" s="438" t="s">
        <v>598</v>
      </c>
      <c r="C3" s="438" t="s">
        <v>412</v>
      </c>
    </row>
    <row r="4" spans="2:24" x14ac:dyDescent="0.25">
      <c r="C4">
        <v>2018</v>
      </c>
      <c r="G4" t="s">
        <v>605</v>
      </c>
      <c r="O4" s="573">
        <v>2018</v>
      </c>
      <c r="P4" s="573"/>
      <c r="Q4" s="573">
        <v>2020</v>
      </c>
      <c r="R4" s="573"/>
      <c r="S4" s="573">
        <v>2025</v>
      </c>
      <c r="T4" s="573"/>
      <c r="U4" s="573">
        <v>2030</v>
      </c>
      <c r="V4" s="573"/>
      <c r="W4" s="573">
        <v>2040</v>
      </c>
      <c r="X4" s="573"/>
    </row>
    <row r="5" spans="2:24" x14ac:dyDescent="0.25">
      <c r="B5" s="438" t="s">
        <v>410</v>
      </c>
      <c r="C5" t="s">
        <v>349</v>
      </c>
      <c r="D5" t="s">
        <v>348</v>
      </c>
      <c r="E5" t="s">
        <v>57</v>
      </c>
      <c r="F5" t="s">
        <v>133</v>
      </c>
      <c r="K5" t="s">
        <v>205</v>
      </c>
      <c r="L5" t="s">
        <v>606</v>
      </c>
      <c r="M5" t="s">
        <v>77</v>
      </c>
      <c r="O5" t="s">
        <v>607</v>
      </c>
      <c r="P5" t="s">
        <v>608</v>
      </c>
      <c r="Q5" t="s">
        <v>607</v>
      </c>
      <c r="R5" t="s">
        <v>608</v>
      </c>
      <c r="S5" t="s">
        <v>607</v>
      </c>
      <c r="T5" t="s">
        <v>608</v>
      </c>
      <c r="U5" t="s">
        <v>607</v>
      </c>
      <c r="V5" t="s">
        <v>608</v>
      </c>
      <c r="W5" t="s">
        <v>607</v>
      </c>
      <c r="X5" t="s">
        <v>608</v>
      </c>
    </row>
    <row r="6" spans="2:24" x14ac:dyDescent="0.25">
      <c r="B6" s="439" t="s">
        <v>109</v>
      </c>
      <c r="C6" s="437">
        <v>2997</v>
      </c>
      <c r="D6" s="437">
        <v>0</v>
      </c>
      <c r="E6" s="437">
        <v>63130</v>
      </c>
      <c r="F6" s="437">
        <v>23787</v>
      </c>
      <c r="G6" s="437">
        <v>89914</v>
      </c>
      <c r="K6" s="439" t="s">
        <v>109</v>
      </c>
      <c r="L6">
        <v>2022</v>
      </c>
      <c r="O6">
        <f>SUM(C6:D6)</f>
        <v>2997</v>
      </c>
      <c r="P6">
        <f>GETPIVOTDATA("Wert",$B$3,"Country",K6,"Year",2018,"Technology","Nuclear")</f>
        <v>63130</v>
      </c>
      <c r="Q6" s="511">
        <f>IF(ISBLANK($L6),SUM($C6:$D6),IF($L6&gt;Q$4,SUM($C6:$D6),""))</f>
        <v>2997</v>
      </c>
      <c r="R6" s="511">
        <f>IF(ISBLANK($M6),SUM($E6),IF($M6&gt;Q$4,SUM($E6),""))</f>
        <v>63130</v>
      </c>
      <c r="S6" s="511" t="str">
        <f>IF(ISBLANK($L6),SUM($C6:$D6),IF($L6&gt;S$4,SUM($C6:$D6),""))</f>
        <v/>
      </c>
      <c r="T6" s="511">
        <f>IF(ISBLANK($M6),SUM($E6),IF($M6&gt;S$4,SUM($E6),""))</f>
        <v>63130</v>
      </c>
      <c r="U6" s="511" t="str">
        <f>IF(ISBLANK($L6),SUM($C6:$D6),IF($L6&gt;U$4,SUM($C6:$D6),""))</f>
        <v/>
      </c>
      <c r="V6" s="511">
        <f>IF(ISBLANK($M6),SUM($E6),IF($M6&gt;U$4,SUM($E6),""))</f>
        <v>63130</v>
      </c>
      <c r="W6" s="511" t="str">
        <f>IF(ISBLANK($L6),SUM($C6:$D6),IF($L6&gt;W$4,SUM($C6:$D6),""))</f>
        <v/>
      </c>
      <c r="X6" s="511">
        <f>IF(ISBLANK($M6),SUM($E6),IF($M6&gt;W$4,SUM($E6),""))</f>
        <v>63130</v>
      </c>
    </row>
    <row r="7" spans="2:24" x14ac:dyDescent="0.25">
      <c r="B7" s="439" t="s">
        <v>99</v>
      </c>
      <c r="C7" s="437">
        <v>598</v>
      </c>
      <c r="D7" s="437">
        <v>0</v>
      </c>
      <c r="E7" s="437">
        <v>0</v>
      </c>
      <c r="F7" s="437">
        <v>14150</v>
      </c>
      <c r="G7" s="437">
        <v>14748</v>
      </c>
      <c r="K7" s="439" t="s">
        <v>99</v>
      </c>
      <c r="L7">
        <v>2020</v>
      </c>
      <c r="O7">
        <f t="shared" ref="O7:O34" si="0">SUM(C7:D7)</f>
        <v>598</v>
      </c>
      <c r="P7">
        <f t="shared" ref="P7:P34" si="1">GETPIVOTDATA("Wert",$B$3,"Country",K7,"Year",2018,"Technology","Nuclear")</f>
        <v>0</v>
      </c>
      <c r="Q7" s="511" t="str">
        <f t="shared" ref="Q7:W34" si="2">IF(ISBLANK($L7),SUM($C7:$D7),IF($L7&gt;Q$4,SUM($C7:$D7),""))</f>
        <v/>
      </c>
      <c r="R7" s="511">
        <f t="shared" ref="R7:R34" si="3">IF(ISBLANK($M7),SUM($E7),IF($M7&gt;Q$4,SUM($E7),""))</f>
        <v>0</v>
      </c>
      <c r="S7" s="511" t="str">
        <f t="shared" si="2"/>
        <v/>
      </c>
      <c r="T7" s="511">
        <f t="shared" ref="T7:V7" si="4">IF(ISBLANK($M7),SUM($E7),IF($M7&gt;S$4,SUM($E7),""))</f>
        <v>0</v>
      </c>
      <c r="U7" s="511" t="str">
        <f t="shared" si="2"/>
        <v/>
      </c>
      <c r="V7" s="511">
        <f t="shared" si="4"/>
        <v>0</v>
      </c>
      <c r="W7" s="511" t="str">
        <f t="shared" si="2"/>
        <v/>
      </c>
      <c r="X7" s="511">
        <f t="shared" ref="X7" si="5">IF(ISBLANK($M7),SUM($E7),IF($M7&gt;W$4,SUM($E7),""))</f>
        <v>0</v>
      </c>
    </row>
    <row r="8" spans="2:24" x14ac:dyDescent="0.25">
      <c r="B8" s="439" t="s">
        <v>101</v>
      </c>
      <c r="C8" s="437">
        <v>0</v>
      </c>
      <c r="D8" s="437">
        <v>0</v>
      </c>
      <c r="E8" s="437">
        <v>5919</v>
      </c>
      <c r="F8" s="437">
        <v>1433</v>
      </c>
      <c r="G8" s="437">
        <v>7352</v>
      </c>
      <c r="K8" s="439" t="s">
        <v>101</v>
      </c>
      <c r="M8">
        <v>2025</v>
      </c>
      <c r="O8">
        <f t="shared" si="0"/>
        <v>0</v>
      </c>
      <c r="P8">
        <f t="shared" si="1"/>
        <v>5919</v>
      </c>
      <c r="Q8" s="511">
        <f t="shared" si="2"/>
        <v>0</v>
      </c>
      <c r="R8" s="511">
        <f t="shared" si="3"/>
        <v>5919</v>
      </c>
      <c r="S8" s="511">
        <f t="shared" si="2"/>
        <v>0</v>
      </c>
      <c r="T8" s="511" t="str">
        <f t="shared" ref="T8:V8" si="6">IF(ISBLANK($M8),SUM($E8),IF($M8&gt;S$4,SUM($E8),""))</f>
        <v/>
      </c>
      <c r="U8" s="511">
        <f t="shared" si="2"/>
        <v>0</v>
      </c>
      <c r="V8" s="511" t="str">
        <f t="shared" si="6"/>
        <v/>
      </c>
      <c r="W8" s="511">
        <f t="shared" si="2"/>
        <v>0</v>
      </c>
      <c r="X8" s="511" t="str">
        <f t="shared" ref="X8" si="7">IF(ISBLANK($M8),SUM($E8),IF($M8&gt;W$4,SUM($E8),""))</f>
        <v/>
      </c>
    </row>
    <row r="9" spans="2:24" x14ac:dyDescent="0.25">
      <c r="B9" s="439" t="s">
        <v>102</v>
      </c>
      <c r="C9" s="437">
        <v>175</v>
      </c>
      <c r="D9" s="437">
        <v>3558</v>
      </c>
      <c r="E9" s="437">
        <v>1950</v>
      </c>
      <c r="F9" s="437">
        <v>3188</v>
      </c>
      <c r="G9" s="437">
        <v>8871</v>
      </c>
      <c r="K9" s="439" t="s">
        <v>102</v>
      </c>
      <c r="O9">
        <f t="shared" si="0"/>
        <v>3733</v>
      </c>
      <c r="P9">
        <f t="shared" si="1"/>
        <v>1950</v>
      </c>
      <c r="Q9" s="511">
        <f t="shared" si="2"/>
        <v>3733</v>
      </c>
      <c r="R9" s="511">
        <f t="shared" si="3"/>
        <v>1950</v>
      </c>
      <c r="S9" s="511">
        <f t="shared" si="2"/>
        <v>3733</v>
      </c>
      <c r="T9" s="511">
        <f t="shared" ref="T9:V9" si="8">IF(ISBLANK($M9),SUM($E9),IF($M9&gt;S$4,SUM($E9),""))</f>
        <v>1950</v>
      </c>
      <c r="U9" s="511">
        <f t="shared" si="2"/>
        <v>3733</v>
      </c>
      <c r="V9" s="511">
        <f t="shared" si="8"/>
        <v>1950</v>
      </c>
      <c r="W9" s="511">
        <f t="shared" si="2"/>
        <v>3733</v>
      </c>
      <c r="X9" s="511">
        <f t="shared" ref="X9" si="9">IF(ISBLANK($M9),SUM($E9),IF($M9&gt;W$4,SUM($E9),""))</f>
        <v>1950</v>
      </c>
    </row>
    <row r="10" spans="2:24" x14ac:dyDescent="0.25">
      <c r="B10" s="439" t="s">
        <v>103</v>
      </c>
      <c r="C10" s="437">
        <v>0</v>
      </c>
      <c r="D10" s="437">
        <v>0</v>
      </c>
      <c r="E10" s="437">
        <v>3333</v>
      </c>
      <c r="F10" s="437">
        <v>12205</v>
      </c>
      <c r="G10" s="437">
        <v>15538</v>
      </c>
      <c r="K10" s="439"/>
      <c r="Q10" s="511"/>
      <c r="R10" s="511"/>
      <c r="S10" s="511"/>
      <c r="T10" s="511"/>
      <c r="U10" s="511"/>
      <c r="V10" s="511"/>
      <c r="W10" s="511"/>
      <c r="X10" s="511"/>
    </row>
    <row r="11" spans="2:24" x14ac:dyDescent="0.25">
      <c r="B11" s="439" t="s">
        <v>198</v>
      </c>
      <c r="C11" s="437">
        <v>0</v>
      </c>
      <c r="D11" s="437">
        <v>0</v>
      </c>
      <c r="E11" s="437">
        <v>0</v>
      </c>
      <c r="F11" s="437">
        <v>0</v>
      </c>
      <c r="G11" s="437">
        <v>0</v>
      </c>
      <c r="K11" s="439" t="s">
        <v>198</v>
      </c>
      <c r="O11">
        <f t="shared" si="0"/>
        <v>0</v>
      </c>
      <c r="P11">
        <f t="shared" si="1"/>
        <v>0</v>
      </c>
      <c r="Q11" s="511">
        <f t="shared" si="2"/>
        <v>0</v>
      </c>
      <c r="R11" s="511">
        <f t="shared" si="3"/>
        <v>0</v>
      </c>
      <c r="S11" s="511">
        <f t="shared" si="2"/>
        <v>0</v>
      </c>
      <c r="T11" s="511">
        <f t="shared" ref="T11:V11" si="10">IF(ISBLANK($M11),SUM($E11),IF($M11&gt;S$4,SUM($E11),""))</f>
        <v>0</v>
      </c>
      <c r="U11" s="511">
        <f t="shared" si="2"/>
        <v>0</v>
      </c>
      <c r="V11" s="511">
        <f t="shared" si="10"/>
        <v>0</v>
      </c>
      <c r="W11" s="511">
        <f t="shared" si="2"/>
        <v>0</v>
      </c>
      <c r="X11" s="511">
        <f t="shared" ref="X11" si="11">IF(ISBLANK($M11),SUM($E11),IF($M11&gt;W$4,SUM($E11),""))</f>
        <v>0</v>
      </c>
    </row>
    <row r="12" spans="2:24" x14ac:dyDescent="0.25">
      <c r="B12" s="439" t="s">
        <v>104</v>
      </c>
      <c r="C12" s="437">
        <v>1200</v>
      </c>
      <c r="D12" s="437">
        <v>8450</v>
      </c>
      <c r="E12" s="437">
        <v>4040</v>
      </c>
      <c r="F12" s="437">
        <v>2259</v>
      </c>
      <c r="G12" s="437">
        <v>15949</v>
      </c>
      <c r="K12" s="439" t="s">
        <v>104</v>
      </c>
      <c r="O12">
        <f t="shared" si="0"/>
        <v>9650</v>
      </c>
      <c r="P12">
        <f t="shared" si="1"/>
        <v>4040</v>
      </c>
      <c r="Q12" s="511">
        <f t="shared" si="2"/>
        <v>9650</v>
      </c>
      <c r="R12" s="511">
        <f t="shared" si="3"/>
        <v>4040</v>
      </c>
      <c r="S12" s="511">
        <f t="shared" si="2"/>
        <v>9650</v>
      </c>
      <c r="T12" s="511">
        <f t="shared" ref="T12:V12" si="12">IF(ISBLANK($M12),SUM($E12),IF($M12&gt;S$4,SUM($E12),""))</f>
        <v>4040</v>
      </c>
      <c r="U12" s="511">
        <f t="shared" si="2"/>
        <v>9650</v>
      </c>
      <c r="V12" s="511">
        <f t="shared" si="12"/>
        <v>4040</v>
      </c>
      <c r="W12" s="511">
        <f t="shared" si="2"/>
        <v>9650</v>
      </c>
      <c r="X12" s="511">
        <f t="shared" ref="X12" si="13">IF(ISBLANK($M12),SUM($E12),IF($M12&gt;W$4,SUM($E12),""))</f>
        <v>4040</v>
      </c>
    </row>
    <row r="13" spans="2:24" x14ac:dyDescent="0.25">
      <c r="B13" s="439" t="s">
        <v>105</v>
      </c>
      <c r="C13" s="437">
        <v>24645</v>
      </c>
      <c r="D13" s="437">
        <v>21110</v>
      </c>
      <c r="E13" s="437">
        <v>9516</v>
      </c>
      <c r="F13" s="437">
        <v>10342</v>
      </c>
      <c r="G13" s="437">
        <v>65613</v>
      </c>
      <c r="K13" s="439" t="s">
        <v>105</v>
      </c>
      <c r="L13">
        <v>2038</v>
      </c>
      <c r="M13">
        <v>2022</v>
      </c>
      <c r="O13">
        <f t="shared" si="0"/>
        <v>45755</v>
      </c>
      <c r="P13">
        <f t="shared" si="1"/>
        <v>9516</v>
      </c>
      <c r="Q13" s="511">
        <f t="shared" si="2"/>
        <v>45755</v>
      </c>
      <c r="R13" s="511">
        <f t="shared" si="3"/>
        <v>9516</v>
      </c>
      <c r="S13" s="511">
        <f t="shared" si="2"/>
        <v>45755</v>
      </c>
      <c r="T13" s="511" t="str">
        <f t="shared" ref="T13:V13" si="14">IF(ISBLANK($M13),SUM($E13),IF($M13&gt;S$4,SUM($E13),""))</f>
        <v/>
      </c>
      <c r="U13" s="511">
        <f t="shared" si="2"/>
        <v>45755</v>
      </c>
      <c r="V13" s="511" t="str">
        <f t="shared" si="14"/>
        <v/>
      </c>
      <c r="W13" s="511">
        <f>VLOOKUP(W4,[1]Auswertung!$C$3:$F$23,4,0)</f>
        <v>0</v>
      </c>
      <c r="X13" s="511" t="str">
        <f t="shared" ref="X13" si="15">IF(ISBLANK($M13),SUM($E13),IF($M13&gt;W$4,SUM($E13),""))</f>
        <v/>
      </c>
    </row>
    <row r="14" spans="2:24" x14ac:dyDescent="0.25">
      <c r="B14" s="439" t="s">
        <v>106</v>
      </c>
      <c r="C14" s="437">
        <v>3656</v>
      </c>
      <c r="D14" s="437">
        <v>0</v>
      </c>
      <c r="E14" s="437">
        <v>0</v>
      </c>
      <c r="F14" s="437">
        <v>7</v>
      </c>
      <c r="G14" s="437">
        <v>3663</v>
      </c>
      <c r="K14" s="439" t="s">
        <v>106</v>
      </c>
      <c r="L14">
        <v>2030</v>
      </c>
      <c r="O14">
        <f t="shared" si="0"/>
        <v>3656</v>
      </c>
      <c r="P14">
        <f t="shared" si="1"/>
        <v>0</v>
      </c>
      <c r="Q14" s="511">
        <f t="shared" si="2"/>
        <v>3656</v>
      </c>
      <c r="R14" s="511">
        <f t="shared" si="3"/>
        <v>0</v>
      </c>
      <c r="S14" s="511">
        <f t="shared" si="2"/>
        <v>3656</v>
      </c>
      <c r="T14" s="511">
        <f t="shared" ref="T14:V14" si="16">IF(ISBLANK($M14),SUM($E14),IF($M14&gt;S$4,SUM($E14),""))</f>
        <v>0</v>
      </c>
      <c r="U14" s="511" t="str">
        <f t="shared" si="2"/>
        <v/>
      </c>
      <c r="V14" s="511">
        <f t="shared" si="16"/>
        <v>0</v>
      </c>
      <c r="W14" s="511" t="str">
        <f t="shared" si="2"/>
        <v/>
      </c>
      <c r="X14" s="511">
        <f t="shared" ref="X14" si="17">IF(ISBLANK($M14),SUM($E14),IF($M14&gt;W$4,SUM($E14),""))</f>
        <v>0</v>
      </c>
    </row>
    <row r="15" spans="2:24" x14ac:dyDescent="0.25">
      <c r="B15" s="439" t="s">
        <v>199</v>
      </c>
      <c r="C15" s="437">
        <v>0</v>
      </c>
      <c r="D15" s="437">
        <v>0</v>
      </c>
      <c r="E15" s="437">
        <v>0</v>
      </c>
      <c r="F15" s="437">
        <v>9</v>
      </c>
      <c r="G15" s="437">
        <v>9</v>
      </c>
      <c r="K15" s="439" t="s">
        <v>199</v>
      </c>
      <c r="O15">
        <f t="shared" si="0"/>
        <v>0</v>
      </c>
      <c r="P15">
        <f t="shared" si="1"/>
        <v>0</v>
      </c>
      <c r="Q15" s="511">
        <f t="shared" si="2"/>
        <v>0</v>
      </c>
      <c r="R15" s="511">
        <f t="shared" si="3"/>
        <v>0</v>
      </c>
      <c r="S15" s="511">
        <f t="shared" si="2"/>
        <v>0</v>
      </c>
      <c r="T15" s="511">
        <f t="shared" ref="T15:V15" si="18">IF(ISBLANK($M15),SUM($E15),IF($M15&gt;S$4,SUM($E15),""))</f>
        <v>0</v>
      </c>
      <c r="U15" s="511">
        <f t="shared" si="2"/>
        <v>0</v>
      </c>
      <c r="V15" s="511">
        <f t="shared" si="18"/>
        <v>0</v>
      </c>
      <c r="W15" s="511">
        <f t="shared" si="2"/>
        <v>0</v>
      </c>
      <c r="X15" s="511">
        <f t="shared" ref="X15" si="19">IF(ISBLANK($M15),SUM($E15),IF($M15&gt;W$4,SUM($E15),""))</f>
        <v>0</v>
      </c>
    </row>
    <row r="16" spans="2:24" x14ac:dyDescent="0.25">
      <c r="B16" s="439" t="s">
        <v>107</v>
      </c>
      <c r="C16" s="437">
        <v>8975</v>
      </c>
      <c r="D16" s="437">
        <v>1056</v>
      </c>
      <c r="E16" s="437">
        <v>7117</v>
      </c>
      <c r="F16" s="437">
        <v>20378</v>
      </c>
      <c r="G16" s="437">
        <v>37526</v>
      </c>
      <c r="K16" s="439" t="s">
        <v>107</v>
      </c>
      <c r="L16">
        <v>2030</v>
      </c>
      <c r="O16">
        <f t="shared" si="0"/>
        <v>10031</v>
      </c>
      <c r="P16">
        <f t="shared" si="1"/>
        <v>7117</v>
      </c>
      <c r="Q16" s="511">
        <f t="shared" si="2"/>
        <v>10031</v>
      </c>
      <c r="R16" s="511">
        <f t="shared" si="3"/>
        <v>7117</v>
      </c>
      <c r="S16" s="511">
        <f t="shared" si="2"/>
        <v>10031</v>
      </c>
      <c r="T16" s="511">
        <f>IF(ISBLANK($M16),SUM($E16),IF($M16&gt;S$4,SUM($E16),""))</f>
        <v>7117</v>
      </c>
      <c r="U16" s="511" t="str">
        <f t="shared" si="2"/>
        <v/>
      </c>
      <c r="V16" s="511">
        <f>IF(ISBLANK($M16),SUM($E16),IF($M16&gt;U$4,SUM($E16),""))</f>
        <v>7117</v>
      </c>
      <c r="W16" s="511" t="str">
        <f t="shared" si="2"/>
        <v/>
      </c>
      <c r="X16" s="511">
        <f>IF(ISBLANK($M16),SUM($E16),IF($M16&gt;W$4,SUM($E16),""))</f>
        <v>7117</v>
      </c>
    </row>
    <row r="17" spans="2:24" x14ac:dyDescent="0.25">
      <c r="B17" s="439" t="s">
        <v>108</v>
      </c>
      <c r="C17" s="437">
        <v>2278</v>
      </c>
      <c r="D17" s="437">
        <v>0</v>
      </c>
      <c r="E17" s="437">
        <v>2785</v>
      </c>
      <c r="F17" s="437">
        <v>3148</v>
      </c>
      <c r="G17" s="437">
        <v>8211</v>
      </c>
      <c r="K17" s="439" t="s">
        <v>108</v>
      </c>
      <c r="L17">
        <v>2029</v>
      </c>
      <c r="O17">
        <f t="shared" si="0"/>
        <v>2278</v>
      </c>
      <c r="P17">
        <f t="shared" si="1"/>
        <v>2785</v>
      </c>
      <c r="Q17" s="511">
        <f t="shared" si="2"/>
        <v>2278</v>
      </c>
      <c r="R17" s="511">
        <f t="shared" si="3"/>
        <v>2785</v>
      </c>
      <c r="S17" s="511">
        <f t="shared" si="2"/>
        <v>2278</v>
      </c>
      <c r="T17" s="511">
        <f t="shared" ref="T17:V17" si="20">IF(ISBLANK($M17),SUM($E17),IF($M17&gt;S$4,SUM($E17),""))</f>
        <v>2785</v>
      </c>
      <c r="U17" s="511" t="str">
        <f t="shared" si="2"/>
        <v/>
      </c>
      <c r="V17" s="511">
        <f t="shared" si="20"/>
        <v>2785</v>
      </c>
      <c r="W17" s="511" t="str">
        <f t="shared" si="2"/>
        <v/>
      </c>
      <c r="X17" s="511">
        <f t="shared" ref="X17" si="21">IF(ISBLANK($M17),SUM($E17),IF($M17&gt;W$4,SUM($E17),""))</f>
        <v>2785</v>
      </c>
    </row>
    <row r="18" spans="2:24" x14ac:dyDescent="0.25">
      <c r="B18" s="439" t="s">
        <v>110</v>
      </c>
      <c r="C18" s="437">
        <v>10860</v>
      </c>
      <c r="D18" s="437">
        <v>0</v>
      </c>
      <c r="E18" s="437">
        <v>9160</v>
      </c>
      <c r="F18" s="437">
        <v>3793</v>
      </c>
      <c r="G18" s="437">
        <v>23813</v>
      </c>
      <c r="K18" s="439" t="s">
        <v>110</v>
      </c>
      <c r="L18">
        <v>2025</v>
      </c>
      <c r="O18">
        <f t="shared" si="0"/>
        <v>10860</v>
      </c>
      <c r="P18">
        <f t="shared" si="1"/>
        <v>9160</v>
      </c>
      <c r="Q18" s="511">
        <f t="shared" si="2"/>
        <v>10860</v>
      </c>
      <c r="R18" s="511">
        <f t="shared" si="3"/>
        <v>9160</v>
      </c>
      <c r="S18" s="511" t="str">
        <f t="shared" si="2"/>
        <v/>
      </c>
      <c r="T18" s="511">
        <f t="shared" ref="T18:V18" si="22">IF(ISBLANK($M18),SUM($E18),IF($M18&gt;S$4,SUM($E18),""))</f>
        <v>9160</v>
      </c>
      <c r="U18" s="511" t="str">
        <f t="shared" si="2"/>
        <v/>
      </c>
      <c r="V18" s="511">
        <f t="shared" si="22"/>
        <v>9160</v>
      </c>
      <c r="W18" s="511" t="str">
        <f t="shared" si="2"/>
        <v/>
      </c>
      <c r="X18" s="511">
        <f t="shared" ref="X18" si="23">IF(ISBLANK($M18),SUM($E18),IF($M18&gt;W$4,SUM($E18),""))</f>
        <v>9160</v>
      </c>
    </row>
    <row r="19" spans="2:24" x14ac:dyDescent="0.25">
      <c r="B19" s="439" t="s">
        <v>111</v>
      </c>
      <c r="C19" s="437">
        <v>0</v>
      </c>
      <c r="D19" s="437">
        <v>3904</v>
      </c>
      <c r="E19" s="437">
        <v>0</v>
      </c>
      <c r="F19" s="437">
        <v>3399</v>
      </c>
      <c r="G19" s="437">
        <v>7303</v>
      </c>
      <c r="K19" s="439" t="s">
        <v>111</v>
      </c>
      <c r="L19">
        <v>2028</v>
      </c>
      <c r="O19">
        <f t="shared" si="0"/>
        <v>3904</v>
      </c>
      <c r="P19">
        <f t="shared" si="1"/>
        <v>0</v>
      </c>
      <c r="Q19" s="511">
        <f t="shared" si="2"/>
        <v>3904</v>
      </c>
      <c r="R19" s="511">
        <f t="shared" si="3"/>
        <v>0</v>
      </c>
      <c r="S19" s="511">
        <f t="shared" si="2"/>
        <v>3904</v>
      </c>
      <c r="T19" s="511">
        <f t="shared" ref="T19:V19" si="24">IF(ISBLANK($M19),SUM($E19),IF($M19&gt;S$4,SUM($E19),""))</f>
        <v>0</v>
      </c>
      <c r="U19" s="511" t="str">
        <f t="shared" si="2"/>
        <v/>
      </c>
      <c r="V19" s="511">
        <f t="shared" si="24"/>
        <v>0</v>
      </c>
      <c r="W19" s="511" t="str">
        <f t="shared" si="2"/>
        <v/>
      </c>
      <c r="X19" s="511">
        <f t="shared" ref="X19" si="25">IF(ISBLANK($M19),SUM($E19),IF($M19&gt;W$4,SUM($E19),""))</f>
        <v>0</v>
      </c>
    </row>
    <row r="20" spans="2:24" x14ac:dyDescent="0.25">
      <c r="B20" s="439" t="s">
        <v>112</v>
      </c>
      <c r="C20" s="437">
        <v>325</v>
      </c>
      <c r="D20" s="437">
        <v>0</v>
      </c>
      <c r="E20" s="437">
        <v>0</v>
      </c>
      <c r="F20" s="437">
        <v>2095</v>
      </c>
      <c r="G20" s="437">
        <v>2420</v>
      </c>
      <c r="K20" s="439" t="s">
        <v>112</v>
      </c>
      <c r="O20">
        <f t="shared" si="0"/>
        <v>325</v>
      </c>
      <c r="P20">
        <f t="shared" si="1"/>
        <v>0</v>
      </c>
      <c r="Q20" s="511">
        <f t="shared" si="2"/>
        <v>325</v>
      </c>
      <c r="R20" s="511">
        <f t="shared" si="3"/>
        <v>0</v>
      </c>
      <c r="S20" s="511">
        <f t="shared" si="2"/>
        <v>325</v>
      </c>
      <c r="T20" s="511">
        <f t="shared" ref="T20:V20" si="26">IF(ISBLANK($M20),SUM($E20),IF($M20&gt;S$4,SUM($E20),""))</f>
        <v>0</v>
      </c>
      <c r="U20" s="511">
        <f t="shared" si="2"/>
        <v>325</v>
      </c>
      <c r="V20" s="511">
        <f t="shared" si="26"/>
        <v>0</v>
      </c>
      <c r="W20" s="511">
        <f t="shared" si="2"/>
        <v>325</v>
      </c>
      <c r="X20" s="511">
        <f t="shared" ref="X20" si="27">IF(ISBLANK($M20),SUM($E20),IF($M20&gt;W$4,SUM($E20),""))</f>
        <v>0</v>
      </c>
    </row>
    <row r="21" spans="2:24" x14ac:dyDescent="0.25">
      <c r="B21" s="439" t="s">
        <v>113</v>
      </c>
      <c r="C21" s="437">
        <v>0</v>
      </c>
      <c r="D21" s="437">
        <v>1049</v>
      </c>
      <c r="E21" s="437">
        <v>1899</v>
      </c>
      <c r="F21" s="437">
        <v>56</v>
      </c>
      <c r="G21" s="437">
        <v>3004</v>
      </c>
      <c r="K21" s="439" t="s">
        <v>113</v>
      </c>
      <c r="L21">
        <v>2030</v>
      </c>
      <c r="O21">
        <f t="shared" si="0"/>
        <v>1049</v>
      </c>
      <c r="P21">
        <f t="shared" si="1"/>
        <v>1899</v>
      </c>
      <c r="Q21" s="511">
        <f t="shared" si="2"/>
        <v>1049</v>
      </c>
      <c r="R21" s="511">
        <f t="shared" si="3"/>
        <v>1899</v>
      </c>
      <c r="S21" s="511">
        <f t="shared" si="2"/>
        <v>1049</v>
      </c>
      <c r="T21" s="511">
        <f t="shared" ref="T21:V21" si="28">IF(ISBLANK($M21),SUM($E21),IF($M21&gt;S$4,SUM($E21),""))</f>
        <v>1899</v>
      </c>
      <c r="U21" s="511" t="str">
        <f t="shared" si="2"/>
        <v/>
      </c>
      <c r="V21" s="511">
        <f t="shared" si="28"/>
        <v>1899</v>
      </c>
      <c r="W21" s="511" t="str">
        <f t="shared" si="2"/>
        <v/>
      </c>
      <c r="X21" s="511">
        <f t="shared" ref="X21" si="29">IF(ISBLANK($M21),SUM($E21),IF($M21&gt;W$4,SUM($E21),""))</f>
        <v>1899</v>
      </c>
    </row>
    <row r="22" spans="2:24" x14ac:dyDescent="0.25">
      <c r="B22" s="439" t="s">
        <v>114</v>
      </c>
      <c r="C22" s="437">
        <v>855</v>
      </c>
      <c r="D22" s="437">
        <v>0</v>
      </c>
      <c r="E22" s="437">
        <v>0</v>
      </c>
      <c r="F22" s="437">
        <v>530</v>
      </c>
      <c r="G22" s="437">
        <v>1385</v>
      </c>
      <c r="K22" s="439" t="s">
        <v>114</v>
      </c>
      <c r="L22">
        <v>2025</v>
      </c>
      <c r="O22">
        <f t="shared" si="0"/>
        <v>855</v>
      </c>
      <c r="P22">
        <f t="shared" si="1"/>
        <v>0</v>
      </c>
      <c r="Q22" s="511">
        <f t="shared" si="2"/>
        <v>855</v>
      </c>
      <c r="R22" s="511">
        <f t="shared" si="3"/>
        <v>0</v>
      </c>
      <c r="S22" s="511" t="str">
        <f t="shared" si="2"/>
        <v/>
      </c>
      <c r="T22" s="511">
        <f t="shared" ref="T22:V22" si="30">IF(ISBLANK($M22),SUM($E22),IF($M22&gt;S$4,SUM($E22),""))</f>
        <v>0</v>
      </c>
      <c r="U22" s="511" t="str">
        <f t="shared" si="2"/>
        <v/>
      </c>
      <c r="V22" s="511">
        <f t="shared" si="30"/>
        <v>0</v>
      </c>
      <c r="W22" s="511" t="str">
        <f t="shared" si="2"/>
        <v/>
      </c>
      <c r="X22" s="511">
        <f t="shared" ref="X22" si="31">IF(ISBLANK($M22),SUM($E22),IF($M22&gt;W$4,SUM($E22),""))</f>
        <v>0</v>
      </c>
    </row>
    <row r="23" spans="2:24" x14ac:dyDescent="0.25">
      <c r="B23" s="439" t="s">
        <v>115</v>
      </c>
      <c r="C23" s="437">
        <v>6444</v>
      </c>
      <c r="D23" s="437">
        <v>0</v>
      </c>
      <c r="E23" s="437">
        <v>0</v>
      </c>
      <c r="F23" s="437">
        <v>26698</v>
      </c>
      <c r="G23" s="437">
        <v>33142</v>
      </c>
      <c r="K23" s="439" t="s">
        <v>115</v>
      </c>
      <c r="L23">
        <v>2025</v>
      </c>
      <c r="O23">
        <f t="shared" si="0"/>
        <v>6444</v>
      </c>
      <c r="P23">
        <f t="shared" si="1"/>
        <v>0</v>
      </c>
      <c r="Q23" s="511">
        <f t="shared" si="2"/>
        <v>6444</v>
      </c>
      <c r="R23" s="511">
        <f t="shared" si="3"/>
        <v>0</v>
      </c>
      <c r="S23" s="511" t="str">
        <f t="shared" si="2"/>
        <v/>
      </c>
      <c r="T23" s="511">
        <f t="shared" ref="T23:V23" si="32">IF(ISBLANK($M23),SUM($E23),IF($M23&gt;S$4,SUM($E23),""))</f>
        <v>0</v>
      </c>
      <c r="U23" s="511" t="str">
        <f t="shared" si="2"/>
        <v/>
      </c>
      <c r="V23" s="511">
        <f t="shared" si="32"/>
        <v>0</v>
      </c>
      <c r="W23" s="511" t="str">
        <f t="shared" si="2"/>
        <v/>
      </c>
      <c r="X23" s="511">
        <f t="shared" ref="X23" si="33">IF(ISBLANK($M23),SUM($E23),IF($M23&gt;W$4,SUM($E23),""))</f>
        <v>0</v>
      </c>
    </row>
    <row r="24" spans="2:24" x14ac:dyDescent="0.25">
      <c r="B24" s="439" t="s">
        <v>116</v>
      </c>
      <c r="C24" s="437">
        <v>0</v>
      </c>
      <c r="D24" s="437">
        <v>0</v>
      </c>
      <c r="E24" s="437">
        <v>0</v>
      </c>
      <c r="F24" s="437">
        <v>1027</v>
      </c>
      <c r="G24" s="437">
        <v>1027</v>
      </c>
      <c r="K24" s="439" t="s">
        <v>116</v>
      </c>
      <c r="O24">
        <f t="shared" si="0"/>
        <v>0</v>
      </c>
      <c r="P24">
        <f t="shared" si="1"/>
        <v>0</v>
      </c>
      <c r="Q24" s="511">
        <f t="shared" si="2"/>
        <v>0</v>
      </c>
      <c r="R24" s="511">
        <f t="shared" si="3"/>
        <v>0</v>
      </c>
      <c r="S24" s="511">
        <f t="shared" si="2"/>
        <v>0</v>
      </c>
      <c r="T24" s="511">
        <f t="shared" ref="T24:V24" si="34">IF(ISBLANK($M24),SUM($E24),IF($M24&gt;S$4,SUM($E24),""))</f>
        <v>0</v>
      </c>
      <c r="U24" s="511">
        <f t="shared" si="2"/>
        <v>0</v>
      </c>
      <c r="V24" s="511">
        <f t="shared" si="34"/>
        <v>0</v>
      </c>
      <c r="W24" s="511">
        <f t="shared" si="2"/>
        <v>0</v>
      </c>
      <c r="X24" s="511">
        <f t="shared" ref="X24" si="35">IF(ISBLANK($M24),SUM($E24),IF($M24&gt;W$4,SUM($E24),""))</f>
        <v>0</v>
      </c>
    </row>
    <row r="25" spans="2:24" x14ac:dyDescent="0.25">
      <c r="B25" s="439" t="s">
        <v>117</v>
      </c>
      <c r="C25" s="437">
        <v>0</v>
      </c>
      <c r="D25" s="437">
        <v>0</v>
      </c>
      <c r="E25" s="437">
        <v>0</v>
      </c>
      <c r="F25" s="437">
        <v>1328</v>
      </c>
      <c r="G25" s="437">
        <v>1328</v>
      </c>
      <c r="K25" s="439" t="s">
        <v>117</v>
      </c>
      <c r="O25">
        <f t="shared" si="0"/>
        <v>0</v>
      </c>
      <c r="P25">
        <f t="shared" si="1"/>
        <v>0</v>
      </c>
      <c r="Q25" s="511">
        <f t="shared" si="2"/>
        <v>0</v>
      </c>
      <c r="R25" s="511">
        <f t="shared" si="3"/>
        <v>0</v>
      </c>
      <c r="S25" s="511">
        <f t="shared" si="2"/>
        <v>0</v>
      </c>
      <c r="T25" s="511">
        <f t="shared" ref="T25:V25" si="36">IF(ISBLANK($M25),SUM($E25),IF($M25&gt;S$4,SUM($E25),""))</f>
        <v>0</v>
      </c>
      <c r="U25" s="511">
        <f t="shared" si="2"/>
        <v>0</v>
      </c>
      <c r="V25" s="511">
        <f t="shared" si="36"/>
        <v>0</v>
      </c>
      <c r="W25" s="511">
        <f t="shared" si="2"/>
        <v>0</v>
      </c>
      <c r="X25" s="511">
        <f t="shared" ref="X25" si="37">IF(ISBLANK($M25),SUM($E25),IF($M25&gt;W$4,SUM($E25),""))</f>
        <v>0</v>
      </c>
    </row>
    <row r="26" spans="2:24" x14ac:dyDescent="0.25">
      <c r="B26" s="439" t="s">
        <v>201</v>
      </c>
      <c r="C26" s="437">
        <v>0</v>
      </c>
      <c r="D26" s="437">
        <v>0</v>
      </c>
      <c r="E26" s="437">
        <v>0</v>
      </c>
      <c r="F26" s="437">
        <v>1557</v>
      </c>
      <c r="G26" s="437">
        <v>1557</v>
      </c>
      <c r="K26" s="439" t="s">
        <v>201</v>
      </c>
      <c r="O26">
        <f t="shared" si="0"/>
        <v>0</v>
      </c>
      <c r="P26">
        <f t="shared" si="1"/>
        <v>0</v>
      </c>
      <c r="Q26" s="511">
        <f t="shared" si="2"/>
        <v>0</v>
      </c>
      <c r="R26" s="511">
        <f t="shared" si="3"/>
        <v>0</v>
      </c>
      <c r="S26" s="511">
        <f t="shared" si="2"/>
        <v>0</v>
      </c>
      <c r="T26" s="511">
        <f t="shared" ref="T26:V26" si="38">IF(ISBLANK($M26),SUM($E26),IF($M26&gt;S$4,SUM($E26),""))</f>
        <v>0</v>
      </c>
      <c r="U26" s="511">
        <f t="shared" si="2"/>
        <v>0</v>
      </c>
      <c r="V26" s="511">
        <f t="shared" si="38"/>
        <v>0</v>
      </c>
      <c r="W26" s="511">
        <f t="shared" si="2"/>
        <v>0</v>
      </c>
      <c r="X26" s="511">
        <f t="shared" ref="X26" si="39">IF(ISBLANK($M26),SUM($E26),IF($M26&gt;W$4,SUM($E26),""))</f>
        <v>0</v>
      </c>
    </row>
    <row r="27" spans="2:24" x14ac:dyDescent="0.25">
      <c r="B27" s="439" t="s">
        <v>583</v>
      </c>
      <c r="C27" s="437"/>
      <c r="D27" s="437"/>
      <c r="E27" s="437"/>
      <c r="F27" s="437">
        <v>0</v>
      </c>
      <c r="G27" s="437">
        <v>0</v>
      </c>
      <c r="K27" s="439" t="s">
        <v>120</v>
      </c>
      <c r="L27">
        <v>2029</v>
      </c>
      <c r="O27">
        <f t="shared" si="0"/>
        <v>0</v>
      </c>
      <c r="P27">
        <f t="shared" si="1"/>
        <v>486</v>
      </c>
      <c r="Q27" s="511">
        <f t="shared" si="2"/>
        <v>0</v>
      </c>
      <c r="R27" s="511">
        <f t="shared" si="3"/>
        <v>0</v>
      </c>
      <c r="S27" s="511">
        <f t="shared" si="2"/>
        <v>0</v>
      </c>
      <c r="T27" s="511">
        <f t="shared" ref="T27:V27" si="40">IF(ISBLANK($M27),SUM($E27),IF($M27&gt;S$4,SUM($E27),""))</f>
        <v>0</v>
      </c>
      <c r="U27" s="511" t="str">
        <f t="shared" si="2"/>
        <v/>
      </c>
      <c r="V27" s="511">
        <f t="shared" si="40"/>
        <v>0</v>
      </c>
      <c r="W27" s="511" t="str">
        <f t="shared" si="2"/>
        <v/>
      </c>
      <c r="X27" s="511">
        <f t="shared" ref="X27" si="41">IF(ISBLANK($M27),SUM($E27),IF($M27&gt;W$4,SUM($E27),""))</f>
        <v>0</v>
      </c>
    </row>
    <row r="28" spans="2:24" x14ac:dyDescent="0.25">
      <c r="B28" s="439" t="s">
        <v>120</v>
      </c>
      <c r="C28" s="437">
        <v>4631</v>
      </c>
      <c r="D28" s="437">
        <v>0</v>
      </c>
      <c r="E28" s="437">
        <v>486</v>
      </c>
      <c r="F28" s="437">
        <v>38</v>
      </c>
      <c r="G28" s="437">
        <v>5155</v>
      </c>
      <c r="K28" s="439" t="s">
        <v>121</v>
      </c>
      <c r="O28">
        <f t="shared" si="0"/>
        <v>4631</v>
      </c>
      <c r="P28">
        <f t="shared" si="1"/>
        <v>0</v>
      </c>
      <c r="Q28" s="511">
        <f t="shared" si="2"/>
        <v>4631</v>
      </c>
      <c r="R28" s="511">
        <f t="shared" si="3"/>
        <v>486</v>
      </c>
      <c r="S28" s="511">
        <f t="shared" si="2"/>
        <v>4631</v>
      </c>
      <c r="T28" s="511">
        <f t="shared" ref="T28:V28" si="42">IF(ISBLANK($M28),SUM($E28),IF($M28&gt;S$4,SUM($E28),""))</f>
        <v>486</v>
      </c>
      <c r="U28" s="511">
        <f t="shared" si="2"/>
        <v>4631</v>
      </c>
      <c r="V28" s="511">
        <f t="shared" si="42"/>
        <v>486</v>
      </c>
      <c r="W28" s="511">
        <f t="shared" si="2"/>
        <v>4631</v>
      </c>
      <c r="X28" s="511">
        <f t="shared" ref="X28" si="43">IF(ISBLANK($M28),SUM($E28),IF($M28&gt;W$4,SUM($E28),""))</f>
        <v>486</v>
      </c>
    </row>
    <row r="29" spans="2:24" x14ac:dyDescent="0.25">
      <c r="B29" s="439" t="s">
        <v>121</v>
      </c>
      <c r="C29" s="437">
        <v>0</v>
      </c>
      <c r="D29" s="437">
        <v>0</v>
      </c>
      <c r="E29" s="437">
        <v>0</v>
      </c>
      <c r="F29" s="437">
        <v>32574</v>
      </c>
      <c r="G29" s="437">
        <v>32574</v>
      </c>
      <c r="K29" s="439" t="s">
        <v>122</v>
      </c>
      <c r="O29">
        <f t="shared" si="0"/>
        <v>0</v>
      </c>
      <c r="P29">
        <f t="shared" si="1"/>
        <v>0</v>
      </c>
      <c r="Q29" s="511">
        <f t="shared" si="2"/>
        <v>0</v>
      </c>
      <c r="R29" s="511">
        <f t="shared" si="3"/>
        <v>0</v>
      </c>
      <c r="S29" s="511">
        <f t="shared" si="2"/>
        <v>0</v>
      </c>
      <c r="T29" s="511">
        <f t="shared" ref="T29:V29" si="44">IF(ISBLANK($M29),SUM($E29),IF($M29&gt;S$4,SUM($E29),""))</f>
        <v>0</v>
      </c>
      <c r="U29" s="511">
        <f t="shared" si="2"/>
        <v>0</v>
      </c>
      <c r="V29" s="511">
        <f t="shared" si="44"/>
        <v>0</v>
      </c>
      <c r="W29" s="511">
        <f t="shared" si="2"/>
        <v>0</v>
      </c>
      <c r="X29" s="511">
        <f t="shared" ref="X29" si="45">IF(ISBLANK($M29),SUM($E29),IF($M29&gt;W$4,SUM($E29),""))</f>
        <v>0</v>
      </c>
    </row>
    <row r="30" spans="2:24" x14ac:dyDescent="0.25">
      <c r="B30" s="439" t="s">
        <v>122</v>
      </c>
      <c r="C30" s="437">
        <v>19195</v>
      </c>
      <c r="D30" s="437">
        <v>8049</v>
      </c>
      <c r="E30" s="437">
        <v>0</v>
      </c>
      <c r="F30" s="437">
        <v>2355</v>
      </c>
      <c r="G30" s="437">
        <v>29599</v>
      </c>
      <c r="K30" s="439" t="s">
        <v>123</v>
      </c>
      <c r="L30">
        <v>2030</v>
      </c>
      <c r="O30">
        <f t="shared" si="0"/>
        <v>27244</v>
      </c>
      <c r="P30">
        <f t="shared" si="1"/>
        <v>0</v>
      </c>
      <c r="Q30" s="511">
        <f t="shared" si="2"/>
        <v>27244</v>
      </c>
      <c r="R30" s="511">
        <f t="shared" si="3"/>
        <v>0</v>
      </c>
      <c r="S30" s="511">
        <f t="shared" si="2"/>
        <v>27244</v>
      </c>
      <c r="T30" s="511">
        <f t="shared" ref="T30:V30" si="46">IF(ISBLANK($M30),SUM($E30),IF($M30&gt;S$4,SUM($E30),""))</f>
        <v>0</v>
      </c>
      <c r="U30" s="511" t="str">
        <f t="shared" si="2"/>
        <v/>
      </c>
      <c r="V30" s="511">
        <f t="shared" si="46"/>
        <v>0</v>
      </c>
      <c r="W30" s="511" t="str">
        <f t="shared" si="2"/>
        <v/>
      </c>
      <c r="X30" s="511">
        <f t="shared" ref="X30" si="47">IF(ISBLANK($M30),SUM($E30),IF($M30&gt;W$4,SUM($E30),""))</f>
        <v>0</v>
      </c>
    </row>
    <row r="31" spans="2:24" x14ac:dyDescent="0.25">
      <c r="B31" s="439" t="s">
        <v>123</v>
      </c>
      <c r="C31" s="437">
        <v>1756</v>
      </c>
      <c r="D31" s="437">
        <v>0</v>
      </c>
      <c r="E31" s="437">
        <v>0</v>
      </c>
      <c r="F31" s="437">
        <v>7215</v>
      </c>
      <c r="G31" s="437">
        <v>8971</v>
      </c>
      <c r="K31" s="439" t="s">
        <v>124</v>
      </c>
      <c r="O31">
        <f t="shared" si="0"/>
        <v>1756</v>
      </c>
      <c r="P31">
        <f t="shared" si="1"/>
        <v>1300</v>
      </c>
      <c r="Q31" s="511">
        <f t="shared" si="2"/>
        <v>1756</v>
      </c>
      <c r="R31" s="511">
        <f t="shared" si="3"/>
        <v>0</v>
      </c>
      <c r="S31" s="511">
        <f t="shared" si="2"/>
        <v>1756</v>
      </c>
      <c r="T31" s="511">
        <f t="shared" ref="T31:V31" si="48">IF(ISBLANK($M31),SUM($E31),IF($M31&gt;S$4,SUM($E31),""))</f>
        <v>0</v>
      </c>
      <c r="U31" s="511">
        <f t="shared" si="2"/>
        <v>1756</v>
      </c>
      <c r="V31" s="511">
        <f t="shared" si="48"/>
        <v>0</v>
      </c>
      <c r="W31" s="511">
        <f t="shared" si="2"/>
        <v>1756</v>
      </c>
      <c r="X31" s="511">
        <f t="shared" ref="X31" si="49">IF(ISBLANK($M31),SUM($E31),IF($M31&gt;W$4,SUM($E31),""))</f>
        <v>0</v>
      </c>
    </row>
    <row r="32" spans="2:24" x14ac:dyDescent="0.25">
      <c r="B32" s="439" t="s">
        <v>124</v>
      </c>
      <c r="C32" s="437">
        <v>1032</v>
      </c>
      <c r="D32" s="437">
        <v>3341</v>
      </c>
      <c r="E32" s="437">
        <v>1300</v>
      </c>
      <c r="F32" s="437">
        <v>6329</v>
      </c>
      <c r="G32" s="437">
        <v>12002</v>
      </c>
      <c r="K32" s="439" t="s">
        <v>126</v>
      </c>
      <c r="L32">
        <v>2022</v>
      </c>
      <c r="O32">
        <f t="shared" si="0"/>
        <v>4373</v>
      </c>
      <c r="P32">
        <f t="shared" si="1"/>
        <v>8614</v>
      </c>
      <c r="Q32" s="511">
        <f t="shared" si="2"/>
        <v>4373</v>
      </c>
      <c r="R32" s="511">
        <f t="shared" si="3"/>
        <v>1300</v>
      </c>
      <c r="S32" s="511" t="str">
        <f t="shared" si="2"/>
        <v/>
      </c>
      <c r="T32" s="511">
        <f t="shared" ref="T32:V32" si="50">IF(ISBLANK($M32),SUM($E32),IF($M32&gt;S$4,SUM($E32),""))</f>
        <v>1300</v>
      </c>
      <c r="U32" s="511" t="str">
        <f t="shared" si="2"/>
        <v/>
      </c>
      <c r="V32" s="511">
        <f t="shared" si="50"/>
        <v>1300</v>
      </c>
      <c r="W32" s="511" t="str">
        <f t="shared" si="2"/>
        <v/>
      </c>
      <c r="X32" s="511">
        <f t="shared" ref="X32" si="51">IF(ISBLANK($M32),SUM($E32),IF($M32&gt;W$4,SUM($E32),""))</f>
        <v>1300</v>
      </c>
    </row>
    <row r="33" spans="2:24" x14ac:dyDescent="0.25">
      <c r="B33" s="439" t="s">
        <v>126</v>
      </c>
      <c r="C33" s="437">
        <v>205</v>
      </c>
      <c r="D33" s="437">
        <v>0</v>
      </c>
      <c r="E33" s="437">
        <v>8614</v>
      </c>
      <c r="F33" s="437">
        <v>16630</v>
      </c>
      <c r="G33" s="437">
        <v>25449</v>
      </c>
      <c r="K33" s="439" t="s">
        <v>127</v>
      </c>
      <c r="O33">
        <f t="shared" si="0"/>
        <v>205</v>
      </c>
      <c r="P33">
        <f t="shared" si="1"/>
        <v>696</v>
      </c>
      <c r="Q33" s="511">
        <f t="shared" si="2"/>
        <v>205</v>
      </c>
      <c r="R33" s="511">
        <f t="shared" si="3"/>
        <v>8614</v>
      </c>
      <c r="S33" s="511">
        <f t="shared" si="2"/>
        <v>205</v>
      </c>
      <c r="T33" s="511">
        <f t="shared" ref="T33:V33" si="52">IF(ISBLANK($M33),SUM($E33),IF($M33&gt;S$4,SUM($E33),""))</f>
        <v>8614</v>
      </c>
      <c r="U33" s="511">
        <f t="shared" si="2"/>
        <v>205</v>
      </c>
      <c r="V33" s="511">
        <f t="shared" si="52"/>
        <v>8614</v>
      </c>
      <c r="W33" s="511">
        <f t="shared" si="2"/>
        <v>205</v>
      </c>
      <c r="X33" s="511">
        <f t="shared" ref="X33" si="53">IF(ISBLANK($M33),SUM($E33),IF($M33&gt;W$4,SUM($E33),""))</f>
        <v>8614</v>
      </c>
    </row>
    <row r="34" spans="2:24" x14ac:dyDescent="0.25">
      <c r="B34" s="439" t="s">
        <v>127</v>
      </c>
      <c r="C34" s="437">
        <v>0</v>
      </c>
      <c r="D34" s="437">
        <v>981</v>
      </c>
      <c r="E34" s="437">
        <v>696</v>
      </c>
      <c r="F34" s="437">
        <v>1302</v>
      </c>
      <c r="G34" s="437">
        <v>2979</v>
      </c>
      <c r="K34" s="439" t="s">
        <v>128</v>
      </c>
      <c r="L34">
        <v>2023</v>
      </c>
      <c r="O34">
        <f t="shared" si="0"/>
        <v>981</v>
      </c>
      <c r="P34">
        <f t="shared" si="1"/>
        <v>1940</v>
      </c>
      <c r="Q34" s="511">
        <f t="shared" si="2"/>
        <v>981</v>
      </c>
      <c r="R34" s="511">
        <f t="shared" si="3"/>
        <v>696</v>
      </c>
      <c r="S34" s="511" t="str">
        <f t="shared" si="2"/>
        <v/>
      </c>
      <c r="T34" s="511">
        <f t="shared" ref="T34:V34" si="54">IF(ISBLANK($M34),SUM($E34),IF($M34&gt;S$4,SUM($E34),""))</f>
        <v>696</v>
      </c>
      <c r="U34" s="511" t="str">
        <f t="shared" si="2"/>
        <v/>
      </c>
      <c r="V34" s="511">
        <f t="shared" si="54"/>
        <v>696</v>
      </c>
      <c r="W34" s="511" t="str">
        <f t="shared" si="2"/>
        <v/>
      </c>
      <c r="X34" s="511">
        <f t="shared" ref="X34" si="55">IF(ISBLANK($M34),SUM($E34),IF($M34&gt;W$4,SUM($E34),""))</f>
        <v>696</v>
      </c>
    </row>
    <row r="35" spans="2:24" x14ac:dyDescent="0.25">
      <c r="B35" s="439" t="s">
        <v>128</v>
      </c>
      <c r="C35" s="437">
        <v>221</v>
      </c>
      <c r="D35" s="437">
        <v>345</v>
      </c>
      <c r="E35" s="437">
        <v>1940</v>
      </c>
      <c r="F35" s="437">
        <v>2542</v>
      </c>
      <c r="G35" s="437">
        <v>5048</v>
      </c>
      <c r="K35" s="439" t="s">
        <v>609</v>
      </c>
      <c r="O35" s="511">
        <f>SUM(O6:O34)</f>
        <v>141325</v>
      </c>
      <c r="P35" s="511">
        <f t="shared" ref="P35:V35" si="56">SUM(P6:P34)</f>
        <v>118552</v>
      </c>
      <c r="Q35" s="511">
        <f t="shared" si="56"/>
        <v>140727</v>
      </c>
      <c r="R35" s="511">
        <f t="shared" si="56"/>
        <v>116612</v>
      </c>
      <c r="S35" s="511">
        <f t="shared" si="56"/>
        <v>114217</v>
      </c>
      <c r="T35" s="511">
        <f t="shared" si="56"/>
        <v>101177</v>
      </c>
      <c r="U35" s="511">
        <f t="shared" si="56"/>
        <v>66055</v>
      </c>
      <c r="V35" s="511">
        <f t="shared" si="56"/>
        <v>101177</v>
      </c>
      <c r="W35" s="511">
        <f>SUM(W6:W34)</f>
        <v>20300</v>
      </c>
      <c r="X35" s="511">
        <f t="shared" ref="X35" si="57">SUM(X6:X34)</f>
        <v>101177</v>
      </c>
    </row>
    <row r="36" spans="2:24" x14ac:dyDescent="0.25">
      <c r="B36" s="439" t="s">
        <v>411</v>
      </c>
      <c r="C36" s="437">
        <v>90048</v>
      </c>
      <c r="D36" s="437">
        <v>51843</v>
      </c>
      <c r="E36" s="437">
        <v>121885</v>
      </c>
      <c r="F36" s="437">
        <v>200374</v>
      </c>
      <c r="G36" s="437">
        <v>464150</v>
      </c>
    </row>
    <row r="39" spans="2:24" x14ac:dyDescent="0.25">
      <c r="Q39" t="s">
        <v>154</v>
      </c>
      <c r="R39">
        <v>2018</v>
      </c>
      <c r="S39">
        <v>2020</v>
      </c>
      <c r="T39">
        <v>2025</v>
      </c>
      <c r="U39">
        <v>2030</v>
      </c>
      <c r="V39">
        <v>2040</v>
      </c>
    </row>
    <row r="40" spans="2:24" x14ac:dyDescent="0.25">
      <c r="K40" t="s">
        <v>610</v>
      </c>
      <c r="L40" t="s">
        <v>101</v>
      </c>
      <c r="M40">
        <f>COUNTIF($K$6:$K$34,L40)</f>
        <v>1</v>
      </c>
      <c r="P40" t="s">
        <v>638</v>
      </c>
      <c r="Q40" t="s">
        <v>639</v>
      </c>
      <c r="R40" s="512">
        <f>O35</f>
        <v>141325</v>
      </c>
      <c r="S40" s="512">
        <f>Q35</f>
        <v>140727</v>
      </c>
      <c r="T40" s="512">
        <f>S35</f>
        <v>114217</v>
      </c>
      <c r="U40" s="512">
        <f>U35</f>
        <v>66055</v>
      </c>
      <c r="V40" s="512">
        <f>W35</f>
        <v>20300</v>
      </c>
    </row>
    <row r="41" spans="2:24" x14ac:dyDescent="0.25">
      <c r="K41" t="s">
        <v>612</v>
      </c>
      <c r="L41" t="s">
        <v>102</v>
      </c>
      <c r="M41">
        <f t="shared" ref="M41:M67" si="58">COUNTIF($K$6:$K$34,L41)</f>
        <v>1</v>
      </c>
      <c r="P41" t="s">
        <v>638</v>
      </c>
      <c r="Q41" t="s">
        <v>57</v>
      </c>
      <c r="R41" s="512">
        <f>P35</f>
        <v>118552</v>
      </c>
      <c r="S41" s="512">
        <f>R35</f>
        <v>116612</v>
      </c>
      <c r="T41" s="512">
        <f>T35</f>
        <v>101177</v>
      </c>
      <c r="U41" s="512">
        <f>V35</f>
        <v>101177</v>
      </c>
      <c r="V41" s="512">
        <f>X35</f>
        <v>101177</v>
      </c>
    </row>
    <row r="42" spans="2:24" x14ac:dyDescent="0.25">
      <c r="K42" t="s">
        <v>614</v>
      </c>
      <c r="L42" t="s">
        <v>106</v>
      </c>
      <c r="M42">
        <f t="shared" si="58"/>
        <v>1</v>
      </c>
    </row>
    <row r="43" spans="2:24" x14ac:dyDescent="0.25">
      <c r="K43" t="s">
        <v>616</v>
      </c>
      <c r="L43" t="s">
        <v>105</v>
      </c>
      <c r="M43">
        <f t="shared" si="58"/>
        <v>1</v>
      </c>
    </row>
    <row r="44" spans="2:24" x14ac:dyDescent="0.25">
      <c r="K44" t="s">
        <v>618</v>
      </c>
      <c r="L44" t="s">
        <v>199</v>
      </c>
      <c r="M44">
        <f t="shared" si="58"/>
        <v>1</v>
      </c>
    </row>
    <row r="45" spans="2:24" x14ac:dyDescent="0.25">
      <c r="K45" t="s">
        <v>620</v>
      </c>
      <c r="L45" t="s">
        <v>108</v>
      </c>
      <c r="M45">
        <f t="shared" si="58"/>
        <v>1</v>
      </c>
    </row>
    <row r="46" spans="2:24" x14ac:dyDescent="0.25">
      <c r="K46" t="s">
        <v>622</v>
      </c>
      <c r="L46" t="s">
        <v>109</v>
      </c>
      <c r="M46">
        <f t="shared" si="58"/>
        <v>1</v>
      </c>
    </row>
    <row r="47" spans="2:24" x14ac:dyDescent="0.25">
      <c r="K47" t="s">
        <v>624</v>
      </c>
      <c r="L47" t="s">
        <v>111</v>
      </c>
      <c r="M47">
        <f t="shared" si="58"/>
        <v>1</v>
      </c>
    </row>
    <row r="48" spans="2:24" x14ac:dyDescent="0.25">
      <c r="K48" t="s">
        <v>626</v>
      </c>
      <c r="L48" t="s">
        <v>114</v>
      </c>
      <c r="M48">
        <f t="shared" si="58"/>
        <v>1</v>
      </c>
    </row>
    <row r="49" spans="11:13" x14ac:dyDescent="0.25">
      <c r="K49" t="s">
        <v>628</v>
      </c>
      <c r="L49" t="s">
        <v>115</v>
      </c>
      <c r="M49">
        <f t="shared" si="58"/>
        <v>1</v>
      </c>
    </row>
    <row r="50" spans="11:13" x14ac:dyDescent="0.25">
      <c r="K50" t="s">
        <v>630</v>
      </c>
      <c r="L50" t="s">
        <v>112</v>
      </c>
      <c r="M50">
        <f t="shared" si="58"/>
        <v>1</v>
      </c>
    </row>
    <row r="51" spans="11:13" x14ac:dyDescent="0.25">
      <c r="K51" t="s">
        <v>632</v>
      </c>
      <c r="L51" t="s">
        <v>201</v>
      </c>
      <c r="M51">
        <f t="shared" si="58"/>
        <v>1</v>
      </c>
    </row>
    <row r="52" spans="11:13" x14ac:dyDescent="0.25">
      <c r="K52" t="s">
        <v>634</v>
      </c>
      <c r="L52" t="s">
        <v>116</v>
      </c>
      <c r="M52">
        <f t="shared" si="58"/>
        <v>1</v>
      </c>
    </row>
    <row r="53" spans="11:13" x14ac:dyDescent="0.25">
      <c r="K53" t="s">
        <v>636</v>
      </c>
      <c r="L53" t="s">
        <v>117</v>
      </c>
      <c r="M53">
        <f t="shared" si="58"/>
        <v>1</v>
      </c>
    </row>
    <row r="54" spans="11:13" x14ac:dyDescent="0.25">
      <c r="K54" t="s">
        <v>611</v>
      </c>
      <c r="L54" t="s">
        <v>637</v>
      </c>
      <c r="M54">
        <f t="shared" si="58"/>
        <v>0</v>
      </c>
    </row>
    <row r="55" spans="11:13" x14ac:dyDescent="0.25">
      <c r="K55" t="s">
        <v>613</v>
      </c>
      <c r="L55" t="s">
        <v>120</v>
      </c>
      <c r="M55">
        <f t="shared" si="58"/>
        <v>1</v>
      </c>
    </row>
    <row r="56" spans="11:13" x14ac:dyDescent="0.25">
      <c r="K56" t="s">
        <v>615</v>
      </c>
      <c r="L56" t="s">
        <v>99</v>
      </c>
      <c r="M56">
        <f t="shared" si="58"/>
        <v>1</v>
      </c>
    </row>
    <row r="57" spans="11:13" x14ac:dyDescent="0.25">
      <c r="K57" t="s">
        <v>617</v>
      </c>
      <c r="L57" t="s">
        <v>122</v>
      </c>
      <c r="M57">
        <f t="shared" si="58"/>
        <v>1</v>
      </c>
    </row>
    <row r="58" spans="11:13" x14ac:dyDescent="0.25">
      <c r="K58" t="s">
        <v>619</v>
      </c>
      <c r="L58" t="s">
        <v>123</v>
      </c>
      <c r="M58">
        <f t="shared" si="58"/>
        <v>1</v>
      </c>
    </row>
    <row r="59" spans="11:13" x14ac:dyDescent="0.25">
      <c r="K59" t="s">
        <v>621</v>
      </c>
      <c r="L59" t="s">
        <v>124</v>
      </c>
      <c r="M59">
        <f t="shared" si="58"/>
        <v>1</v>
      </c>
    </row>
    <row r="60" spans="11:13" x14ac:dyDescent="0.25">
      <c r="K60" t="s">
        <v>623</v>
      </c>
      <c r="L60" t="s">
        <v>128</v>
      </c>
      <c r="M60">
        <f t="shared" si="58"/>
        <v>1</v>
      </c>
    </row>
    <row r="61" spans="11:13" x14ac:dyDescent="0.25">
      <c r="K61" t="s">
        <v>625</v>
      </c>
      <c r="L61" t="s">
        <v>127</v>
      </c>
      <c r="M61">
        <f t="shared" si="58"/>
        <v>1</v>
      </c>
    </row>
    <row r="62" spans="11:13" x14ac:dyDescent="0.25">
      <c r="K62" t="s">
        <v>627</v>
      </c>
      <c r="L62" t="s">
        <v>107</v>
      </c>
      <c r="M62">
        <f t="shared" si="58"/>
        <v>1</v>
      </c>
    </row>
    <row r="63" spans="11:13" x14ac:dyDescent="0.25">
      <c r="K63" t="s">
        <v>629</v>
      </c>
      <c r="L63" t="s">
        <v>126</v>
      </c>
      <c r="M63">
        <f t="shared" si="58"/>
        <v>1</v>
      </c>
    </row>
    <row r="64" spans="11:13" x14ac:dyDescent="0.25">
      <c r="K64" t="s">
        <v>631</v>
      </c>
      <c r="L64" t="s">
        <v>104</v>
      </c>
      <c r="M64">
        <f t="shared" si="58"/>
        <v>1</v>
      </c>
    </row>
    <row r="65" spans="11:13" x14ac:dyDescent="0.25">
      <c r="K65" t="s">
        <v>633</v>
      </c>
      <c r="L65" t="s">
        <v>113</v>
      </c>
      <c r="M65">
        <f t="shared" si="58"/>
        <v>1</v>
      </c>
    </row>
    <row r="66" spans="11:13" x14ac:dyDescent="0.25">
      <c r="K66" t="s">
        <v>635</v>
      </c>
      <c r="L66" t="s">
        <v>198</v>
      </c>
      <c r="M66">
        <f t="shared" si="58"/>
        <v>1</v>
      </c>
    </row>
    <row r="67" spans="11:13" x14ac:dyDescent="0.25">
      <c r="K67" t="s">
        <v>110</v>
      </c>
      <c r="L67" t="s">
        <v>110</v>
      </c>
      <c r="M67">
        <f t="shared" si="58"/>
        <v>1</v>
      </c>
    </row>
  </sheetData>
  <mergeCells count="5">
    <mergeCell ref="Q4:R4"/>
    <mergeCell ref="S4:T4"/>
    <mergeCell ref="U4:V4"/>
    <mergeCell ref="O4:P4"/>
    <mergeCell ref="W4:X4"/>
  </mergeCells>
  <conditionalFormatting sqref="K6:K35">
    <cfRule type="expression" dxfId="0" priority="1">
      <formula>$B$6=$K$6</formula>
    </cfRule>
  </conditionalFormatting>
  <pageMargins left="0.7" right="0.7" top="0.78740157499999996" bottom="0.78740157499999996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tabColor theme="2"/>
  </sheetPr>
  <dimension ref="A1"/>
  <sheetViews>
    <sheetView workbookViewId="0">
      <selection activeCell="K29" sqref="K2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tabColor theme="2"/>
  </sheetPr>
  <dimension ref="B4:BW44"/>
  <sheetViews>
    <sheetView zoomScale="55" zoomScaleNormal="55" workbookViewId="0">
      <selection activeCell="D6" sqref="D6"/>
    </sheetView>
  </sheetViews>
  <sheetFormatPr baseColWidth="10" defaultRowHeight="15" x14ac:dyDescent="0.25"/>
  <cols>
    <col min="2" max="75" width="11.42578125" style="66"/>
  </cols>
  <sheetData>
    <row r="4" spans="2:39" ht="32.25" x14ac:dyDescent="0.25">
      <c r="B4" s="67" t="s">
        <v>192</v>
      </c>
      <c r="C4" s="86" t="s">
        <v>195</v>
      </c>
      <c r="D4" s="86" t="s">
        <v>206</v>
      </c>
      <c r="E4" s="86" t="s">
        <v>211</v>
      </c>
      <c r="F4" s="18" t="s">
        <v>207</v>
      </c>
      <c r="G4" s="21" t="s">
        <v>208</v>
      </c>
      <c r="H4" s="89" t="s">
        <v>210</v>
      </c>
      <c r="I4" s="90" t="s">
        <v>209</v>
      </c>
      <c r="J4" s="91"/>
      <c r="L4" s="67" t="s">
        <v>197</v>
      </c>
      <c r="M4" s="86" t="s">
        <v>195</v>
      </c>
      <c r="N4" s="86" t="s">
        <v>206</v>
      </c>
      <c r="P4" s="67" t="s">
        <v>197</v>
      </c>
      <c r="Q4" s="86" t="s">
        <v>195</v>
      </c>
      <c r="R4" s="86" t="s">
        <v>206</v>
      </c>
      <c r="S4" s="18" t="s">
        <v>207</v>
      </c>
      <c r="T4" s="89" t="s">
        <v>210</v>
      </c>
      <c r="V4" s="87" t="s">
        <v>192</v>
      </c>
      <c r="W4" s="86" t="s">
        <v>211</v>
      </c>
      <c r="X4" s="90" t="s">
        <v>209</v>
      </c>
      <c r="Z4" s="81" t="s">
        <v>197</v>
      </c>
      <c r="AA4" s="86" t="s">
        <v>195</v>
      </c>
      <c r="AB4" s="86" t="s">
        <v>206</v>
      </c>
      <c r="AC4" s="18" t="s">
        <v>207</v>
      </c>
      <c r="AD4" s="21" t="s">
        <v>208</v>
      </c>
      <c r="AE4" s="18" t="s">
        <v>207</v>
      </c>
      <c r="AF4" s="89" t="s">
        <v>210</v>
      </c>
      <c r="AG4" s="90" t="s">
        <v>209</v>
      </c>
      <c r="AI4" s="81" t="s">
        <v>197</v>
      </c>
      <c r="AJ4" s="86" t="s">
        <v>195</v>
      </c>
      <c r="AK4" s="86" t="s">
        <v>206</v>
      </c>
      <c r="AL4" s="18" t="s">
        <v>207</v>
      </c>
    </row>
    <row r="5" spans="2:39" x14ac:dyDescent="0.25">
      <c r="B5" s="68"/>
      <c r="C5" s="73" t="s">
        <v>152</v>
      </c>
      <c r="D5" s="73" t="s">
        <v>196</v>
      </c>
      <c r="E5" s="73" t="s">
        <v>196</v>
      </c>
      <c r="F5" s="73" t="s">
        <v>196</v>
      </c>
      <c r="G5" s="73" t="s">
        <v>196</v>
      </c>
      <c r="H5" s="73" t="s">
        <v>196</v>
      </c>
      <c r="I5" s="73" t="s">
        <v>196</v>
      </c>
      <c r="J5" s="73" t="s">
        <v>196</v>
      </c>
      <c r="L5" s="71"/>
      <c r="M5" s="83" t="s">
        <v>152</v>
      </c>
      <c r="N5" s="84" t="s">
        <v>196</v>
      </c>
      <c r="P5" s="71"/>
      <c r="Q5" s="83" t="s">
        <v>152</v>
      </c>
      <c r="R5" s="84" t="s">
        <v>196</v>
      </c>
      <c r="S5" s="84" t="s">
        <v>196</v>
      </c>
      <c r="T5" s="73" t="s">
        <v>196</v>
      </c>
      <c r="V5" s="77"/>
      <c r="W5" s="79" t="s">
        <v>196</v>
      </c>
      <c r="X5" s="88" t="s">
        <v>196</v>
      </c>
      <c r="Z5" s="77"/>
      <c r="AA5" s="79" t="s">
        <v>152</v>
      </c>
      <c r="AB5" s="79" t="s">
        <v>196</v>
      </c>
      <c r="AC5" s="79" t="s">
        <v>196</v>
      </c>
      <c r="AD5" s="79" t="s">
        <v>196</v>
      </c>
      <c r="AE5" s="84" t="s">
        <v>196</v>
      </c>
      <c r="AF5" s="73" t="s">
        <v>196</v>
      </c>
      <c r="AG5" s="73" t="s">
        <v>196</v>
      </c>
      <c r="AI5" s="77"/>
      <c r="AJ5" s="79" t="s">
        <v>152</v>
      </c>
      <c r="AK5" s="79" t="s">
        <v>196</v>
      </c>
      <c r="AL5" s="79" t="s">
        <v>196</v>
      </c>
    </row>
    <row r="6" spans="2:39" x14ac:dyDescent="0.25">
      <c r="B6" s="69" t="s">
        <v>193</v>
      </c>
      <c r="C6" s="74">
        <f>Generation_Entsoe_SFS_2018!G3+Generation_Entsoe_SFS_2018!H3+Generation_Entsoe_SFS_2018!J3</f>
        <v>0</v>
      </c>
      <c r="D6" s="75">
        <f>C6/Generation_Entsoe_SFS_2018!AI3</f>
        <v>0</v>
      </c>
      <c r="E6" s="75">
        <f>Generation_Entsoe_SFS_2018!I3/Generation_Entsoe_SFS_2018!AI3</f>
        <v>0</v>
      </c>
      <c r="F6" s="75">
        <f>Generation_Entsoe_SFS_2018!T3/Generation_Entsoe_SFS_2018!AI3</f>
        <v>1</v>
      </c>
      <c r="G6" s="75">
        <f>Generation_Entsoe_SFS_2018!F3/Generation_Entsoe_SFS_2018!AI3</f>
        <v>0</v>
      </c>
      <c r="H6" s="85">
        <f>Generation_Entsoe_SFS_2018!V3/Generation_Entsoe_SFS_2018!AI3</f>
        <v>0</v>
      </c>
      <c r="I6" s="85">
        <f>Generation_Entsoe_SFS_2018!W3/Generation_Entsoe_SFS_2018!AI3</f>
        <v>0</v>
      </c>
      <c r="J6" s="85">
        <f t="shared" ref="J6:J42" si="0">H6+I6</f>
        <v>0</v>
      </c>
      <c r="L6" s="71" t="s">
        <v>98</v>
      </c>
      <c r="M6" s="74">
        <v>0</v>
      </c>
      <c r="N6" s="75">
        <v>0</v>
      </c>
      <c r="P6" s="71" t="s">
        <v>98</v>
      </c>
      <c r="Q6" s="74">
        <v>0</v>
      </c>
      <c r="R6" s="75">
        <v>0</v>
      </c>
      <c r="S6" s="85">
        <f t="shared" ref="S6:S42" si="1">VLOOKUP(P6,$B$6:$F$42,4,FALSE)</f>
        <v>0</v>
      </c>
      <c r="T6" s="85">
        <f t="shared" ref="T6:T42" si="2">VLOOKUP($P6,$B$6:$I$42,7,FALSE)</f>
        <v>0</v>
      </c>
      <c r="V6" s="76" t="s">
        <v>193</v>
      </c>
      <c r="W6" s="80">
        <v>0</v>
      </c>
      <c r="X6" s="80">
        <v>0</v>
      </c>
      <c r="Z6" s="76" t="s">
        <v>98</v>
      </c>
      <c r="AA6" s="78">
        <v>0</v>
      </c>
      <c r="AB6" s="80">
        <v>0</v>
      </c>
      <c r="AC6" s="80">
        <v>1</v>
      </c>
      <c r="AD6" s="80">
        <v>0</v>
      </c>
      <c r="AE6" s="85">
        <f t="shared" ref="AE6:AE42" si="3">VLOOKUP(Z6,$B$6:$F$42,4,FALSE)</f>
        <v>0</v>
      </c>
      <c r="AF6" s="85">
        <f t="shared" ref="AF6:AF42" si="4">VLOOKUP($Z6,$B$6:$I$42,7,FALSE)</f>
        <v>0</v>
      </c>
      <c r="AG6" s="85">
        <f t="shared" ref="AG6:AG42" si="5">VLOOKUP($Z6,$B$6:$I$42,8,FALSE)</f>
        <v>0</v>
      </c>
      <c r="AI6" s="76" t="s">
        <v>198</v>
      </c>
      <c r="AJ6" s="78">
        <v>0</v>
      </c>
      <c r="AK6" s="80">
        <v>0</v>
      </c>
      <c r="AL6" s="80">
        <v>0.04</v>
      </c>
      <c r="AM6" s="80">
        <f t="shared" ref="AM6:AM42" si="6">AK6*-1</f>
        <v>0</v>
      </c>
    </row>
    <row r="7" spans="2:39" x14ac:dyDescent="0.25">
      <c r="B7" s="69" t="s">
        <v>156</v>
      </c>
      <c r="C7" s="74">
        <f>Generation_Entsoe_SFS_2018!G4+Generation_Entsoe_SFS_2018!H4+Generation_Entsoe_SFS_2018!J4</f>
        <v>1.8</v>
      </c>
      <c r="D7" s="75">
        <f>C7/Generation_Entsoe_SFS_2018!AI4</f>
        <v>2.6666666666666668E-2</v>
      </c>
      <c r="E7" s="75">
        <f>Generation_Entsoe_SFS_2018!I4/Generation_Entsoe_SFS_2018!AI4</f>
        <v>0.14518518518518519</v>
      </c>
      <c r="F7" s="75">
        <f>Generation_Entsoe_SFS_2018!T4/Generation_Entsoe_SFS_2018!AI4</f>
        <v>0.64</v>
      </c>
      <c r="G7" s="75">
        <f>Generation_Entsoe_SFS_2018!F4/Generation_Entsoe_SFS_2018!AI4</f>
        <v>0.22222222222222221</v>
      </c>
      <c r="H7" s="85">
        <f>Generation_Entsoe_SFS_2018!V4/Generation_Entsoe_SFS_2018!AI4</f>
        <v>8.7407407407407406E-2</v>
      </c>
      <c r="I7" s="85">
        <f>Generation_Entsoe_SFS_2018!W4/Generation_Entsoe_SFS_2018!AI4</f>
        <v>0</v>
      </c>
      <c r="J7" s="85">
        <f t="shared" si="0"/>
        <v>8.7407407407407406E-2</v>
      </c>
      <c r="L7" s="76" t="s">
        <v>103</v>
      </c>
      <c r="M7" s="78">
        <v>0</v>
      </c>
      <c r="N7" s="80">
        <v>0</v>
      </c>
      <c r="P7" s="76" t="s">
        <v>103</v>
      </c>
      <c r="Q7" s="78">
        <v>0</v>
      </c>
      <c r="R7" s="80">
        <v>0</v>
      </c>
      <c r="S7" s="85">
        <f t="shared" si="1"/>
        <v>1.4792899408284025E-2</v>
      </c>
      <c r="T7" s="85">
        <f t="shared" si="2"/>
        <v>1.4792899408284025E-3</v>
      </c>
      <c r="V7" s="71" t="s">
        <v>157</v>
      </c>
      <c r="W7" s="75">
        <v>0</v>
      </c>
      <c r="X7" s="85">
        <v>0</v>
      </c>
      <c r="Z7" s="71" t="s">
        <v>200</v>
      </c>
      <c r="AA7" s="74">
        <v>0</v>
      </c>
      <c r="AB7" s="75">
        <v>0</v>
      </c>
      <c r="AC7" s="75">
        <v>1</v>
      </c>
      <c r="AD7" s="75">
        <v>0</v>
      </c>
      <c r="AE7" s="85">
        <f t="shared" si="3"/>
        <v>0</v>
      </c>
      <c r="AF7" s="85">
        <f t="shared" si="4"/>
        <v>0</v>
      </c>
      <c r="AG7" s="85">
        <f t="shared" si="5"/>
        <v>0</v>
      </c>
      <c r="AI7" s="71" t="s">
        <v>118</v>
      </c>
      <c r="AJ7" s="74">
        <v>1.4</v>
      </c>
      <c r="AK7" s="75">
        <v>0.38888888888888884</v>
      </c>
      <c r="AL7" s="75">
        <v>5.5555555555555559E-2</v>
      </c>
      <c r="AM7" s="80">
        <f t="shared" si="6"/>
        <v>-0.38888888888888884</v>
      </c>
    </row>
    <row r="8" spans="2:39" x14ac:dyDescent="0.25">
      <c r="B8" s="69" t="s">
        <v>157</v>
      </c>
      <c r="C8" s="74">
        <f>Generation_Entsoe_SFS_2018!G5+Generation_Entsoe_SFS_2018!H5+Generation_Entsoe_SFS_2018!J5</f>
        <v>10.8</v>
      </c>
      <c r="D8" s="75">
        <f>C8/Generation_Entsoe_SFS_2018!AI5</f>
        <v>0.62427745664739887</v>
      </c>
      <c r="E8" s="75">
        <f>Generation_Entsoe_SFS_2018!I5/Generation_Entsoe_SFS_2018!AI5</f>
        <v>0</v>
      </c>
      <c r="F8" s="75">
        <f>Generation_Entsoe_SFS_2018!T5/Generation_Entsoe_SFS_2018!AI5</f>
        <v>0.36416184971098264</v>
      </c>
      <c r="G8" s="75">
        <f>Generation_Entsoe_SFS_2018!F5/Generation_Entsoe_SFS_2018!AI5</f>
        <v>0.62427745664739887</v>
      </c>
      <c r="H8" s="85">
        <f>Generation_Entsoe_SFS_2018!V5/Generation_Entsoe_SFS_2018!AI5</f>
        <v>5.7803468208092483E-3</v>
      </c>
      <c r="I8" s="85">
        <f>Generation_Entsoe_SFS_2018!W5/Generation_Entsoe_SFS_2018!AI5</f>
        <v>0</v>
      </c>
      <c r="J8" s="85">
        <f t="shared" si="0"/>
        <v>5.7803468208092483E-3</v>
      </c>
      <c r="L8" s="69" t="s">
        <v>198</v>
      </c>
      <c r="M8" s="74">
        <v>0</v>
      </c>
      <c r="N8" s="75">
        <v>0</v>
      </c>
      <c r="P8" s="69" t="s">
        <v>198</v>
      </c>
      <c r="Q8" s="74">
        <v>0</v>
      </c>
      <c r="R8" s="75">
        <v>0</v>
      </c>
      <c r="S8" s="85">
        <f t="shared" si="1"/>
        <v>0</v>
      </c>
      <c r="T8" s="85">
        <f t="shared" si="2"/>
        <v>0.04</v>
      </c>
      <c r="V8" s="71" t="s">
        <v>161</v>
      </c>
      <c r="W8" s="75">
        <v>0</v>
      </c>
      <c r="X8" s="85">
        <v>0</v>
      </c>
      <c r="Z8" s="71" t="s">
        <v>103</v>
      </c>
      <c r="AA8" s="74">
        <v>0</v>
      </c>
      <c r="AB8" s="75">
        <v>0</v>
      </c>
      <c r="AC8" s="75">
        <v>0.6020710059171599</v>
      </c>
      <c r="AD8" s="75">
        <v>1.4792899408284025E-2</v>
      </c>
      <c r="AE8" s="85">
        <f t="shared" si="3"/>
        <v>1.4792899408284025E-2</v>
      </c>
      <c r="AF8" s="85">
        <f t="shared" si="4"/>
        <v>1.4792899408284025E-3</v>
      </c>
      <c r="AG8" s="85">
        <f t="shared" si="5"/>
        <v>1.7751479289940829E-2</v>
      </c>
      <c r="AI8" s="71" t="s">
        <v>104</v>
      </c>
      <c r="AJ8" s="74">
        <v>39.000000000000007</v>
      </c>
      <c r="AK8" s="75">
        <v>0.4767726161369194</v>
      </c>
      <c r="AL8" s="75">
        <v>0.10880195599022005</v>
      </c>
      <c r="AM8" s="80">
        <f t="shared" si="6"/>
        <v>-0.4767726161369194</v>
      </c>
    </row>
    <row r="9" spans="2:39" x14ac:dyDescent="0.25">
      <c r="B9" s="69" t="s">
        <v>158</v>
      </c>
      <c r="C9" s="74">
        <f>Generation_Entsoe_SFS_2018!G6+Generation_Entsoe_SFS_2018!H6+Generation_Entsoe_SFS_2018!J6</f>
        <v>2.1</v>
      </c>
      <c r="D9" s="75">
        <f>C9/Generation_Entsoe_SFS_2018!AI6</f>
        <v>3.0390738060781481E-2</v>
      </c>
      <c r="E9" s="75">
        <f>Generation_Entsoe_SFS_2018!I6/Generation_Entsoe_SFS_2018!AI6</f>
        <v>0.31982633863965271</v>
      </c>
      <c r="F9" s="75">
        <f>Generation_Entsoe_SFS_2018!T6/Generation_Entsoe_SFS_2018!AI6</f>
        <v>0.22575976845151954</v>
      </c>
      <c r="G9" s="75">
        <f>Generation_Entsoe_SFS_2018!F6/Generation_Entsoe_SFS_2018!AI6</f>
        <v>0.35166425470332857</v>
      </c>
      <c r="H9" s="85">
        <f>Generation_Entsoe_SFS_2018!V6/Generation_Entsoe_SFS_2018!AI6</f>
        <v>5.3545586107091182E-2</v>
      </c>
      <c r="I9" s="85">
        <f>Generation_Entsoe_SFS_2018!W6/Generation_Entsoe_SFS_2018!AI6</f>
        <v>5.0651230101302465E-2</v>
      </c>
      <c r="J9" s="85">
        <f t="shared" si="0"/>
        <v>0.10419681620839365</v>
      </c>
      <c r="L9" s="69" t="s">
        <v>199</v>
      </c>
      <c r="M9" s="74">
        <v>0</v>
      </c>
      <c r="N9" s="75">
        <v>0</v>
      </c>
      <c r="P9" s="69" t="s">
        <v>199</v>
      </c>
      <c r="Q9" s="74">
        <v>0</v>
      </c>
      <c r="R9" s="75">
        <v>0</v>
      </c>
      <c r="S9" s="85">
        <f t="shared" si="1"/>
        <v>0</v>
      </c>
      <c r="T9" s="85">
        <f t="shared" si="2"/>
        <v>5.8252427184466014E-2</v>
      </c>
      <c r="V9" s="71" t="s">
        <v>165</v>
      </c>
      <c r="W9" s="75">
        <v>0</v>
      </c>
      <c r="X9" s="85">
        <v>0</v>
      </c>
      <c r="Z9" s="71" t="s">
        <v>126</v>
      </c>
      <c r="AA9" s="74">
        <v>0.5</v>
      </c>
      <c r="AB9" s="75">
        <v>3.1585596967782688E-3</v>
      </c>
      <c r="AC9" s="75">
        <v>0.5609602021478205</v>
      </c>
      <c r="AD9" s="75">
        <v>1.7687934301958304E-2</v>
      </c>
      <c r="AE9" s="85">
        <f t="shared" si="3"/>
        <v>3.7902716361339225E-3</v>
      </c>
      <c r="AF9" s="85">
        <f t="shared" si="4"/>
        <v>0.10486418193303854</v>
      </c>
      <c r="AG9" s="85">
        <f t="shared" si="5"/>
        <v>0</v>
      </c>
      <c r="AI9" s="71" t="s">
        <v>113</v>
      </c>
      <c r="AJ9" s="74">
        <v>4.5</v>
      </c>
      <c r="AK9" s="75">
        <v>0.15957446808510639</v>
      </c>
      <c r="AL9" s="75">
        <v>0.12056737588652482</v>
      </c>
      <c r="AM9" s="80">
        <f t="shared" si="6"/>
        <v>-0.15957446808510639</v>
      </c>
    </row>
    <row r="10" spans="2:39" x14ac:dyDescent="0.25">
      <c r="B10" s="69" t="s">
        <v>159</v>
      </c>
      <c r="C10" s="74">
        <f>Generation_Entsoe_SFS_2018!G7+Generation_Entsoe_SFS_2018!H7+Generation_Entsoe_SFS_2018!J7</f>
        <v>17.100000000000001</v>
      </c>
      <c r="D10" s="75">
        <f>C10/Generation_Entsoe_SFS_2018!AI7</f>
        <v>0.40425531914893625</v>
      </c>
      <c r="E10" s="75">
        <f>Generation_Entsoe_SFS_2018!I7/Generation_Entsoe_SFS_2018!AI7</f>
        <v>4.0189125295508277E-2</v>
      </c>
      <c r="F10" s="75">
        <f>Generation_Entsoe_SFS_2018!T7/Generation_Entsoe_SFS_2018!AI7</f>
        <v>0.18912529550827425</v>
      </c>
      <c r="G10" s="75">
        <f>Generation_Entsoe_SFS_2018!F7/Generation_Entsoe_SFS_2018!AI7</f>
        <v>0.44208037825059104</v>
      </c>
      <c r="H10" s="85">
        <f>Generation_Entsoe_SFS_2018!V7/Generation_Entsoe_SFS_2018!AI7</f>
        <v>3.309692671394799E-2</v>
      </c>
      <c r="I10" s="85">
        <f>Generation_Entsoe_SFS_2018!W7/Generation_Entsoe_SFS_2018!AI7</f>
        <v>3.309692671394799E-2</v>
      </c>
      <c r="J10" s="85">
        <f t="shared" si="0"/>
        <v>6.6193853427895979E-2</v>
      </c>
      <c r="L10" s="69" t="s">
        <v>200</v>
      </c>
      <c r="M10" s="74">
        <v>0</v>
      </c>
      <c r="N10" s="75">
        <v>0</v>
      </c>
      <c r="P10" s="69" t="s">
        <v>200</v>
      </c>
      <c r="Q10" s="74">
        <v>0</v>
      </c>
      <c r="R10" s="75">
        <v>0</v>
      </c>
      <c r="S10" s="85">
        <f t="shared" si="1"/>
        <v>0</v>
      </c>
      <c r="T10" s="85">
        <f t="shared" si="2"/>
        <v>0</v>
      </c>
      <c r="V10" s="71" t="s">
        <v>174</v>
      </c>
      <c r="W10" s="75">
        <v>0</v>
      </c>
      <c r="X10" s="85">
        <v>0</v>
      </c>
      <c r="Z10" s="71" t="s">
        <v>121</v>
      </c>
      <c r="AA10" s="74">
        <v>0</v>
      </c>
      <c r="AB10" s="75">
        <v>0</v>
      </c>
      <c r="AC10" s="75">
        <v>0.97048730267673311</v>
      </c>
      <c r="AD10" s="75">
        <v>2.1962937542896365E-2</v>
      </c>
      <c r="AE10" s="85">
        <f t="shared" si="3"/>
        <v>2.1962937542896365E-2</v>
      </c>
      <c r="AF10" s="85">
        <f t="shared" si="4"/>
        <v>2.3335621139327387E-2</v>
      </c>
      <c r="AG10" s="85">
        <f t="shared" si="5"/>
        <v>0</v>
      </c>
      <c r="AI10" s="71" t="s">
        <v>122</v>
      </c>
      <c r="AJ10" s="74">
        <v>121.9</v>
      </c>
      <c r="AK10" s="75">
        <v>0.77593889242520697</v>
      </c>
      <c r="AL10" s="75">
        <v>0.12985359643539146</v>
      </c>
      <c r="AM10" s="80">
        <f t="shared" si="6"/>
        <v>-0.77593889242520697</v>
      </c>
    </row>
    <row r="11" spans="2:39" x14ac:dyDescent="0.25">
      <c r="B11" s="69" t="s">
        <v>160</v>
      </c>
      <c r="C11" s="74">
        <f>Generation_Entsoe_SFS_2018!G8+Generation_Entsoe_SFS_2018!H8+Generation_Entsoe_SFS_2018!J8</f>
        <v>0</v>
      </c>
      <c r="D11" s="75">
        <f>C11/Generation_Entsoe_SFS_2018!AI8</f>
        <v>0</v>
      </c>
      <c r="E11" s="75">
        <f>Generation_Entsoe_SFS_2018!I8/Generation_Entsoe_SFS_2018!AI8</f>
        <v>1.4792899408284025E-2</v>
      </c>
      <c r="F11" s="75">
        <f>Generation_Entsoe_SFS_2018!T8/Generation_Entsoe_SFS_2018!AI8</f>
        <v>0.6020710059171599</v>
      </c>
      <c r="G11" s="75">
        <f>Generation_Entsoe_SFS_2018!F8/Generation_Entsoe_SFS_2018!AI8</f>
        <v>1.4792899408284025E-2</v>
      </c>
      <c r="H11" s="85">
        <f>Generation_Entsoe_SFS_2018!V8/Generation_Entsoe_SFS_2018!AI8</f>
        <v>1.4792899408284025E-3</v>
      </c>
      <c r="I11" s="85">
        <f>Generation_Entsoe_SFS_2018!W8/Generation_Entsoe_SFS_2018!AI8</f>
        <v>1.7751479289940829E-2</v>
      </c>
      <c r="J11" s="85">
        <f t="shared" si="0"/>
        <v>1.9230769230769232E-2</v>
      </c>
      <c r="L11" s="69" t="s">
        <v>116</v>
      </c>
      <c r="M11" s="74">
        <v>0</v>
      </c>
      <c r="N11" s="75">
        <v>0</v>
      </c>
      <c r="P11" s="69" t="s">
        <v>116</v>
      </c>
      <c r="Q11" s="74">
        <v>0</v>
      </c>
      <c r="R11" s="75">
        <v>0</v>
      </c>
      <c r="S11" s="85">
        <f t="shared" si="1"/>
        <v>9.3749999999999986E-2</v>
      </c>
      <c r="T11" s="85">
        <f t="shared" si="2"/>
        <v>0.34375</v>
      </c>
      <c r="V11" s="71" t="s">
        <v>179</v>
      </c>
      <c r="W11" s="75">
        <v>0</v>
      </c>
      <c r="X11" s="85">
        <v>0</v>
      </c>
      <c r="Z11" s="71" t="s">
        <v>109</v>
      </c>
      <c r="AA11" s="74">
        <v>5.8</v>
      </c>
      <c r="AB11" s="75">
        <v>1.0572366022602989E-2</v>
      </c>
      <c r="AC11" s="75">
        <v>0.19832300401020778</v>
      </c>
      <c r="AD11" s="75">
        <v>7.2001458257382425E-2</v>
      </c>
      <c r="AE11" s="85">
        <f t="shared" si="3"/>
        <v>5.723660226029894E-2</v>
      </c>
      <c r="AF11" s="85">
        <f t="shared" si="4"/>
        <v>5.0674444039372948E-2</v>
      </c>
      <c r="AG11" s="85">
        <f t="shared" si="5"/>
        <v>1.859278162595698E-2</v>
      </c>
      <c r="AI11" s="71" t="s">
        <v>199</v>
      </c>
      <c r="AJ11" s="74">
        <v>0</v>
      </c>
      <c r="AK11" s="75">
        <v>0</v>
      </c>
      <c r="AL11" s="75">
        <v>0.14563106796116504</v>
      </c>
      <c r="AM11" s="80">
        <f t="shared" si="6"/>
        <v>0</v>
      </c>
    </row>
    <row r="12" spans="2:39" x14ac:dyDescent="0.25">
      <c r="B12" s="69" t="s">
        <v>161</v>
      </c>
      <c r="C12" s="74">
        <f>Generation_Entsoe_SFS_2018!G9+Generation_Entsoe_SFS_2018!H9+Generation_Entsoe_SFS_2018!J9</f>
        <v>0</v>
      </c>
      <c r="D12" s="75">
        <f>C12/Generation_Entsoe_SFS_2018!AI9</f>
        <v>0</v>
      </c>
      <c r="E12" s="75">
        <f>Generation_Entsoe_SFS_2018!I9/Generation_Entsoe_SFS_2018!AI9</f>
        <v>0</v>
      </c>
      <c r="F12" s="75">
        <f>Generation_Entsoe_SFS_2018!T9/Generation_Entsoe_SFS_2018!AI9</f>
        <v>0.04</v>
      </c>
      <c r="G12" s="75">
        <f>Generation_Entsoe_SFS_2018!F9/Generation_Entsoe_SFS_2018!AI9</f>
        <v>0.96</v>
      </c>
      <c r="H12" s="85">
        <f>Generation_Entsoe_SFS_2018!V9/Generation_Entsoe_SFS_2018!AI9</f>
        <v>0.04</v>
      </c>
      <c r="I12" s="85">
        <f>Generation_Entsoe_SFS_2018!W9/Generation_Entsoe_SFS_2018!AI9</f>
        <v>0</v>
      </c>
      <c r="J12" s="85">
        <f t="shared" si="0"/>
        <v>0.04</v>
      </c>
      <c r="L12" s="69" t="s">
        <v>117</v>
      </c>
      <c r="M12" s="74">
        <v>0</v>
      </c>
      <c r="N12" s="75">
        <v>0</v>
      </c>
      <c r="P12" s="69" t="s">
        <v>117</v>
      </c>
      <c r="Q12" s="74">
        <v>0</v>
      </c>
      <c r="R12" s="75">
        <v>0</v>
      </c>
      <c r="S12" s="85">
        <f t="shared" si="1"/>
        <v>0.1</v>
      </c>
      <c r="T12" s="85">
        <f t="shared" si="2"/>
        <v>0.15</v>
      </c>
      <c r="V12" s="71" t="s">
        <v>188</v>
      </c>
      <c r="W12" s="75">
        <v>0</v>
      </c>
      <c r="X12" s="85">
        <v>1.3333333333333334E-2</v>
      </c>
      <c r="Z12" s="71" t="s">
        <v>117</v>
      </c>
      <c r="AA12" s="74">
        <v>0</v>
      </c>
      <c r="AB12" s="75">
        <v>0</v>
      </c>
      <c r="AC12" s="75">
        <v>0.2</v>
      </c>
      <c r="AD12" s="75">
        <v>0.1</v>
      </c>
      <c r="AE12" s="85">
        <f t="shared" si="3"/>
        <v>0.1</v>
      </c>
      <c r="AF12" s="85">
        <f t="shared" si="4"/>
        <v>0.15</v>
      </c>
      <c r="AG12" s="85">
        <f t="shared" si="5"/>
        <v>0.05</v>
      </c>
      <c r="AI12" s="71" t="s">
        <v>120</v>
      </c>
      <c r="AJ12" s="74">
        <v>16.7</v>
      </c>
      <c r="AK12" s="75">
        <v>0.15377532228360957</v>
      </c>
      <c r="AL12" s="75">
        <v>0.16206261510128916</v>
      </c>
      <c r="AM12" s="80">
        <f t="shared" si="6"/>
        <v>-0.15377532228360957</v>
      </c>
    </row>
    <row r="13" spans="2:39" x14ac:dyDescent="0.25">
      <c r="B13" s="69" t="s">
        <v>162</v>
      </c>
      <c r="C13" s="74">
        <f>Generation_Entsoe_SFS_2018!G10+Generation_Entsoe_SFS_2018!H10+Generation_Entsoe_SFS_2018!J10</f>
        <v>39.000000000000007</v>
      </c>
      <c r="D13" s="75">
        <f>C13/Generation_Entsoe_SFS_2018!AI10</f>
        <v>0.4767726161369194</v>
      </c>
      <c r="E13" s="75">
        <f>Generation_Entsoe_SFS_2018!I10/Generation_Entsoe_SFS_2018!AI10</f>
        <v>5.3789731051344748E-2</v>
      </c>
      <c r="F13" s="75">
        <f>Generation_Entsoe_SFS_2018!T10/Generation_Entsoe_SFS_2018!AI10</f>
        <v>0.10880195599022005</v>
      </c>
      <c r="G13" s="75">
        <f>Generation_Entsoe_SFS_2018!F10/Generation_Entsoe_SFS_2018!AI10</f>
        <v>0.5330073349633252</v>
      </c>
      <c r="H13" s="85">
        <f>Generation_Entsoe_SFS_2018!V10/Generation_Entsoe_SFS_2018!AI10</f>
        <v>7.3349633251833741E-3</v>
      </c>
      <c r="I13" s="85">
        <f>Generation_Entsoe_SFS_2018!W10/Generation_Entsoe_SFS_2018!AI10</f>
        <v>2.8117359413202932E-2</v>
      </c>
      <c r="J13" s="85">
        <f t="shared" si="0"/>
        <v>3.5452322738386305E-2</v>
      </c>
      <c r="L13" s="69" t="s">
        <v>201</v>
      </c>
      <c r="M13" s="74">
        <v>0</v>
      </c>
      <c r="N13" s="75">
        <v>0</v>
      </c>
      <c r="P13" s="69" t="s">
        <v>201</v>
      </c>
      <c r="Q13" s="74">
        <v>0</v>
      </c>
      <c r="R13" s="75">
        <v>0</v>
      </c>
      <c r="S13" s="85">
        <f t="shared" si="1"/>
        <v>0.4</v>
      </c>
      <c r="T13" s="85">
        <f t="shared" si="2"/>
        <v>1.5384615384615385E-2</v>
      </c>
      <c r="V13" s="71" t="s">
        <v>187</v>
      </c>
      <c r="W13" s="75">
        <v>3.7902716361339225E-3</v>
      </c>
      <c r="X13" s="85">
        <v>0</v>
      </c>
      <c r="Z13" s="71" t="s">
        <v>116</v>
      </c>
      <c r="AA13" s="74">
        <v>0</v>
      </c>
      <c r="AB13" s="75">
        <v>0</v>
      </c>
      <c r="AC13" s="75">
        <v>0.65625</v>
      </c>
      <c r="AD13" s="75">
        <v>0.125</v>
      </c>
      <c r="AE13" s="85">
        <f t="shared" si="3"/>
        <v>9.3749999999999986E-2</v>
      </c>
      <c r="AF13" s="85">
        <f t="shared" si="4"/>
        <v>0.34375</v>
      </c>
      <c r="AG13" s="85">
        <f t="shared" si="5"/>
        <v>3.125E-2</v>
      </c>
      <c r="AI13" s="71" t="s">
        <v>102</v>
      </c>
      <c r="AJ13" s="74">
        <v>17.100000000000001</v>
      </c>
      <c r="AK13" s="75">
        <v>0.40425531914893625</v>
      </c>
      <c r="AL13" s="75">
        <v>0.18912529550827425</v>
      </c>
      <c r="AM13" s="80">
        <f t="shared" si="6"/>
        <v>-0.40425531914893625</v>
      </c>
    </row>
    <row r="14" spans="2:39" x14ac:dyDescent="0.25">
      <c r="B14" s="69" t="s">
        <v>163</v>
      </c>
      <c r="C14" s="74">
        <f>Generation_Entsoe_SFS_2018!G11+Generation_Entsoe_SFS_2018!H11+Generation_Entsoe_SFS_2018!J11</f>
        <v>207.70000000000002</v>
      </c>
      <c r="D14" s="75">
        <f>C14/Generation_Entsoe_SFS_2018!AI11</f>
        <v>0.34755689424364122</v>
      </c>
      <c r="E14" s="75">
        <f>Generation_Entsoe_SFS_2018!I11/Generation_Entsoe_SFS_2018!AI11</f>
        <v>0.14608433734939757</v>
      </c>
      <c r="F14" s="75">
        <f>Generation_Entsoe_SFS_2018!T11/Generation_Entsoe_SFS_2018!AI11</f>
        <v>0.35625836680053546</v>
      </c>
      <c r="G14" s="75">
        <f>Generation_Entsoe_SFS_2018!F11/Generation_Entsoe_SFS_2018!AI11</f>
        <v>0.50351405622489953</v>
      </c>
      <c r="H14" s="85">
        <f>Generation_Entsoe_SFS_2018!V11/Generation_Entsoe_SFS_2018!AI11</f>
        <v>0.14759036144578314</v>
      </c>
      <c r="I14" s="85">
        <f>Generation_Entsoe_SFS_2018!W11/Generation_Entsoe_SFS_2018!AI11</f>
        <v>6.8942436412315927E-2</v>
      </c>
      <c r="J14" s="85">
        <f t="shared" si="0"/>
        <v>0.21653279785809906</v>
      </c>
      <c r="L14" s="69" t="s">
        <v>121</v>
      </c>
      <c r="M14" s="74">
        <v>0</v>
      </c>
      <c r="N14" s="75">
        <v>0</v>
      </c>
      <c r="P14" s="69" t="s">
        <v>121</v>
      </c>
      <c r="Q14" s="74">
        <v>0</v>
      </c>
      <c r="R14" s="75">
        <v>0</v>
      </c>
      <c r="S14" s="85">
        <f t="shared" si="1"/>
        <v>2.1962937542896365E-2</v>
      </c>
      <c r="T14" s="85">
        <f t="shared" si="2"/>
        <v>2.3335621139327387E-2</v>
      </c>
      <c r="V14" s="71" t="s">
        <v>186</v>
      </c>
      <c r="W14" s="75">
        <v>5.0505050505050509E-3</v>
      </c>
      <c r="X14" s="85">
        <v>0</v>
      </c>
      <c r="Z14" s="71" t="s">
        <v>108</v>
      </c>
      <c r="AA14" s="74">
        <v>5.8</v>
      </c>
      <c r="AB14" s="75">
        <v>8.5925925925925919E-2</v>
      </c>
      <c r="AC14" s="75">
        <v>0.46962962962962962</v>
      </c>
      <c r="AD14" s="75">
        <v>0.19259259259259259</v>
      </c>
      <c r="AE14" s="85">
        <f t="shared" si="3"/>
        <v>5.7777777777777775E-2</v>
      </c>
      <c r="AF14" s="85">
        <f t="shared" si="4"/>
        <v>8.7407407407407406E-2</v>
      </c>
      <c r="AG14" s="85">
        <f t="shared" si="5"/>
        <v>2.9629629629629632E-3</v>
      </c>
      <c r="AI14" s="71" t="s">
        <v>109</v>
      </c>
      <c r="AJ14" s="74">
        <v>5.8</v>
      </c>
      <c r="AK14" s="75">
        <v>1.0572366022602989E-2</v>
      </c>
      <c r="AL14" s="75">
        <v>0.19832300401020778</v>
      </c>
      <c r="AM14" s="80">
        <f t="shared" si="6"/>
        <v>-1.0572366022602989E-2</v>
      </c>
    </row>
    <row r="15" spans="2:39" x14ac:dyDescent="0.25">
      <c r="B15" s="69" t="s">
        <v>164</v>
      </c>
      <c r="C15" s="74">
        <f>Generation_Entsoe_SFS_2018!G12+Generation_Entsoe_SFS_2018!H12+Generation_Entsoe_SFS_2018!J12</f>
        <v>6.9</v>
      </c>
      <c r="D15" s="75">
        <f>C15/Generation_Entsoe_SFS_2018!AI12</f>
        <v>0.23875432525951559</v>
      </c>
      <c r="E15" s="75">
        <f>Generation_Entsoe_SFS_2018!I12/Generation_Entsoe_SFS_2018!AI12</f>
        <v>7.6124567474048457E-2</v>
      </c>
      <c r="F15" s="75">
        <f>Generation_Entsoe_SFS_2018!T12/Generation_Entsoe_SFS_2018!AI12</f>
        <v>0.68512110726643605</v>
      </c>
      <c r="G15" s="75">
        <f>Generation_Entsoe_SFS_2018!F12/Generation_Entsoe_SFS_2018!AI12</f>
        <v>0.31487889273356401</v>
      </c>
      <c r="H15" s="85">
        <f>Generation_Entsoe_SFS_2018!V12/Generation_Entsoe_SFS_2018!AI12</f>
        <v>0.32179930795847755</v>
      </c>
      <c r="I15" s="85">
        <f>Generation_Entsoe_SFS_2018!W12/Generation_Entsoe_SFS_2018!AI12</f>
        <v>3.4602076124567477E-2</v>
      </c>
      <c r="J15" s="85">
        <f t="shared" si="0"/>
        <v>0.356401384083045</v>
      </c>
      <c r="L15" s="69" t="s">
        <v>126</v>
      </c>
      <c r="M15" s="74">
        <v>0.5</v>
      </c>
      <c r="N15" s="75">
        <v>3.1585596967782688E-3</v>
      </c>
      <c r="P15" s="69" t="s">
        <v>126</v>
      </c>
      <c r="Q15" s="74">
        <v>0.5</v>
      </c>
      <c r="R15" s="75">
        <v>3.1585596967782688E-3</v>
      </c>
      <c r="S15" s="85">
        <f t="shared" si="1"/>
        <v>3.7902716361339225E-3</v>
      </c>
      <c r="T15" s="85">
        <f t="shared" si="2"/>
        <v>0.10486418193303854</v>
      </c>
      <c r="V15" s="71" t="s">
        <v>160</v>
      </c>
      <c r="W15" s="75">
        <v>1.4792899408284025E-2</v>
      </c>
      <c r="X15" s="85">
        <v>1.7751479289940829E-2</v>
      </c>
      <c r="Z15" s="71" t="s">
        <v>128</v>
      </c>
      <c r="AA15" s="74">
        <v>3</v>
      </c>
      <c r="AB15" s="75">
        <v>0.1195219123505976</v>
      </c>
      <c r="AC15" s="75">
        <v>0.23107569721115537</v>
      </c>
      <c r="AD15" s="75">
        <v>0.20318725099601592</v>
      </c>
      <c r="AE15" s="85">
        <f t="shared" si="3"/>
        <v>7.1713147410358558E-2</v>
      </c>
      <c r="AF15" s="85">
        <f t="shared" si="4"/>
        <v>0</v>
      </c>
      <c r="AG15" s="85">
        <f t="shared" si="5"/>
        <v>2.3904382470119518E-2</v>
      </c>
      <c r="AI15" s="71" t="s">
        <v>117</v>
      </c>
      <c r="AJ15" s="74">
        <v>0</v>
      </c>
      <c r="AK15" s="75">
        <v>0</v>
      </c>
      <c r="AL15" s="75">
        <v>0.2</v>
      </c>
      <c r="AM15" s="80">
        <f t="shared" si="6"/>
        <v>0</v>
      </c>
    </row>
    <row r="16" spans="2:39" x14ac:dyDescent="0.25">
      <c r="B16" s="69" t="s">
        <v>165</v>
      </c>
      <c r="C16" s="74">
        <f>Generation_Entsoe_SFS_2018!G13+Generation_Entsoe_SFS_2018!H13+Generation_Entsoe_SFS_2018!J13</f>
        <v>0</v>
      </c>
      <c r="D16" s="75">
        <f>C16/Generation_Entsoe_SFS_2018!AI13</f>
        <v>0</v>
      </c>
      <c r="E16" s="75">
        <f>Generation_Entsoe_SFS_2018!I13/Generation_Entsoe_SFS_2018!AI13</f>
        <v>0</v>
      </c>
      <c r="F16" s="75">
        <f>Generation_Entsoe_SFS_2018!T13/Generation_Entsoe_SFS_2018!AI13</f>
        <v>0.14563106796116504</v>
      </c>
      <c r="G16" s="75">
        <f>Generation_Entsoe_SFS_2018!F13/Generation_Entsoe_SFS_2018!AI13</f>
        <v>0.85436893203883502</v>
      </c>
      <c r="H16" s="85">
        <f>Generation_Entsoe_SFS_2018!V13/Generation_Entsoe_SFS_2018!AI13</f>
        <v>5.8252427184466014E-2</v>
      </c>
      <c r="I16" s="85">
        <f>Generation_Entsoe_SFS_2018!W13/Generation_Entsoe_SFS_2018!AI13</f>
        <v>0</v>
      </c>
      <c r="J16" s="85">
        <f t="shared" si="0"/>
        <v>5.8252427184466014E-2</v>
      </c>
      <c r="L16" s="69" t="s">
        <v>112</v>
      </c>
      <c r="M16" s="74">
        <v>1.3</v>
      </c>
      <c r="N16" s="75">
        <v>0.10743801652892562</v>
      </c>
      <c r="P16" s="69" t="s">
        <v>109</v>
      </c>
      <c r="Q16" s="74">
        <v>5.8</v>
      </c>
      <c r="R16" s="75">
        <v>1.0572366022602989E-2</v>
      </c>
      <c r="S16" s="85">
        <f t="shared" si="1"/>
        <v>5.723660226029894E-2</v>
      </c>
      <c r="T16" s="85">
        <f t="shared" si="2"/>
        <v>5.0674444039372948E-2</v>
      </c>
      <c r="V16" s="71" t="s">
        <v>182</v>
      </c>
      <c r="W16" s="75">
        <v>2.1962937542896365E-2</v>
      </c>
      <c r="X16" s="85">
        <v>0</v>
      </c>
      <c r="Z16" s="71" t="s">
        <v>99</v>
      </c>
      <c r="AA16" s="74">
        <v>1.8</v>
      </c>
      <c r="AB16" s="75">
        <v>2.6666666666666668E-2</v>
      </c>
      <c r="AC16" s="75">
        <v>0.64</v>
      </c>
      <c r="AD16" s="75">
        <v>0.22222222222222221</v>
      </c>
      <c r="AE16" s="85">
        <f t="shared" si="3"/>
        <v>0.14518518518518519</v>
      </c>
      <c r="AF16" s="85">
        <f t="shared" si="4"/>
        <v>8.7407407407407406E-2</v>
      </c>
      <c r="AG16" s="85">
        <f t="shared" si="5"/>
        <v>0</v>
      </c>
      <c r="AI16" s="71" t="s">
        <v>101</v>
      </c>
      <c r="AJ16" s="74">
        <v>2.1</v>
      </c>
      <c r="AK16" s="75">
        <v>3.0390738060781481E-2</v>
      </c>
      <c r="AL16" s="75">
        <v>0.22575976845151954</v>
      </c>
      <c r="AM16" s="80">
        <f t="shared" si="6"/>
        <v>-3.0390738060781481E-2</v>
      </c>
    </row>
    <row r="17" spans="2:39" x14ac:dyDescent="0.25">
      <c r="B17" s="69" t="s">
        <v>166</v>
      </c>
      <c r="C17" s="74">
        <f>Generation_Entsoe_SFS_2018!G14+Generation_Entsoe_SFS_2018!H14+Generation_Entsoe_SFS_2018!J14</f>
        <v>37.299999999999997</v>
      </c>
      <c r="D17" s="75">
        <f>C17/Generation_Entsoe_SFS_2018!AI14</f>
        <v>0.14291187739463601</v>
      </c>
      <c r="E17" s="75">
        <f>Generation_Entsoe_SFS_2018!I14/Generation_Entsoe_SFS_2018!AI14</f>
        <v>0.20574712643678161</v>
      </c>
      <c r="F17" s="75">
        <f>Generation_Entsoe_SFS_2018!T14/Generation_Entsoe_SFS_2018!AI14</f>
        <v>0.38429118773946358</v>
      </c>
      <c r="G17" s="75">
        <f>Generation_Entsoe_SFS_2018!F14/Generation_Entsoe_SFS_2018!AI14</f>
        <v>0.3946360153256705</v>
      </c>
      <c r="H17" s="85">
        <f>Generation_Entsoe_SFS_2018!V14/Generation_Entsoe_SFS_2018!AI14</f>
        <v>0.19003831417624523</v>
      </c>
      <c r="I17" s="85">
        <f>Generation_Entsoe_SFS_2018!W14/Generation_Entsoe_SFS_2018!AI14</f>
        <v>2.9885057471264367E-2</v>
      </c>
      <c r="J17" s="85">
        <f t="shared" si="0"/>
        <v>0.21992337164750958</v>
      </c>
      <c r="L17" s="69" t="s">
        <v>118</v>
      </c>
      <c r="M17" s="74">
        <v>1.4</v>
      </c>
      <c r="N17" s="75">
        <v>0.38888888888888884</v>
      </c>
      <c r="P17" s="69" t="s">
        <v>99</v>
      </c>
      <c r="Q17" s="74">
        <v>1.8</v>
      </c>
      <c r="R17" s="75">
        <v>2.6666666666666668E-2</v>
      </c>
      <c r="S17" s="85">
        <f t="shared" si="1"/>
        <v>0.14518518518518519</v>
      </c>
      <c r="T17" s="85">
        <f t="shared" si="2"/>
        <v>8.7407407407407406E-2</v>
      </c>
      <c r="V17" s="71" t="s">
        <v>159</v>
      </c>
      <c r="W17" s="75">
        <v>4.0189125295508277E-2</v>
      </c>
      <c r="X17" s="85">
        <v>3.309692671394799E-2</v>
      </c>
      <c r="Z17" s="71" t="s">
        <v>112</v>
      </c>
      <c r="AA17" s="74">
        <v>1.3</v>
      </c>
      <c r="AB17" s="75">
        <v>0.10743801652892562</v>
      </c>
      <c r="AC17" s="75">
        <v>0.73553719008264473</v>
      </c>
      <c r="AD17" s="75">
        <v>0.26446280991735538</v>
      </c>
      <c r="AE17" s="85">
        <f t="shared" si="3"/>
        <v>0.15702479338842976</v>
      </c>
      <c r="AF17" s="85">
        <f t="shared" si="4"/>
        <v>0.10743801652892562</v>
      </c>
      <c r="AG17" s="85">
        <f t="shared" si="5"/>
        <v>8.2644628099173556E-3</v>
      </c>
      <c r="AI17" s="71" t="s">
        <v>128</v>
      </c>
      <c r="AJ17" s="74">
        <v>3</v>
      </c>
      <c r="AK17" s="75">
        <v>0.1195219123505976</v>
      </c>
      <c r="AL17" s="75">
        <v>0.23107569721115537</v>
      </c>
      <c r="AM17" s="80">
        <f t="shared" si="6"/>
        <v>-0.1195219123505976</v>
      </c>
    </row>
    <row r="18" spans="2:39" x14ac:dyDescent="0.25">
      <c r="B18" s="69" t="s">
        <v>167</v>
      </c>
      <c r="C18" s="74">
        <f>Generation_Entsoe_SFS_2018!G15+Generation_Entsoe_SFS_2018!H15+Generation_Entsoe_SFS_2018!J15</f>
        <v>5.8</v>
      </c>
      <c r="D18" s="75">
        <f>C18/Generation_Entsoe_SFS_2018!AI15</f>
        <v>8.5925925925925919E-2</v>
      </c>
      <c r="E18" s="75">
        <f>Generation_Entsoe_SFS_2018!I15/Generation_Entsoe_SFS_2018!AI15</f>
        <v>5.7777777777777775E-2</v>
      </c>
      <c r="F18" s="75">
        <f>Generation_Entsoe_SFS_2018!T15/Generation_Entsoe_SFS_2018!AI15</f>
        <v>0.46962962962962962</v>
      </c>
      <c r="G18" s="75">
        <f>Generation_Entsoe_SFS_2018!F15/Generation_Entsoe_SFS_2018!AI15</f>
        <v>0.19259259259259259</v>
      </c>
      <c r="H18" s="85">
        <f>Generation_Entsoe_SFS_2018!V15/Generation_Entsoe_SFS_2018!AI15</f>
        <v>8.7407407407407406E-2</v>
      </c>
      <c r="I18" s="85">
        <f>Generation_Entsoe_SFS_2018!W15/Generation_Entsoe_SFS_2018!AI15</f>
        <v>2.9629629629629632E-3</v>
      </c>
      <c r="J18" s="85">
        <f t="shared" si="0"/>
        <v>9.0370370370370365E-2</v>
      </c>
      <c r="L18" s="69" t="s">
        <v>99</v>
      </c>
      <c r="M18" s="74">
        <v>1.8</v>
      </c>
      <c r="N18" s="75">
        <v>2.6666666666666668E-2</v>
      </c>
      <c r="P18" s="69" t="s">
        <v>101</v>
      </c>
      <c r="Q18" s="74">
        <v>2.1</v>
      </c>
      <c r="R18" s="75">
        <v>3.0390738060781481E-2</v>
      </c>
      <c r="S18" s="85">
        <f t="shared" si="1"/>
        <v>0.31982633863965271</v>
      </c>
      <c r="T18" s="85">
        <f t="shared" si="2"/>
        <v>5.3545586107091182E-2</v>
      </c>
      <c r="V18" s="71" t="s">
        <v>162</v>
      </c>
      <c r="W18" s="75">
        <v>5.3789731051344748E-2</v>
      </c>
      <c r="X18" s="85">
        <v>2.8117359413202932E-2</v>
      </c>
      <c r="Z18" s="71" t="s">
        <v>127</v>
      </c>
      <c r="AA18" s="74">
        <v>4</v>
      </c>
      <c r="AB18" s="75">
        <v>0.26666666666666666</v>
      </c>
      <c r="AC18" s="75">
        <v>0.33333333333333331</v>
      </c>
      <c r="AD18" s="75">
        <v>0.27333333333333332</v>
      </c>
      <c r="AE18" s="85">
        <f t="shared" si="3"/>
        <v>0</v>
      </c>
      <c r="AF18" s="85">
        <f t="shared" si="4"/>
        <v>0</v>
      </c>
      <c r="AG18" s="85">
        <f t="shared" si="5"/>
        <v>1.3333333333333334E-2</v>
      </c>
      <c r="AI18" s="71" t="s">
        <v>125</v>
      </c>
      <c r="AJ18" s="74">
        <v>28.1</v>
      </c>
      <c r="AK18" s="75">
        <v>0.70959595959595956</v>
      </c>
      <c r="AL18" s="75">
        <v>0.26515151515151514</v>
      </c>
      <c r="AM18" s="80">
        <f t="shared" si="6"/>
        <v>-0.70959595959595956</v>
      </c>
    </row>
    <row r="19" spans="2:39" x14ac:dyDescent="0.25">
      <c r="B19" s="69" t="s">
        <v>168</v>
      </c>
      <c r="C19" s="74">
        <f>Generation_Entsoe_SFS_2018!G16+Generation_Entsoe_SFS_2018!H16+Generation_Entsoe_SFS_2018!J16</f>
        <v>5.8</v>
      </c>
      <c r="D19" s="75">
        <f>C19/Generation_Entsoe_SFS_2018!AI16</f>
        <v>1.0572366022602989E-2</v>
      </c>
      <c r="E19" s="75">
        <f>Generation_Entsoe_SFS_2018!I16/Generation_Entsoe_SFS_2018!AI16</f>
        <v>5.723660226029894E-2</v>
      </c>
      <c r="F19" s="75">
        <f>Generation_Entsoe_SFS_2018!T16/Generation_Entsoe_SFS_2018!AI16</f>
        <v>0.19832300401020778</v>
      </c>
      <c r="G19" s="75">
        <f>Generation_Entsoe_SFS_2018!F16/Generation_Entsoe_SFS_2018!AI16</f>
        <v>7.2001458257382425E-2</v>
      </c>
      <c r="H19" s="85">
        <f>Generation_Entsoe_SFS_2018!V16/Generation_Entsoe_SFS_2018!AI16</f>
        <v>5.0674444039372948E-2</v>
      </c>
      <c r="I19" s="85">
        <f>Generation_Entsoe_SFS_2018!W16/Generation_Entsoe_SFS_2018!AI16</f>
        <v>1.859278162595698E-2</v>
      </c>
      <c r="J19" s="85">
        <f t="shared" si="0"/>
        <v>6.9267225665329932E-2</v>
      </c>
      <c r="L19" s="69" t="s">
        <v>101</v>
      </c>
      <c r="M19" s="74">
        <v>2.1</v>
      </c>
      <c r="N19" s="75">
        <v>3.0390738060781481E-2</v>
      </c>
      <c r="P19" s="69" t="s">
        <v>110</v>
      </c>
      <c r="Q19" s="74">
        <v>16.8</v>
      </c>
      <c r="R19" s="75">
        <v>5.8782365290412877E-2</v>
      </c>
      <c r="S19" s="85">
        <f t="shared" si="1"/>
        <v>0.45451364590622811</v>
      </c>
      <c r="T19" s="85">
        <f t="shared" si="2"/>
        <v>8.9573128061581533E-2</v>
      </c>
      <c r="V19" s="71" t="s">
        <v>168</v>
      </c>
      <c r="W19" s="75">
        <v>5.723660226029894E-2</v>
      </c>
      <c r="X19" s="85">
        <v>1.859278162595698E-2</v>
      </c>
      <c r="Z19" s="71" t="s">
        <v>106</v>
      </c>
      <c r="AA19" s="74">
        <v>6.9</v>
      </c>
      <c r="AB19" s="75">
        <v>0.23875432525951559</v>
      </c>
      <c r="AC19" s="75">
        <v>0.68512110726643605</v>
      </c>
      <c r="AD19" s="75">
        <v>0.31487889273356401</v>
      </c>
      <c r="AE19" s="85">
        <f t="shared" si="3"/>
        <v>7.6124567474048457E-2</v>
      </c>
      <c r="AF19" s="85">
        <f t="shared" si="4"/>
        <v>0.32179930795847755</v>
      </c>
      <c r="AG19" s="85">
        <f t="shared" si="5"/>
        <v>3.4602076124567477E-2</v>
      </c>
      <c r="AI19" s="71" t="s">
        <v>110</v>
      </c>
      <c r="AJ19" s="74">
        <v>16.8</v>
      </c>
      <c r="AK19" s="75">
        <v>5.8782365290412877E-2</v>
      </c>
      <c r="AL19" s="75">
        <v>0.27431770468859346</v>
      </c>
      <c r="AM19" s="80">
        <f t="shared" si="6"/>
        <v>-5.8782365290412877E-2</v>
      </c>
    </row>
    <row r="20" spans="2:39" x14ac:dyDescent="0.25">
      <c r="B20" s="69" t="s">
        <v>169</v>
      </c>
      <c r="C20" s="74">
        <f>Generation_Entsoe_SFS_2018!G17+Generation_Entsoe_SFS_2018!H17+Generation_Entsoe_SFS_2018!J17</f>
        <v>16.8</v>
      </c>
      <c r="D20" s="75">
        <f>C20/Generation_Entsoe_SFS_2018!AI17</f>
        <v>5.8782365290412877E-2</v>
      </c>
      <c r="E20" s="75">
        <f>Generation_Entsoe_SFS_2018!I17/Generation_Entsoe_SFS_2018!AI17</f>
        <v>0.45451364590622811</v>
      </c>
      <c r="F20" s="75">
        <f>Generation_Entsoe_SFS_2018!T17/Generation_Entsoe_SFS_2018!AI17</f>
        <v>0.27431770468859346</v>
      </c>
      <c r="G20" s="75">
        <f>Generation_Entsoe_SFS_2018!F17/Generation_Entsoe_SFS_2018!AI17</f>
        <v>0.51329601119664092</v>
      </c>
      <c r="H20" s="85">
        <f>Generation_Entsoe_SFS_2018!V17/Generation_Entsoe_SFS_2018!AI17</f>
        <v>8.9573128061581533E-2</v>
      </c>
      <c r="I20" s="85">
        <f>Generation_Entsoe_SFS_2018!W17/Generation_Entsoe_SFS_2018!AI17</f>
        <v>4.1287613715885234E-2</v>
      </c>
      <c r="J20" s="85">
        <f t="shared" si="0"/>
        <v>0.13086074177746676</v>
      </c>
      <c r="L20" s="69" t="s">
        <v>114</v>
      </c>
      <c r="M20" s="74">
        <v>2.1</v>
      </c>
      <c r="N20" s="75">
        <v>7.1672354948805458E-2</v>
      </c>
      <c r="P20" s="69" t="s">
        <v>114</v>
      </c>
      <c r="Q20" s="74">
        <v>2.1</v>
      </c>
      <c r="R20" s="75">
        <v>7.1672354948805458E-2</v>
      </c>
      <c r="S20" s="85">
        <f t="shared" si="1"/>
        <v>0.50853242320819114</v>
      </c>
      <c r="T20" s="85">
        <f t="shared" si="2"/>
        <v>0.28668941979522183</v>
      </c>
      <c r="V20" s="71" t="s">
        <v>167</v>
      </c>
      <c r="W20" s="75">
        <v>5.7777777777777775E-2</v>
      </c>
      <c r="X20" s="85">
        <v>2.9629629629629632E-3</v>
      </c>
      <c r="Z20" s="71" t="s">
        <v>101</v>
      </c>
      <c r="AA20" s="74">
        <v>2.1</v>
      </c>
      <c r="AB20" s="75">
        <v>3.0390738060781481E-2</v>
      </c>
      <c r="AC20" s="75">
        <v>0.22575976845151954</v>
      </c>
      <c r="AD20" s="75">
        <v>0.35166425470332857</v>
      </c>
      <c r="AE20" s="85">
        <f t="shared" si="3"/>
        <v>0.31982633863965271</v>
      </c>
      <c r="AF20" s="85">
        <f t="shared" si="4"/>
        <v>5.3545586107091182E-2</v>
      </c>
      <c r="AG20" s="85">
        <f t="shared" si="5"/>
        <v>5.0651230101302465E-2</v>
      </c>
      <c r="AI20" s="71" t="s">
        <v>129</v>
      </c>
      <c r="AJ20" s="74">
        <v>112.6</v>
      </c>
      <c r="AK20" s="75">
        <v>0.37483355525965378</v>
      </c>
      <c r="AL20" s="75">
        <v>0.32256990679094544</v>
      </c>
      <c r="AM20" s="80">
        <f t="shared" si="6"/>
        <v>-0.37483355525965378</v>
      </c>
    </row>
    <row r="21" spans="2:39" x14ac:dyDescent="0.25">
      <c r="B21" s="69" t="s">
        <v>170</v>
      </c>
      <c r="C21" s="74">
        <f>Generation_Entsoe_SFS_2018!G18+Generation_Entsoe_SFS_2018!H18+Generation_Entsoe_SFS_2018!J18</f>
        <v>14.9</v>
      </c>
      <c r="D21" s="75">
        <f>C21/Generation_Entsoe_SFS_2018!AI18</f>
        <v>0.32891832229580575</v>
      </c>
      <c r="E21" s="75">
        <f>Generation_Entsoe_SFS_2018!I18/Generation_Entsoe_SFS_2018!AI18</f>
        <v>0.3112582781456954</v>
      </c>
      <c r="F21" s="75">
        <f>Generation_Entsoe_SFS_2018!T18/Generation_Entsoe_SFS_2018!AI18</f>
        <v>0.35982339955849896</v>
      </c>
      <c r="G21" s="75">
        <f>Generation_Entsoe_SFS_2018!F18/Generation_Entsoe_SFS_2018!AI18</f>
        <v>0.64017660044150115</v>
      </c>
      <c r="H21" s="85">
        <f>Generation_Entsoe_SFS_2018!V18/Generation_Entsoe_SFS_2018!AI18</f>
        <v>0.12362030905077263</v>
      </c>
      <c r="I21" s="85">
        <f>Generation_Entsoe_SFS_2018!W18/Generation_Entsoe_SFS_2018!AI18</f>
        <v>7.7262693156732898E-2</v>
      </c>
      <c r="J21" s="85">
        <f t="shared" si="0"/>
        <v>0.20088300220750555</v>
      </c>
      <c r="L21" s="69" t="s">
        <v>119</v>
      </c>
      <c r="M21" s="74">
        <v>2.7</v>
      </c>
      <c r="N21" s="75">
        <v>0.51923076923076927</v>
      </c>
      <c r="P21" s="69" t="s">
        <v>108</v>
      </c>
      <c r="Q21" s="74">
        <v>5.8</v>
      </c>
      <c r="R21" s="75">
        <v>8.5925925925925919E-2</v>
      </c>
      <c r="S21" s="85">
        <f t="shared" si="1"/>
        <v>5.7777777777777775E-2</v>
      </c>
      <c r="T21" s="85">
        <f t="shared" si="2"/>
        <v>8.7407407407407406E-2</v>
      </c>
      <c r="V21" s="71" t="s">
        <v>189</v>
      </c>
      <c r="W21" s="75">
        <v>7.1713147410358558E-2</v>
      </c>
      <c r="X21" s="85">
        <v>2.3904382470119518E-2</v>
      </c>
      <c r="Z21" s="71" t="s">
        <v>113</v>
      </c>
      <c r="AA21" s="74">
        <v>4.5</v>
      </c>
      <c r="AB21" s="75">
        <v>0.15957446808510639</v>
      </c>
      <c r="AC21" s="75">
        <v>0.12056737588652482</v>
      </c>
      <c r="AD21" s="75">
        <v>0.3546099290780142</v>
      </c>
      <c r="AE21" s="85">
        <f t="shared" si="3"/>
        <v>0.19148936170212769</v>
      </c>
      <c r="AF21" s="85">
        <f t="shared" si="4"/>
        <v>2.1276595744680851E-2</v>
      </c>
      <c r="AG21" s="85">
        <f t="shared" si="5"/>
        <v>1.0638297872340425E-2</v>
      </c>
      <c r="AI21" s="71" t="s">
        <v>114</v>
      </c>
      <c r="AJ21" s="74">
        <v>2.1</v>
      </c>
      <c r="AK21" s="75">
        <v>7.1672354948805458E-2</v>
      </c>
      <c r="AL21" s="75">
        <v>0.32423208191126279</v>
      </c>
      <c r="AM21" s="80">
        <f t="shared" si="6"/>
        <v>-7.1672354948805458E-2</v>
      </c>
    </row>
    <row r="22" spans="2:39" x14ac:dyDescent="0.25">
      <c r="B22" s="69" t="s">
        <v>171</v>
      </c>
      <c r="C22" s="74">
        <f>Generation_Entsoe_SFS_2018!G19+Generation_Entsoe_SFS_2018!H19+Generation_Entsoe_SFS_2018!J19</f>
        <v>1.3</v>
      </c>
      <c r="D22" s="75">
        <f>C22/Generation_Entsoe_SFS_2018!AI19</f>
        <v>0.10743801652892562</v>
      </c>
      <c r="E22" s="75">
        <f>Generation_Entsoe_SFS_2018!I19/Generation_Entsoe_SFS_2018!AI19</f>
        <v>0.15702479338842976</v>
      </c>
      <c r="F22" s="75">
        <f>Generation_Entsoe_SFS_2018!T19/Generation_Entsoe_SFS_2018!AI19</f>
        <v>0.73553719008264473</v>
      </c>
      <c r="G22" s="75">
        <f>Generation_Entsoe_SFS_2018!F19/Generation_Entsoe_SFS_2018!AI19</f>
        <v>0.26446280991735538</v>
      </c>
      <c r="H22" s="85">
        <f>Generation_Entsoe_SFS_2018!V19/Generation_Entsoe_SFS_2018!AI19</f>
        <v>0.10743801652892562</v>
      </c>
      <c r="I22" s="85">
        <f>Generation_Entsoe_SFS_2018!W19/Generation_Entsoe_SFS_2018!AI19</f>
        <v>8.2644628099173556E-3</v>
      </c>
      <c r="J22" s="85">
        <f t="shared" si="0"/>
        <v>0.11570247933884298</v>
      </c>
      <c r="L22" s="69" t="s">
        <v>128</v>
      </c>
      <c r="M22" s="74">
        <v>3</v>
      </c>
      <c r="N22" s="75">
        <v>0.1195219123505976</v>
      </c>
      <c r="P22" s="69" t="s">
        <v>112</v>
      </c>
      <c r="Q22" s="74">
        <v>1.3</v>
      </c>
      <c r="R22" s="75">
        <v>0.10743801652892562</v>
      </c>
      <c r="S22" s="85">
        <f t="shared" si="1"/>
        <v>0.15702479338842976</v>
      </c>
      <c r="T22" s="85">
        <f t="shared" si="2"/>
        <v>0.10743801652892562</v>
      </c>
      <c r="V22" s="71" t="s">
        <v>164</v>
      </c>
      <c r="W22" s="75">
        <v>7.6124567474048457E-2</v>
      </c>
      <c r="X22" s="85">
        <v>3.4602076124567477E-2</v>
      </c>
      <c r="Z22" s="71" t="s">
        <v>118</v>
      </c>
      <c r="AA22" s="74">
        <v>1.4</v>
      </c>
      <c r="AB22" s="75">
        <v>0.38888888888888884</v>
      </c>
      <c r="AC22" s="75">
        <v>5.5555555555555559E-2</v>
      </c>
      <c r="AD22" s="75">
        <v>0.38888888888888884</v>
      </c>
      <c r="AE22" s="85">
        <f t="shared" si="3"/>
        <v>0</v>
      </c>
      <c r="AF22" s="85">
        <f t="shared" si="4"/>
        <v>5.5555555555555559E-2</v>
      </c>
      <c r="AG22" s="85">
        <f t="shared" si="5"/>
        <v>0</v>
      </c>
      <c r="AI22" s="71" t="s">
        <v>127</v>
      </c>
      <c r="AJ22" s="74">
        <v>4</v>
      </c>
      <c r="AK22" s="75">
        <v>0.26666666666666666</v>
      </c>
      <c r="AL22" s="75">
        <v>0.33333333333333331</v>
      </c>
      <c r="AM22" s="80">
        <f t="shared" si="6"/>
        <v>-0.26666666666666666</v>
      </c>
    </row>
    <row r="23" spans="2:39" x14ac:dyDescent="0.25">
      <c r="B23" s="69" t="s">
        <v>172</v>
      </c>
      <c r="C23" s="74">
        <f>Generation_Entsoe_SFS_2018!G20+Generation_Entsoe_SFS_2018!H20+Generation_Entsoe_SFS_2018!J20</f>
        <v>4.5</v>
      </c>
      <c r="D23" s="75">
        <f>C23/Generation_Entsoe_SFS_2018!AI20</f>
        <v>0.15957446808510639</v>
      </c>
      <c r="E23" s="75">
        <f>Generation_Entsoe_SFS_2018!I20/Generation_Entsoe_SFS_2018!AI20</f>
        <v>0.19148936170212769</v>
      </c>
      <c r="F23" s="75">
        <f>Generation_Entsoe_SFS_2018!T20/Generation_Entsoe_SFS_2018!AI20</f>
        <v>0.12056737588652482</v>
      </c>
      <c r="G23" s="75">
        <f>Generation_Entsoe_SFS_2018!F20/Generation_Entsoe_SFS_2018!AI20</f>
        <v>0.3546099290780142</v>
      </c>
      <c r="H23" s="85">
        <f>Generation_Entsoe_SFS_2018!V20/Generation_Entsoe_SFS_2018!AI20</f>
        <v>2.1276595744680851E-2</v>
      </c>
      <c r="I23" s="85">
        <f>Generation_Entsoe_SFS_2018!W20/Generation_Entsoe_SFS_2018!AI20</f>
        <v>1.0638297872340425E-2</v>
      </c>
      <c r="J23" s="85">
        <f t="shared" si="0"/>
        <v>3.1914893617021274E-2</v>
      </c>
      <c r="L23" s="69" t="s">
        <v>127</v>
      </c>
      <c r="M23" s="74">
        <v>4</v>
      </c>
      <c r="N23" s="75">
        <v>0.26666666666666666</v>
      </c>
      <c r="P23" s="69" t="s">
        <v>115</v>
      </c>
      <c r="Q23" s="74">
        <v>31</v>
      </c>
      <c r="R23" s="75">
        <v>0.11051693404634581</v>
      </c>
      <c r="S23" s="85">
        <f t="shared" si="1"/>
        <v>0.44206773618538325</v>
      </c>
      <c r="T23" s="85">
        <f t="shared" si="2"/>
        <v>6.1675579322638147E-2</v>
      </c>
      <c r="V23" s="71" t="s">
        <v>183</v>
      </c>
      <c r="W23" s="75">
        <v>7.8930617441120315E-2</v>
      </c>
      <c r="X23" s="85">
        <v>1.9096117122851686E-3</v>
      </c>
      <c r="Z23" s="71" t="s">
        <v>107</v>
      </c>
      <c r="AA23" s="74">
        <v>37.299999999999997</v>
      </c>
      <c r="AB23" s="75">
        <v>0.14291187739463601</v>
      </c>
      <c r="AC23" s="75">
        <v>0.38429118773946358</v>
      </c>
      <c r="AD23" s="75">
        <v>0.3946360153256705</v>
      </c>
      <c r="AE23" s="85">
        <f t="shared" si="3"/>
        <v>0.20574712643678161</v>
      </c>
      <c r="AF23" s="85">
        <f t="shared" si="4"/>
        <v>0.19003831417624523</v>
      </c>
      <c r="AG23" s="85">
        <f t="shared" si="5"/>
        <v>2.9885057471264367E-2</v>
      </c>
      <c r="AI23" s="71" t="s">
        <v>119</v>
      </c>
      <c r="AJ23" s="74">
        <v>2.7</v>
      </c>
      <c r="AK23" s="75">
        <v>0.51923076923076927</v>
      </c>
      <c r="AL23" s="75">
        <v>0.34615384615384615</v>
      </c>
      <c r="AM23" s="80">
        <f t="shared" si="6"/>
        <v>-0.51923076923076927</v>
      </c>
    </row>
    <row r="24" spans="2:39" x14ac:dyDescent="0.25">
      <c r="B24" s="69" t="s">
        <v>173</v>
      </c>
      <c r="C24" s="74">
        <f>Generation_Entsoe_SFS_2018!G21+Generation_Entsoe_SFS_2018!H21+Generation_Entsoe_SFS_2018!J21</f>
        <v>2.1</v>
      </c>
      <c r="D24" s="75">
        <f>C24/Generation_Entsoe_SFS_2018!AI21</f>
        <v>7.1672354948805458E-2</v>
      </c>
      <c r="E24" s="75">
        <f>Generation_Entsoe_SFS_2018!I21/Generation_Entsoe_SFS_2018!AI21</f>
        <v>0.50853242320819114</v>
      </c>
      <c r="F24" s="75">
        <f>Generation_Entsoe_SFS_2018!T21/Generation_Entsoe_SFS_2018!AI21</f>
        <v>0.32423208191126279</v>
      </c>
      <c r="G24" s="75">
        <f>Generation_Entsoe_SFS_2018!F21/Generation_Entsoe_SFS_2018!AI21</f>
        <v>0.65870307167235498</v>
      </c>
      <c r="H24" s="85">
        <f>Generation_Entsoe_SFS_2018!V21/Generation_Entsoe_SFS_2018!AI21</f>
        <v>0.28668941979522183</v>
      </c>
      <c r="I24" s="85">
        <f>Generation_Entsoe_SFS_2018!W21/Generation_Entsoe_SFS_2018!AI21</f>
        <v>0</v>
      </c>
      <c r="J24" s="85">
        <f t="shared" si="0"/>
        <v>0.28668941979522183</v>
      </c>
      <c r="L24" s="69" t="s">
        <v>113</v>
      </c>
      <c r="M24" s="74">
        <v>4.5</v>
      </c>
      <c r="N24" s="75">
        <v>0.15957446808510639</v>
      </c>
      <c r="P24" s="69" t="s">
        <v>128</v>
      </c>
      <c r="Q24" s="74">
        <v>3</v>
      </c>
      <c r="R24" s="75">
        <v>0.1195219123505976</v>
      </c>
      <c r="S24" s="85">
        <f t="shared" si="1"/>
        <v>7.1713147410358558E-2</v>
      </c>
      <c r="T24" s="85">
        <f t="shared" si="2"/>
        <v>0</v>
      </c>
      <c r="V24" s="71" t="s">
        <v>185</v>
      </c>
      <c r="W24" s="75">
        <v>8.2372322899505759E-2</v>
      </c>
      <c r="X24" s="85">
        <v>2.9654036243822075E-2</v>
      </c>
      <c r="Z24" s="71" t="s">
        <v>124</v>
      </c>
      <c r="AA24" s="74">
        <v>14</v>
      </c>
      <c r="AB24" s="75">
        <v>0.23064250411861614</v>
      </c>
      <c r="AC24" s="75">
        <v>0.42833607907742999</v>
      </c>
      <c r="AD24" s="75">
        <v>0.40032948929159801</v>
      </c>
      <c r="AE24" s="85">
        <f t="shared" si="3"/>
        <v>8.2372322899505759E-2</v>
      </c>
      <c r="AF24" s="85">
        <f t="shared" si="4"/>
        <v>0.10378912685337725</v>
      </c>
      <c r="AG24" s="85">
        <f t="shared" si="5"/>
        <v>2.9654036243822075E-2</v>
      </c>
      <c r="AI24" s="71" t="s">
        <v>202</v>
      </c>
      <c r="AJ24" s="74">
        <v>721.2</v>
      </c>
      <c r="AK24" s="75">
        <v>0.19709764696236781</v>
      </c>
      <c r="AL24" s="75">
        <v>0.35538793692438037</v>
      </c>
      <c r="AM24" s="80">
        <f t="shared" si="6"/>
        <v>-0.19709764696236781</v>
      </c>
    </row>
    <row r="25" spans="2:39" x14ac:dyDescent="0.25">
      <c r="B25" s="69" t="s">
        <v>174</v>
      </c>
      <c r="C25" s="74">
        <f>Generation_Entsoe_SFS_2018!G22+Generation_Entsoe_SFS_2018!H22+Generation_Entsoe_SFS_2018!J22</f>
        <v>0</v>
      </c>
      <c r="D25" s="75">
        <f>C25/Generation_Entsoe_SFS_2018!AI22</f>
        <v>0</v>
      </c>
      <c r="E25" s="75">
        <f>Generation_Entsoe_SFS_2018!I22/Generation_Entsoe_SFS_2018!AI22</f>
        <v>0</v>
      </c>
      <c r="F25" s="75">
        <f>Generation_Entsoe_SFS_2018!T22/Generation_Entsoe_SFS_2018!AI22</f>
        <v>1</v>
      </c>
      <c r="G25" s="75">
        <f>Generation_Entsoe_SFS_2018!F22/Generation_Entsoe_SFS_2018!AI22</f>
        <v>0</v>
      </c>
      <c r="H25" s="85">
        <f>Generation_Entsoe_SFS_2018!V22/Generation_Entsoe_SFS_2018!AI22</f>
        <v>0</v>
      </c>
      <c r="I25" s="85">
        <f>Generation_Entsoe_SFS_2018!W22/Generation_Entsoe_SFS_2018!AI22</f>
        <v>0</v>
      </c>
      <c r="J25" s="85">
        <f t="shared" si="0"/>
        <v>0</v>
      </c>
      <c r="L25" s="69" t="s">
        <v>108</v>
      </c>
      <c r="M25" s="74">
        <v>5.8</v>
      </c>
      <c r="N25" s="75">
        <v>8.5925925925925919E-2</v>
      </c>
      <c r="P25" s="69" t="s">
        <v>107</v>
      </c>
      <c r="Q25" s="74">
        <v>37.299999999999997</v>
      </c>
      <c r="R25" s="75">
        <v>0.14291187739463601</v>
      </c>
      <c r="S25" s="85">
        <f t="shared" si="1"/>
        <v>0.20574712643678161</v>
      </c>
      <c r="T25" s="85">
        <f t="shared" si="2"/>
        <v>0.19003831417624523</v>
      </c>
      <c r="V25" s="71" t="s">
        <v>176</v>
      </c>
      <c r="W25" s="75">
        <v>9.3749999999999986E-2</v>
      </c>
      <c r="X25" s="85">
        <v>3.125E-2</v>
      </c>
      <c r="Z25" s="71" t="s">
        <v>202</v>
      </c>
      <c r="AA25" s="74">
        <v>721.2</v>
      </c>
      <c r="AB25" s="75">
        <v>0.19709764696236781</v>
      </c>
      <c r="AC25" s="75">
        <v>0.35538793692438037</v>
      </c>
      <c r="AD25" s="75">
        <v>0.40687600776147143</v>
      </c>
      <c r="AE25" s="85">
        <f t="shared" si="3"/>
        <v>0.1940367850017764</v>
      </c>
      <c r="AF25" s="85">
        <f t="shared" si="4"/>
        <v>9.0814681205760986E-2</v>
      </c>
      <c r="AG25" s="85">
        <f t="shared" si="5"/>
        <v>3.3150228198190815E-2</v>
      </c>
      <c r="AI25" s="71" t="s">
        <v>105</v>
      </c>
      <c r="AJ25" s="74">
        <v>207.70000000000002</v>
      </c>
      <c r="AK25" s="75">
        <v>0.34755689424364122</v>
      </c>
      <c r="AL25" s="75">
        <v>0.35625836680053546</v>
      </c>
      <c r="AM25" s="80">
        <f t="shared" si="6"/>
        <v>-0.34755689424364122</v>
      </c>
    </row>
    <row r="26" spans="2:39" x14ac:dyDescent="0.25">
      <c r="B26" s="69" t="s">
        <v>175</v>
      </c>
      <c r="C26" s="74">
        <f>Generation_Entsoe_SFS_2018!G23+Generation_Entsoe_SFS_2018!H23+Generation_Entsoe_SFS_2018!J23</f>
        <v>31</v>
      </c>
      <c r="D26" s="75">
        <f>C26/Generation_Entsoe_SFS_2018!AI23</f>
        <v>0.11051693404634581</v>
      </c>
      <c r="E26" s="75">
        <f>Generation_Entsoe_SFS_2018!I23/Generation_Entsoe_SFS_2018!AI23</f>
        <v>0.44206773618538325</v>
      </c>
      <c r="F26" s="75">
        <f>Generation_Entsoe_SFS_2018!T23/Generation_Entsoe_SFS_2018!AI23</f>
        <v>0.39286987522281641</v>
      </c>
      <c r="G26" s="75">
        <f>Generation_Entsoe_SFS_2018!F23/Generation_Entsoe_SFS_2018!AI23</f>
        <v>0.56577540106951862</v>
      </c>
      <c r="H26" s="85">
        <f>Generation_Entsoe_SFS_2018!V23/Generation_Entsoe_SFS_2018!AI23</f>
        <v>6.1675579322638147E-2</v>
      </c>
      <c r="I26" s="85">
        <f>Generation_Entsoe_SFS_2018!W23/Generation_Entsoe_SFS_2018!AI23</f>
        <v>8.1639928698752223E-2</v>
      </c>
      <c r="J26" s="85">
        <f t="shared" si="0"/>
        <v>0.14331550802139037</v>
      </c>
      <c r="L26" s="69" t="s">
        <v>109</v>
      </c>
      <c r="M26" s="74">
        <v>5.8</v>
      </c>
      <c r="N26" s="75">
        <v>1.0572366022602989E-2</v>
      </c>
      <c r="P26" s="69" t="s">
        <v>120</v>
      </c>
      <c r="Q26" s="74">
        <v>16.7</v>
      </c>
      <c r="R26" s="75">
        <v>0.15377532228360957</v>
      </c>
      <c r="S26" s="85">
        <f t="shared" si="1"/>
        <v>0.6574585635359117</v>
      </c>
      <c r="T26" s="85">
        <f t="shared" si="2"/>
        <v>6.8139963167587483E-2</v>
      </c>
      <c r="V26" s="71" t="s">
        <v>177</v>
      </c>
      <c r="W26" s="75">
        <v>0.1</v>
      </c>
      <c r="X26" s="85">
        <v>0.05</v>
      </c>
      <c r="Z26" s="71" t="s">
        <v>102</v>
      </c>
      <c r="AA26" s="74">
        <v>17.100000000000001</v>
      </c>
      <c r="AB26" s="75">
        <v>0.40425531914893625</v>
      </c>
      <c r="AC26" s="75">
        <v>0.18912529550827425</v>
      </c>
      <c r="AD26" s="75">
        <v>0.44208037825059104</v>
      </c>
      <c r="AE26" s="85">
        <f t="shared" si="3"/>
        <v>4.0189125295508277E-2</v>
      </c>
      <c r="AF26" s="85">
        <f t="shared" si="4"/>
        <v>3.309692671394799E-2</v>
      </c>
      <c r="AG26" s="85">
        <f t="shared" si="5"/>
        <v>3.309692671394799E-2</v>
      </c>
      <c r="AI26" s="71" t="s">
        <v>111</v>
      </c>
      <c r="AJ26" s="74">
        <v>14.9</v>
      </c>
      <c r="AK26" s="75">
        <v>0.32891832229580575</v>
      </c>
      <c r="AL26" s="75">
        <v>0.35982339955849896</v>
      </c>
      <c r="AM26" s="80">
        <f t="shared" si="6"/>
        <v>-0.32891832229580575</v>
      </c>
    </row>
    <row r="27" spans="2:39" x14ac:dyDescent="0.25">
      <c r="B27" s="69" t="s">
        <v>176</v>
      </c>
      <c r="C27" s="74">
        <f>Generation_Entsoe_SFS_2018!G24+Generation_Entsoe_SFS_2018!H24+Generation_Entsoe_SFS_2018!J24</f>
        <v>0</v>
      </c>
      <c r="D27" s="75">
        <f>C27/Generation_Entsoe_SFS_2018!AI24</f>
        <v>0</v>
      </c>
      <c r="E27" s="75">
        <f>Generation_Entsoe_SFS_2018!I24/Generation_Entsoe_SFS_2018!AI24</f>
        <v>9.3749999999999986E-2</v>
      </c>
      <c r="F27" s="75">
        <f>Generation_Entsoe_SFS_2018!T24/Generation_Entsoe_SFS_2018!AI24</f>
        <v>0.65625</v>
      </c>
      <c r="G27" s="75">
        <f>Generation_Entsoe_SFS_2018!F24/Generation_Entsoe_SFS_2018!AI24</f>
        <v>0.125</v>
      </c>
      <c r="H27" s="85">
        <f>Generation_Entsoe_SFS_2018!V24/Generation_Entsoe_SFS_2018!AI24</f>
        <v>0.34375</v>
      </c>
      <c r="I27" s="85">
        <f>Generation_Entsoe_SFS_2018!W24/Generation_Entsoe_SFS_2018!AI24</f>
        <v>3.125E-2</v>
      </c>
      <c r="J27" s="85">
        <f t="shared" si="0"/>
        <v>0.375</v>
      </c>
      <c r="L27" s="69" t="s">
        <v>106</v>
      </c>
      <c r="M27" s="74">
        <v>6.9</v>
      </c>
      <c r="N27" s="75">
        <v>0.23875432525951559</v>
      </c>
      <c r="P27" s="69" t="s">
        <v>113</v>
      </c>
      <c r="Q27" s="74">
        <v>4.5</v>
      </c>
      <c r="R27" s="75">
        <v>0.15957446808510639</v>
      </c>
      <c r="S27" s="85">
        <f t="shared" si="1"/>
        <v>0.19148936170212769</v>
      </c>
      <c r="T27" s="85">
        <f t="shared" si="2"/>
        <v>2.1276595744680851E-2</v>
      </c>
      <c r="V27" s="71" t="s">
        <v>180</v>
      </c>
      <c r="W27" s="75">
        <v>0.13461538461538461</v>
      </c>
      <c r="X27" s="85">
        <v>0</v>
      </c>
      <c r="Z27" s="71" t="s">
        <v>123</v>
      </c>
      <c r="AA27" s="74">
        <v>11.1</v>
      </c>
      <c r="AB27" s="75">
        <v>0.2014519056261343</v>
      </c>
      <c r="AC27" s="75">
        <v>0.50816696914700543</v>
      </c>
      <c r="AD27" s="75">
        <v>0.46460980036297644</v>
      </c>
      <c r="AE27" s="85">
        <f t="shared" si="3"/>
        <v>0.2613430127041742</v>
      </c>
      <c r="AF27" s="85">
        <f t="shared" si="4"/>
        <v>0.22504537205081671</v>
      </c>
      <c r="AG27" s="85">
        <f t="shared" si="5"/>
        <v>1.4519056261343014E-2</v>
      </c>
      <c r="AI27" s="71" t="s">
        <v>100</v>
      </c>
      <c r="AJ27" s="74">
        <v>10.8</v>
      </c>
      <c r="AK27" s="75">
        <v>0.62427745664739887</v>
      </c>
      <c r="AL27" s="75">
        <v>0.36416184971098264</v>
      </c>
      <c r="AM27" s="80">
        <f t="shared" si="6"/>
        <v>-0.62427745664739887</v>
      </c>
    </row>
    <row r="28" spans="2:39" x14ac:dyDescent="0.25">
      <c r="B28" s="69" t="s">
        <v>177</v>
      </c>
      <c r="C28" s="74">
        <f>Generation_Entsoe_SFS_2018!G25+Generation_Entsoe_SFS_2018!H25+Generation_Entsoe_SFS_2018!J25</f>
        <v>0</v>
      </c>
      <c r="D28" s="75">
        <f>C28/Generation_Entsoe_SFS_2018!AI25</f>
        <v>0</v>
      </c>
      <c r="E28" s="75">
        <f>Generation_Entsoe_SFS_2018!I25/Generation_Entsoe_SFS_2018!AI25</f>
        <v>0.1</v>
      </c>
      <c r="F28" s="75">
        <f>Generation_Entsoe_SFS_2018!T25/Generation_Entsoe_SFS_2018!AI25</f>
        <v>0.2</v>
      </c>
      <c r="G28" s="75">
        <f>Generation_Entsoe_SFS_2018!F25/Generation_Entsoe_SFS_2018!AI25</f>
        <v>0.1</v>
      </c>
      <c r="H28" s="85">
        <f>Generation_Entsoe_SFS_2018!V25/Generation_Entsoe_SFS_2018!AI25</f>
        <v>0.15</v>
      </c>
      <c r="I28" s="85">
        <f>Generation_Entsoe_SFS_2018!W25/Generation_Entsoe_SFS_2018!AI25</f>
        <v>0.05</v>
      </c>
      <c r="J28" s="85">
        <f t="shared" si="0"/>
        <v>0.2</v>
      </c>
      <c r="L28" s="69" t="s">
        <v>100</v>
      </c>
      <c r="M28" s="74">
        <v>10.8</v>
      </c>
      <c r="N28" s="75">
        <v>0.62427745664739887</v>
      </c>
      <c r="P28" s="71" t="s">
        <v>202</v>
      </c>
      <c r="Q28" s="79">
        <v>721.2</v>
      </c>
      <c r="R28" s="79">
        <v>0.19709764696236781</v>
      </c>
      <c r="S28" s="85">
        <f t="shared" si="1"/>
        <v>0.1940367850017764</v>
      </c>
      <c r="T28" s="85">
        <f t="shared" si="2"/>
        <v>9.0814681205760986E-2</v>
      </c>
      <c r="V28" s="71" t="s">
        <v>156</v>
      </c>
      <c r="W28" s="75">
        <v>0.14518518518518519</v>
      </c>
      <c r="X28" s="85">
        <v>0</v>
      </c>
      <c r="Z28" s="71" t="s">
        <v>201</v>
      </c>
      <c r="AA28" s="74">
        <v>0</v>
      </c>
      <c r="AB28" s="75">
        <v>0</v>
      </c>
      <c r="AC28" s="75">
        <v>0.52307692307692311</v>
      </c>
      <c r="AD28" s="75">
        <v>0.47692307692307695</v>
      </c>
      <c r="AE28" s="85">
        <f t="shared" si="3"/>
        <v>0.4</v>
      </c>
      <c r="AF28" s="85">
        <f t="shared" si="4"/>
        <v>1.5384615384615385E-2</v>
      </c>
      <c r="AG28" s="85">
        <f t="shared" si="5"/>
        <v>0</v>
      </c>
      <c r="AI28" s="71" t="s">
        <v>107</v>
      </c>
      <c r="AJ28" s="74">
        <v>37.299999999999997</v>
      </c>
      <c r="AK28" s="75">
        <v>0.14291187739463601</v>
      </c>
      <c r="AL28" s="75">
        <v>0.38429118773946358</v>
      </c>
      <c r="AM28" s="80">
        <f t="shared" si="6"/>
        <v>-0.14291187739463601</v>
      </c>
    </row>
    <row r="29" spans="2:39" x14ac:dyDescent="0.25">
      <c r="B29" s="69" t="s">
        <v>178</v>
      </c>
      <c r="C29" s="74">
        <f>Generation_Entsoe_SFS_2018!G26+Generation_Entsoe_SFS_2018!H26+Generation_Entsoe_SFS_2018!J26</f>
        <v>0</v>
      </c>
      <c r="D29" s="75">
        <f>C29/Generation_Entsoe_SFS_2018!AI26</f>
        <v>0</v>
      </c>
      <c r="E29" s="75">
        <f>Generation_Entsoe_SFS_2018!I26/Generation_Entsoe_SFS_2018!AI26</f>
        <v>0.4</v>
      </c>
      <c r="F29" s="75">
        <f>Generation_Entsoe_SFS_2018!T26/Generation_Entsoe_SFS_2018!AI26</f>
        <v>0.52307692307692311</v>
      </c>
      <c r="G29" s="75">
        <f>Generation_Entsoe_SFS_2018!F26/Generation_Entsoe_SFS_2018!AI26</f>
        <v>0.47692307692307695</v>
      </c>
      <c r="H29" s="85">
        <f>Generation_Entsoe_SFS_2018!V26/Generation_Entsoe_SFS_2018!AI26</f>
        <v>1.5384615384615385E-2</v>
      </c>
      <c r="I29" s="85">
        <f>Generation_Entsoe_SFS_2018!W26/Generation_Entsoe_SFS_2018!AI26</f>
        <v>0</v>
      </c>
      <c r="J29" s="85">
        <f t="shared" si="0"/>
        <v>1.5384615384615385E-2</v>
      </c>
      <c r="L29" s="69" t="s">
        <v>123</v>
      </c>
      <c r="M29" s="74">
        <v>11.1</v>
      </c>
      <c r="N29" s="75">
        <v>0.2014519056261343</v>
      </c>
      <c r="P29" s="69" t="s">
        <v>123</v>
      </c>
      <c r="Q29" s="74">
        <v>11.1</v>
      </c>
      <c r="R29" s="75">
        <v>0.2014519056261343</v>
      </c>
      <c r="S29" s="85">
        <f t="shared" si="1"/>
        <v>0.2613430127041742</v>
      </c>
      <c r="T29" s="85">
        <f t="shared" si="2"/>
        <v>0.22504537205081671</v>
      </c>
      <c r="V29" s="71" t="s">
        <v>163</v>
      </c>
      <c r="W29" s="75">
        <v>0.14608433734939757</v>
      </c>
      <c r="X29" s="85">
        <v>6.8942436412315927E-2</v>
      </c>
      <c r="Z29" s="71" t="s">
        <v>105</v>
      </c>
      <c r="AA29" s="74">
        <v>207.70000000000002</v>
      </c>
      <c r="AB29" s="75">
        <v>0.34755689424364122</v>
      </c>
      <c r="AC29" s="75">
        <v>0.35625836680053546</v>
      </c>
      <c r="AD29" s="75">
        <v>0.50351405622489953</v>
      </c>
      <c r="AE29" s="85">
        <f t="shared" si="3"/>
        <v>0.14608433734939757</v>
      </c>
      <c r="AF29" s="85">
        <f t="shared" si="4"/>
        <v>0.14759036144578314</v>
      </c>
      <c r="AG29" s="85">
        <f t="shared" si="5"/>
        <v>6.8942436412315927E-2</v>
      </c>
      <c r="AI29" s="71" t="s">
        <v>115</v>
      </c>
      <c r="AJ29" s="74">
        <v>31</v>
      </c>
      <c r="AK29" s="75">
        <v>0.11051693404634581</v>
      </c>
      <c r="AL29" s="75">
        <v>0.39286987522281641</v>
      </c>
      <c r="AM29" s="80">
        <f t="shared" si="6"/>
        <v>-0.11051693404634581</v>
      </c>
    </row>
    <row r="30" spans="2:39" x14ac:dyDescent="0.25">
      <c r="B30" s="69" t="s">
        <v>179</v>
      </c>
      <c r="C30" s="74">
        <f>Generation_Entsoe_SFS_2018!G27+Generation_Entsoe_SFS_2018!H27+Generation_Entsoe_SFS_2018!J27</f>
        <v>1.4</v>
      </c>
      <c r="D30" s="75">
        <f>C30/Generation_Entsoe_SFS_2018!AI27</f>
        <v>0.38888888888888884</v>
      </c>
      <c r="E30" s="75">
        <f>Generation_Entsoe_SFS_2018!I27/Generation_Entsoe_SFS_2018!AI27</f>
        <v>0</v>
      </c>
      <c r="F30" s="75">
        <f>Generation_Entsoe_SFS_2018!T27/Generation_Entsoe_SFS_2018!AI27</f>
        <v>5.5555555555555559E-2</v>
      </c>
      <c r="G30" s="75">
        <f>Generation_Entsoe_SFS_2018!F27/Generation_Entsoe_SFS_2018!AI27</f>
        <v>0.38888888888888884</v>
      </c>
      <c r="H30" s="85">
        <f>Generation_Entsoe_SFS_2018!V27/Generation_Entsoe_SFS_2018!AI27</f>
        <v>5.5555555555555559E-2</v>
      </c>
      <c r="I30" s="85">
        <f>Generation_Entsoe_SFS_2018!W27/Generation_Entsoe_SFS_2018!AI27</f>
        <v>0</v>
      </c>
      <c r="J30" s="85">
        <f t="shared" si="0"/>
        <v>5.5555555555555559E-2</v>
      </c>
      <c r="L30" s="69" t="s">
        <v>124</v>
      </c>
      <c r="M30" s="74">
        <v>14</v>
      </c>
      <c r="N30" s="75">
        <v>0.23064250411861614</v>
      </c>
      <c r="P30" s="69" t="s">
        <v>124</v>
      </c>
      <c r="Q30" s="74">
        <v>14</v>
      </c>
      <c r="R30" s="75">
        <v>0.23064250411861614</v>
      </c>
      <c r="S30" s="85">
        <f t="shared" si="1"/>
        <v>8.2372322899505759E-2</v>
      </c>
      <c r="T30" s="85">
        <f t="shared" si="2"/>
        <v>0.10378912685337725</v>
      </c>
      <c r="V30" s="71" t="s">
        <v>171</v>
      </c>
      <c r="W30" s="75">
        <v>0.15702479338842976</v>
      </c>
      <c r="X30" s="85">
        <v>8.2644628099173556E-3</v>
      </c>
      <c r="Z30" s="71" t="s">
        <v>110</v>
      </c>
      <c r="AA30" s="74">
        <v>16.8</v>
      </c>
      <c r="AB30" s="75">
        <v>5.8782365290412877E-2</v>
      </c>
      <c r="AC30" s="75">
        <v>0.27431770468859346</v>
      </c>
      <c r="AD30" s="75">
        <v>0.51329601119664092</v>
      </c>
      <c r="AE30" s="85">
        <f t="shared" si="3"/>
        <v>0.45451364590622811</v>
      </c>
      <c r="AF30" s="85">
        <f t="shared" si="4"/>
        <v>8.9573128061581533E-2</v>
      </c>
      <c r="AG30" s="85">
        <f t="shared" si="5"/>
        <v>4.1287613715885234E-2</v>
      </c>
      <c r="AI30" s="71" t="s">
        <v>124</v>
      </c>
      <c r="AJ30" s="74">
        <v>14</v>
      </c>
      <c r="AK30" s="75">
        <v>0.23064250411861614</v>
      </c>
      <c r="AL30" s="75">
        <v>0.42833607907742999</v>
      </c>
      <c r="AM30" s="80">
        <f t="shared" si="6"/>
        <v>-0.23064250411861614</v>
      </c>
    </row>
    <row r="31" spans="2:39" x14ac:dyDescent="0.25">
      <c r="B31" s="69" t="s">
        <v>180</v>
      </c>
      <c r="C31" s="74">
        <f>Generation_Entsoe_SFS_2018!G28+Generation_Entsoe_SFS_2018!H28+Generation_Entsoe_SFS_2018!J28</f>
        <v>2.7</v>
      </c>
      <c r="D31" s="75">
        <f>C31/Generation_Entsoe_SFS_2018!AI28</f>
        <v>0.51923076923076927</v>
      </c>
      <c r="E31" s="75">
        <f>Generation_Entsoe_SFS_2018!I28/Generation_Entsoe_SFS_2018!AI28</f>
        <v>0.13461538461538461</v>
      </c>
      <c r="F31" s="75">
        <f>Generation_Entsoe_SFS_2018!T28/Generation_Entsoe_SFS_2018!AI28</f>
        <v>0.34615384615384615</v>
      </c>
      <c r="G31" s="75">
        <f>Generation_Entsoe_SFS_2018!F28/Generation_Entsoe_SFS_2018!AI28</f>
        <v>0.65384615384615385</v>
      </c>
      <c r="H31" s="85">
        <f>Generation_Entsoe_SFS_2018!V28/Generation_Entsoe_SFS_2018!AI28</f>
        <v>1.9230769230769232E-2</v>
      </c>
      <c r="I31" s="85">
        <f>Generation_Entsoe_SFS_2018!W28/Generation_Entsoe_SFS_2018!AI28</f>
        <v>0</v>
      </c>
      <c r="J31" s="85">
        <f t="shared" si="0"/>
        <v>1.9230769230769232E-2</v>
      </c>
      <c r="L31" s="69" t="s">
        <v>111</v>
      </c>
      <c r="M31" s="74">
        <v>14.9</v>
      </c>
      <c r="N31" s="75">
        <v>0.32891832229580575</v>
      </c>
      <c r="P31" s="69" t="s">
        <v>106</v>
      </c>
      <c r="Q31" s="74">
        <v>6.9</v>
      </c>
      <c r="R31" s="75">
        <v>0.23875432525951559</v>
      </c>
      <c r="S31" s="85">
        <f t="shared" si="1"/>
        <v>7.6124567474048457E-2</v>
      </c>
      <c r="T31" s="85">
        <f t="shared" si="2"/>
        <v>0.32179930795847755</v>
      </c>
      <c r="V31" s="71" t="s">
        <v>172</v>
      </c>
      <c r="W31" s="75">
        <v>0.19148936170212769</v>
      </c>
      <c r="X31" s="85">
        <v>1.0638297872340425E-2</v>
      </c>
      <c r="Z31" s="71" t="s">
        <v>104</v>
      </c>
      <c r="AA31" s="74">
        <v>39.000000000000007</v>
      </c>
      <c r="AB31" s="75">
        <v>0.4767726161369194</v>
      </c>
      <c r="AC31" s="75">
        <v>0.10880195599022005</v>
      </c>
      <c r="AD31" s="75">
        <v>0.5330073349633252</v>
      </c>
      <c r="AE31" s="85">
        <f t="shared" si="3"/>
        <v>5.3789731051344748E-2</v>
      </c>
      <c r="AF31" s="85">
        <f t="shared" si="4"/>
        <v>7.3349633251833741E-3</v>
      </c>
      <c r="AG31" s="85">
        <f t="shared" si="5"/>
        <v>2.8117359413202932E-2</v>
      </c>
      <c r="AI31" s="71" t="s">
        <v>108</v>
      </c>
      <c r="AJ31" s="74">
        <v>5.8</v>
      </c>
      <c r="AK31" s="75">
        <v>8.5925925925925919E-2</v>
      </c>
      <c r="AL31" s="75">
        <v>0.46962962962962962</v>
      </c>
      <c r="AM31" s="80">
        <f t="shared" si="6"/>
        <v>-8.5925925925925919E-2</v>
      </c>
    </row>
    <row r="32" spans="2:39" x14ac:dyDescent="0.25">
      <c r="B32" s="69" t="s">
        <v>181</v>
      </c>
      <c r="C32" s="74">
        <f>Generation_Entsoe_SFS_2018!G29+Generation_Entsoe_SFS_2018!H29+Generation_Entsoe_SFS_2018!J29</f>
        <v>16.7</v>
      </c>
      <c r="D32" s="75">
        <f>C32/Generation_Entsoe_SFS_2018!AI29</f>
        <v>0.15377532228360957</v>
      </c>
      <c r="E32" s="75">
        <f>Generation_Entsoe_SFS_2018!I29/Generation_Entsoe_SFS_2018!AI29</f>
        <v>0.6574585635359117</v>
      </c>
      <c r="F32" s="75">
        <f>Generation_Entsoe_SFS_2018!T29/Generation_Entsoe_SFS_2018!AI29</f>
        <v>0.16206261510128916</v>
      </c>
      <c r="G32" s="75">
        <f>Generation_Entsoe_SFS_2018!F29/Generation_Entsoe_SFS_2018!AI29</f>
        <v>0.81123388581952116</v>
      </c>
      <c r="H32" s="85">
        <f>Generation_Entsoe_SFS_2018!V29/Generation_Entsoe_SFS_2018!AI29</f>
        <v>6.8139963167587483E-2</v>
      </c>
      <c r="I32" s="85">
        <f>Generation_Entsoe_SFS_2018!W29/Generation_Entsoe_SFS_2018!AI29</f>
        <v>2.8545119705340703E-2</v>
      </c>
      <c r="J32" s="85">
        <f t="shared" si="0"/>
        <v>9.668508287292818E-2</v>
      </c>
      <c r="L32" s="69" t="s">
        <v>120</v>
      </c>
      <c r="M32" s="74">
        <v>16.7</v>
      </c>
      <c r="N32" s="75">
        <v>0.15377532228360957</v>
      </c>
      <c r="P32" s="69" t="s">
        <v>127</v>
      </c>
      <c r="Q32" s="74">
        <v>4</v>
      </c>
      <c r="R32" s="75">
        <v>0.26666666666666666</v>
      </c>
      <c r="S32" s="85">
        <f t="shared" si="1"/>
        <v>0</v>
      </c>
      <c r="T32" s="85">
        <f t="shared" si="2"/>
        <v>0</v>
      </c>
      <c r="V32" s="70" t="s">
        <v>194</v>
      </c>
      <c r="W32" s="75">
        <v>0.1940367850017764</v>
      </c>
      <c r="X32" s="85">
        <v>3.3150228198190815E-2</v>
      </c>
      <c r="Z32" s="71" t="s">
        <v>115</v>
      </c>
      <c r="AA32" s="74">
        <v>31</v>
      </c>
      <c r="AB32" s="75">
        <v>0.11051693404634581</v>
      </c>
      <c r="AC32" s="75">
        <v>0.39286987522281641</v>
      </c>
      <c r="AD32" s="75">
        <v>0.56577540106951862</v>
      </c>
      <c r="AE32" s="85">
        <f t="shared" si="3"/>
        <v>0.44206773618538325</v>
      </c>
      <c r="AF32" s="85">
        <f t="shared" si="4"/>
        <v>6.1675579322638147E-2</v>
      </c>
      <c r="AG32" s="85">
        <f t="shared" si="5"/>
        <v>8.1639928698752223E-2</v>
      </c>
      <c r="AI32" s="71" t="s">
        <v>123</v>
      </c>
      <c r="AJ32" s="74">
        <v>11.1</v>
      </c>
      <c r="AK32" s="75">
        <v>0.2014519056261343</v>
      </c>
      <c r="AL32" s="75">
        <v>0.50816696914700543</v>
      </c>
      <c r="AM32" s="80">
        <f t="shared" si="6"/>
        <v>-0.2014519056261343</v>
      </c>
    </row>
    <row r="33" spans="2:39" x14ac:dyDescent="0.25">
      <c r="B33" s="69" t="s">
        <v>182</v>
      </c>
      <c r="C33" s="74">
        <f>Generation_Entsoe_SFS_2018!G30+Generation_Entsoe_SFS_2018!H30+Generation_Entsoe_SFS_2018!J30</f>
        <v>0</v>
      </c>
      <c r="D33" s="75">
        <f>C33/Generation_Entsoe_SFS_2018!AI30</f>
        <v>0</v>
      </c>
      <c r="E33" s="75">
        <f>Generation_Entsoe_SFS_2018!I30/Generation_Entsoe_SFS_2018!AI30</f>
        <v>2.1962937542896365E-2</v>
      </c>
      <c r="F33" s="75">
        <f>Generation_Entsoe_SFS_2018!T30/Generation_Entsoe_SFS_2018!AI30</f>
        <v>0.97048730267673311</v>
      </c>
      <c r="G33" s="75">
        <f>Generation_Entsoe_SFS_2018!F30/Generation_Entsoe_SFS_2018!AI30</f>
        <v>2.1962937542896365E-2</v>
      </c>
      <c r="H33" s="85">
        <f>Generation_Entsoe_SFS_2018!V30/Generation_Entsoe_SFS_2018!AI30</f>
        <v>2.3335621139327387E-2</v>
      </c>
      <c r="I33" s="85">
        <f>Generation_Entsoe_SFS_2018!W30/Generation_Entsoe_SFS_2018!AI30</f>
        <v>0</v>
      </c>
      <c r="J33" s="85">
        <f t="shared" si="0"/>
        <v>2.3335621139327387E-2</v>
      </c>
      <c r="L33" s="69" t="s">
        <v>110</v>
      </c>
      <c r="M33" s="74">
        <v>16.8</v>
      </c>
      <c r="N33" s="75">
        <v>5.8782365290412877E-2</v>
      </c>
      <c r="P33" s="69" t="s">
        <v>111</v>
      </c>
      <c r="Q33" s="74">
        <v>14.9</v>
      </c>
      <c r="R33" s="75">
        <v>0.32891832229580575</v>
      </c>
      <c r="S33" s="85">
        <f t="shared" si="1"/>
        <v>0.3112582781456954</v>
      </c>
      <c r="T33" s="85">
        <f t="shared" si="2"/>
        <v>0.12362030905077263</v>
      </c>
      <c r="V33" s="71" t="s">
        <v>166</v>
      </c>
      <c r="W33" s="75">
        <v>0.20574712643678161</v>
      </c>
      <c r="X33" s="85">
        <v>2.9885057471264367E-2</v>
      </c>
      <c r="Z33" s="71" t="s">
        <v>100</v>
      </c>
      <c r="AA33" s="74">
        <v>10.8</v>
      </c>
      <c r="AB33" s="75">
        <v>0.62427745664739887</v>
      </c>
      <c r="AC33" s="75">
        <v>0.36416184971098264</v>
      </c>
      <c r="AD33" s="75">
        <v>0.62427745664739887</v>
      </c>
      <c r="AE33" s="85">
        <f t="shared" si="3"/>
        <v>0</v>
      </c>
      <c r="AF33" s="85">
        <f t="shared" si="4"/>
        <v>5.7803468208092483E-3</v>
      </c>
      <c r="AG33" s="85">
        <f t="shared" si="5"/>
        <v>0</v>
      </c>
      <c r="AI33" s="71" t="s">
        <v>201</v>
      </c>
      <c r="AJ33" s="74">
        <v>0</v>
      </c>
      <c r="AK33" s="75">
        <v>0</v>
      </c>
      <c r="AL33" s="75">
        <v>0.52307692307692311</v>
      </c>
      <c r="AM33" s="80">
        <f t="shared" si="6"/>
        <v>0</v>
      </c>
    </row>
    <row r="34" spans="2:39" x14ac:dyDescent="0.25">
      <c r="B34" s="69" t="s">
        <v>183</v>
      </c>
      <c r="C34" s="74">
        <f>Generation_Entsoe_SFS_2018!G31+Generation_Entsoe_SFS_2018!H31+Generation_Entsoe_SFS_2018!J31</f>
        <v>121.9</v>
      </c>
      <c r="D34" s="75">
        <f>C34/Generation_Entsoe_SFS_2018!AI31</f>
        <v>0.77593889242520697</v>
      </c>
      <c r="E34" s="75">
        <f>Generation_Entsoe_SFS_2018!I31/Generation_Entsoe_SFS_2018!AI31</f>
        <v>7.8930617441120315E-2</v>
      </c>
      <c r="F34" s="75">
        <f>Generation_Entsoe_SFS_2018!T31/Generation_Entsoe_SFS_2018!AI31</f>
        <v>0.12985359643539146</v>
      </c>
      <c r="G34" s="75">
        <f>Generation_Entsoe_SFS_2018!F31/Generation_Entsoe_SFS_2018!AI31</f>
        <v>0.86569064290260989</v>
      </c>
      <c r="H34" s="85">
        <f>Generation_Entsoe_SFS_2018!V31/Generation_Entsoe_SFS_2018!AI31</f>
        <v>7.9567154678548704E-2</v>
      </c>
      <c r="I34" s="85">
        <f>Generation_Entsoe_SFS_2018!W31/Generation_Entsoe_SFS_2018!AI31</f>
        <v>1.9096117122851686E-3</v>
      </c>
      <c r="J34" s="85">
        <f t="shared" si="0"/>
        <v>8.1476766390833871E-2</v>
      </c>
      <c r="L34" s="69" t="s">
        <v>102</v>
      </c>
      <c r="M34" s="74">
        <v>17.100000000000001</v>
      </c>
      <c r="N34" s="75">
        <v>0.40425531914893625</v>
      </c>
      <c r="P34" s="69" t="s">
        <v>105</v>
      </c>
      <c r="Q34" s="74">
        <v>207.70000000000002</v>
      </c>
      <c r="R34" s="75">
        <v>0.34755689424364122</v>
      </c>
      <c r="S34" s="85">
        <f t="shared" si="1"/>
        <v>0.14608433734939757</v>
      </c>
      <c r="T34" s="85">
        <f t="shared" si="2"/>
        <v>0.14759036144578314</v>
      </c>
      <c r="V34" s="71" t="s">
        <v>184</v>
      </c>
      <c r="W34" s="75">
        <v>0.2613430127041742</v>
      </c>
      <c r="X34" s="85">
        <v>1.4519056261343014E-2</v>
      </c>
      <c r="Z34" s="71" t="s">
        <v>111</v>
      </c>
      <c r="AA34" s="74">
        <v>14.9</v>
      </c>
      <c r="AB34" s="75">
        <v>0.32891832229580575</v>
      </c>
      <c r="AC34" s="75">
        <v>0.35982339955849896</v>
      </c>
      <c r="AD34" s="75">
        <v>0.64017660044150115</v>
      </c>
      <c r="AE34" s="85">
        <f t="shared" si="3"/>
        <v>0.3112582781456954</v>
      </c>
      <c r="AF34" s="85">
        <f t="shared" si="4"/>
        <v>0.12362030905077263</v>
      </c>
      <c r="AG34" s="85">
        <f t="shared" si="5"/>
        <v>7.7262693156732898E-2</v>
      </c>
      <c r="AI34" s="71" t="s">
        <v>126</v>
      </c>
      <c r="AJ34" s="74">
        <v>0.5</v>
      </c>
      <c r="AK34" s="75">
        <v>3.1585596967782688E-3</v>
      </c>
      <c r="AL34" s="75">
        <v>0.5609602021478205</v>
      </c>
      <c r="AM34" s="80">
        <f t="shared" si="6"/>
        <v>-3.1585596967782688E-3</v>
      </c>
    </row>
    <row r="35" spans="2:39" x14ac:dyDescent="0.25">
      <c r="B35" s="69" t="s">
        <v>184</v>
      </c>
      <c r="C35" s="74">
        <f>Generation_Entsoe_SFS_2018!G32+Generation_Entsoe_SFS_2018!H32+Generation_Entsoe_SFS_2018!J32</f>
        <v>11.1</v>
      </c>
      <c r="D35" s="75">
        <f>C35/Generation_Entsoe_SFS_2018!AI32</f>
        <v>0.2014519056261343</v>
      </c>
      <c r="E35" s="75">
        <f>Generation_Entsoe_SFS_2018!I32/Generation_Entsoe_SFS_2018!AI32</f>
        <v>0.2613430127041742</v>
      </c>
      <c r="F35" s="75">
        <f>Generation_Entsoe_SFS_2018!T32/Generation_Entsoe_SFS_2018!AI32</f>
        <v>0.50816696914700543</v>
      </c>
      <c r="G35" s="75">
        <f>Generation_Entsoe_SFS_2018!F32/Generation_Entsoe_SFS_2018!AI32</f>
        <v>0.46460980036297644</v>
      </c>
      <c r="H35" s="85">
        <f>Generation_Entsoe_SFS_2018!V32/Generation_Entsoe_SFS_2018!AI32</f>
        <v>0.22504537205081671</v>
      </c>
      <c r="I35" s="85">
        <f>Generation_Entsoe_SFS_2018!W32/Generation_Entsoe_SFS_2018!AI32</f>
        <v>1.4519056261343014E-2</v>
      </c>
      <c r="J35" s="85">
        <f t="shared" si="0"/>
        <v>0.23956442831215971</v>
      </c>
      <c r="L35" s="69" t="s">
        <v>125</v>
      </c>
      <c r="M35" s="74">
        <v>28.1</v>
      </c>
      <c r="N35" s="75">
        <v>0.70959595959595956</v>
      </c>
      <c r="P35" s="69" t="s">
        <v>129</v>
      </c>
      <c r="Q35" s="74">
        <v>112.6</v>
      </c>
      <c r="R35" s="75">
        <v>0.37483355525965378</v>
      </c>
      <c r="S35" s="85">
        <f t="shared" si="1"/>
        <v>0.29760319573901467</v>
      </c>
      <c r="T35" s="85">
        <f t="shared" si="2"/>
        <v>6.624500665778961E-2</v>
      </c>
      <c r="V35" s="71" t="s">
        <v>190</v>
      </c>
      <c r="W35" s="75">
        <v>0.29760319573901467</v>
      </c>
      <c r="X35" s="85">
        <v>2.3968042609853531E-2</v>
      </c>
      <c r="Z35" s="71" t="s">
        <v>119</v>
      </c>
      <c r="AA35" s="74">
        <v>2.7</v>
      </c>
      <c r="AB35" s="75">
        <v>0.51923076923076927</v>
      </c>
      <c r="AC35" s="75">
        <v>0.34615384615384615</v>
      </c>
      <c r="AD35" s="75">
        <v>0.65384615384615385</v>
      </c>
      <c r="AE35" s="85">
        <f t="shared" si="3"/>
        <v>0.13461538461538461</v>
      </c>
      <c r="AF35" s="85">
        <f t="shared" si="4"/>
        <v>1.9230769230769232E-2</v>
      </c>
      <c r="AG35" s="85">
        <f t="shared" si="5"/>
        <v>0</v>
      </c>
      <c r="AI35" s="71" t="s">
        <v>103</v>
      </c>
      <c r="AJ35" s="74">
        <v>0</v>
      </c>
      <c r="AK35" s="75">
        <v>0</v>
      </c>
      <c r="AL35" s="75">
        <v>0.6020710059171599</v>
      </c>
      <c r="AM35" s="80">
        <f t="shared" si="6"/>
        <v>0</v>
      </c>
    </row>
    <row r="36" spans="2:39" x14ac:dyDescent="0.25">
      <c r="B36" s="69" t="s">
        <v>185</v>
      </c>
      <c r="C36" s="74">
        <f>Generation_Entsoe_SFS_2018!G33+Generation_Entsoe_SFS_2018!H33+Generation_Entsoe_SFS_2018!J33</f>
        <v>14</v>
      </c>
      <c r="D36" s="75">
        <f>C36/Generation_Entsoe_SFS_2018!AI33</f>
        <v>0.23064250411861614</v>
      </c>
      <c r="E36" s="75">
        <f>Generation_Entsoe_SFS_2018!I33/Generation_Entsoe_SFS_2018!AI33</f>
        <v>8.2372322899505759E-2</v>
      </c>
      <c r="F36" s="75">
        <f>Generation_Entsoe_SFS_2018!T33/Generation_Entsoe_SFS_2018!AI33</f>
        <v>0.42833607907742999</v>
      </c>
      <c r="G36" s="75">
        <f>Generation_Entsoe_SFS_2018!F33/Generation_Entsoe_SFS_2018!AI33</f>
        <v>0.40032948929159801</v>
      </c>
      <c r="H36" s="85">
        <f>Generation_Entsoe_SFS_2018!V33/Generation_Entsoe_SFS_2018!AI33</f>
        <v>0.10378912685337725</v>
      </c>
      <c r="I36" s="85">
        <f>Generation_Entsoe_SFS_2018!W33/Generation_Entsoe_SFS_2018!AI33</f>
        <v>2.9654036243822075E-2</v>
      </c>
      <c r="J36" s="85">
        <f t="shared" si="0"/>
        <v>0.13344316309719934</v>
      </c>
      <c r="L36" s="69" t="s">
        <v>115</v>
      </c>
      <c r="M36" s="74">
        <v>31</v>
      </c>
      <c r="N36" s="75">
        <v>0.11051693404634581</v>
      </c>
      <c r="P36" s="69" t="s">
        <v>118</v>
      </c>
      <c r="Q36" s="74">
        <v>1.4</v>
      </c>
      <c r="R36" s="75">
        <v>0.38888888888888884</v>
      </c>
      <c r="S36" s="85">
        <f t="shared" si="1"/>
        <v>0</v>
      </c>
      <c r="T36" s="85">
        <f t="shared" si="2"/>
        <v>5.5555555555555559E-2</v>
      </c>
      <c r="V36" s="71" t="s">
        <v>170</v>
      </c>
      <c r="W36" s="75">
        <v>0.3112582781456954</v>
      </c>
      <c r="X36" s="85">
        <v>7.7262693156732898E-2</v>
      </c>
      <c r="Z36" s="71" t="s">
        <v>114</v>
      </c>
      <c r="AA36" s="74">
        <v>2.1</v>
      </c>
      <c r="AB36" s="75">
        <v>7.1672354948805458E-2</v>
      </c>
      <c r="AC36" s="75">
        <v>0.32423208191126279</v>
      </c>
      <c r="AD36" s="75">
        <v>0.65870307167235498</v>
      </c>
      <c r="AE36" s="85">
        <f t="shared" si="3"/>
        <v>0.50853242320819114</v>
      </c>
      <c r="AF36" s="85">
        <f t="shared" si="4"/>
        <v>0.28668941979522183</v>
      </c>
      <c r="AG36" s="85">
        <f t="shared" si="5"/>
        <v>0</v>
      </c>
      <c r="AI36" s="71" t="s">
        <v>99</v>
      </c>
      <c r="AJ36" s="74">
        <v>1.8</v>
      </c>
      <c r="AK36" s="75">
        <v>2.6666666666666668E-2</v>
      </c>
      <c r="AL36" s="75">
        <v>0.64</v>
      </c>
      <c r="AM36" s="80">
        <f t="shared" si="6"/>
        <v>-2.6666666666666668E-2</v>
      </c>
    </row>
    <row r="37" spans="2:39" x14ac:dyDescent="0.25">
      <c r="B37" s="69" t="s">
        <v>186</v>
      </c>
      <c r="C37" s="74">
        <f>Generation_Entsoe_SFS_2018!G34+Generation_Entsoe_SFS_2018!H34+Generation_Entsoe_SFS_2018!J34</f>
        <v>28.1</v>
      </c>
      <c r="D37" s="75">
        <f>C37/Generation_Entsoe_SFS_2018!AI34</f>
        <v>0.70959595959595956</v>
      </c>
      <c r="E37" s="75">
        <f>Generation_Entsoe_SFS_2018!I34/Generation_Entsoe_SFS_2018!AI34</f>
        <v>5.0505050505050509E-3</v>
      </c>
      <c r="F37" s="75">
        <f>Generation_Entsoe_SFS_2018!T34/Generation_Entsoe_SFS_2018!AI34</f>
        <v>0.26515151515151514</v>
      </c>
      <c r="G37" s="75">
        <f>Generation_Entsoe_SFS_2018!F34/Generation_Entsoe_SFS_2018!AI34</f>
        <v>0.71464646464646464</v>
      </c>
      <c r="H37" s="85">
        <f>Generation_Entsoe_SFS_2018!V34/Generation_Entsoe_SFS_2018!AI34</f>
        <v>2.5252525252525255E-3</v>
      </c>
      <c r="I37" s="85">
        <f>Generation_Entsoe_SFS_2018!W34/Generation_Entsoe_SFS_2018!AI34</f>
        <v>0</v>
      </c>
      <c r="J37" s="85">
        <f t="shared" si="0"/>
        <v>2.5252525252525255E-3</v>
      </c>
      <c r="L37" s="69" t="s">
        <v>107</v>
      </c>
      <c r="M37" s="74">
        <v>37.299999999999997</v>
      </c>
      <c r="N37" s="75">
        <v>0.14291187739463601</v>
      </c>
      <c r="P37" s="69" t="s">
        <v>102</v>
      </c>
      <c r="Q37" s="74">
        <v>17.100000000000001</v>
      </c>
      <c r="R37" s="75">
        <v>0.40425531914893625</v>
      </c>
      <c r="S37" s="85">
        <f t="shared" si="1"/>
        <v>4.0189125295508277E-2</v>
      </c>
      <c r="T37" s="85">
        <f t="shared" si="2"/>
        <v>3.309692671394799E-2</v>
      </c>
      <c r="V37" s="71" t="s">
        <v>158</v>
      </c>
      <c r="W37" s="75">
        <v>0.31982633863965271</v>
      </c>
      <c r="X37" s="85">
        <v>5.0651230101302465E-2</v>
      </c>
      <c r="Z37" s="71" t="s">
        <v>129</v>
      </c>
      <c r="AA37" s="74">
        <v>112.6</v>
      </c>
      <c r="AB37" s="75">
        <v>0.37483355525965378</v>
      </c>
      <c r="AC37" s="75">
        <v>0.32256990679094544</v>
      </c>
      <c r="AD37" s="75">
        <v>0.67743009320905467</v>
      </c>
      <c r="AE37" s="85">
        <f t="shared" si="3"/>
        <v>0.29760319573901467</v>
      </c>
      <c r="AF37" s="85">
        <f t="shared" si="4"/>
        <v>6.624500665778961E-2</v>
      </c>
      <c r="AG37" s="85">
        <f t="shared" si="5"/>
        <v>2.3968042609853531E-2</v>
      </c>
      <c r="AI37" s="71" t="s">
        <v>116</v>
      </c>
      <c r="AJ37" s="74">
        <v>0</v>
      </c>
      <c r="AK37" s="75">
        <v>0</v>
      </c>
      <c r="AL37" s="75">
        <v>0.65625</v>
      </c>
      <c r="AM37" s="80">
        <f t="shared" si="6"/>
        <v>0</v>
      </c>
    </row>
    <row r="38" spans="2:39" x14ac:dyDescent="0.25">
      <c r="B38" s="69" t="s">
        <v>187</v>
      </c>
      <c r="C38" s="74">
        <f>Generation_Entsoe_SFS_2018!G35+Generation_Entsoe_SFS_2018!H35+Generation_Entsoe_SFS_2018!J35</f>
        <v>0.5</v>
      </c>
      <c r="D38" s="75">
        <f>C38/Generation_Entsoe_SFS_2018!AI35</f>
        <v>3.1585596967782688E-3</v>
      </c>
      <c r="E38" s="75">
        <f>Generation_Entsoe_SFS_2018!I35/Generation_Entsoe_SFS_2018!AI35</f>
        <v>3.7902716361339225E-3</v>
      </c>
      <c r="F38" s="75">
        <f>Generation_Entsoe_SFS_2018!T35/Generation_Entsoe_SFS_2018!AI35</f>
        <v>0.5609602021478205</v>
      </c>
      <c r="G38" s="75">
        <f>Generation_Entsoe_SFS_2018!F35/Generation_Entsoe_SFS_2018!AI35</f>
        <v>1.7687934301958304E-2</v>
      </c>
      <c r="H38" s="85">
        <f>Generation_Entsoe_SFS_2018!V35/Generation_Entsoe_SFS_2018!AI35</f>
        <v>0.10486418193303854</v>
      </c>
      <c r="I38" s="85">
        <f>Generation_Entsoe_SFS_2018!W35/Generation_Entsoe_SFS_2018!AI35</f>
        <v>0</v>
      </c>
      <c r="J38" s="85">
        <f t="shared" si="0"/>
        <v>0.10486418193303854</v>
      </c>
      <c r="L38" s="69" t="s">
        <v>104</v>
      </c>
      <c r="M38" s="74">
        <v>39.000000000000007</v>
      </c>
      <c r="N38" s="75">
        <v>0.4767726161369194</v>
      </c>
      <c r="P38" s="69" t="s">
        <v>104</v>
      </c>
      <c r="Q38" s="74">
        <v>39.000000000000007</v>
      </c>
      <c r="R38" s="75">
        <v>0.4767726161369194</v>
      </c>
      <c r="S38" s="85">
        <f t="shared" si="1"/>
        <v>5.3789731051344748E-2</v>
      </c>
      <c r="T38" s="85">
        <f t="shared" si="2"/>
        <v>7.3349633251833741E-3</v>
      </c>
      <c r="V38" s="71" t="s">
        <v>178</v>
      </c>
      <c r="W38" s="75">
        <v>0.4</v>
      </c>
      <c r="X38" s="85">
        <v>0</v>
      </c>
      <c r="Z38" s="71" t="s">
        <v>125</v>
      </c>
      <c r="AA38" s="74">
        <v>28.1</v>
      </c>
      <c r="AB38" s="75">
        <v>0.70959595959595956</v>
      </c>
      <c r="AC38" s="75">
        <v>0.26515151515151514</v>
      </c>
      <c r="AD38" s="75">
        <v>0.71464646464646464</v>
      </c>
      <c r="AE38" s="85">
        <f t="shared" si="3"/>
        <v>5.0505050505050509E-3</v>
      </c>
      <c r="AF38" s="85">
        <f t="shared" si="4"/>
        <v>2.5252525252525255E-3</v>
      </c>
      <c r="AG38" s="85">
        <f t="shared" si="5"/>
        <v>0</v>
      </c>
      <c r="AI38" s="71" t="s">
        <v>106</v>
      </c>
      <c r="AJ38" s="74">
        <v>6.9</v>
      </c>
      <c r="AK38" s="75">
        <v>0.23875432525951559</v>
      </c>
      <c r="AL38" s="75">
        <v>0.68512110726643605</v>
      </c>
      <c r="AM38" s="80">
        <f t="shared" si="6"/>
        <v>-0.23875432525951559</v>
      </c>
    </row>
    <row r="39" spans="2:39" x14ac:dyDescent="0.25">
      <c r="B39" s="69" t="s">
        <v>188</v>
      </c>
      <c r="C39" s="74">
        <f>Generation_Entsoe_SFS_2018!G36+Generation_Entsoe_SFS_2018!H36+Generation_Entsoe_SFS_2018!J36</f>
        <v>4</v>
      </c>
      <c r="D39" s="75">
        <f>C39/Generation_Entsoe_SFS_2018!AI36</f>
        <v>0.26666666666666666</v>
      </c>
      <c r="E39" s="75">
        <f>Generation_Entsoe_SFS_2018!I36/Generation_Entsoe_SFS_2018!AI36</f>
        <v>0</v>
      </c>
      <c r="F39" s="75">
        <f>Generation_Entsoe_SFS_2018!T36/Generation_Entsoe_SFS_2018!AI36</f>
        <v>0.33333333333333331</v>
      </c>
      <c r="G39" s="75">
        <f>Generation_Entsoe_SFS_2018!F36/Generation_Entsoe_SFS_2018!AI36</f>
        <v>0.27333333333333332</v>
      </c>
      <c r="H39" s="85">
        <f>Generation_Entsoe_SFS_2018!V36/Generation_Entsoe_SFS_2018!AI36</f>
        <v>0</v>
      </c>
      <c r="I39" s="85">
        <f>Generation_Entsoe_SFS_2018!W36/Generation_Entsoe_SFS_2018!AI36</f>
        <v>1.3333333333333334E-2</v>
      </c>
      <c r="J39" s="85">
        <f t="shared" si="0"/>
        <v>1.3333333333333334E-2</v>
      </c>
      <c r="L39" s="69" t="s">
        <v>129</v>
      </c>
      <c r="M39" s="74">
        <v>112.6</v>
      </c>
      <c r="N39" s="75">
        <v>0.37483355525965378</v>
      </c>
      <c r="P39" s="69" t="s">
        <v>119</v>
      </c>
      <c r="Q39" s="74">
        <v>2.7</v>
      </c>
      <c r="R39" s="75">
        <v>0.51923076923076927</v>
      </c>
      <c r="S39" s="85">
        <f t="shared" si="1"/>
        <v>0.13461538461538461</v>
      </c>
      <c r="T39" s="85">
        <f t="shared" si="2"/>
        <v>1.9230769230769232E-2</v>
      </c>
      <c r="V39" s="71" t="s">
        <v>175</v>
      </c>
      <c r="W39" s="75">
        <v>0.44206773618538325</v>
      </c>
      <c r="X39" s="85">
        <v>8.1639928698752223E-2</v>
      </c>
      <c r="Z39" s="71" t="s">
        <v>120</v>
      </c>
      <c r="AA39" s="74">
        <v>16.7</v>
      </c>
      <c r="AB39" s="75">
        <v>0.15377532228360957</v>
      </c>
      <c r="AC39" s="75">
        <v>0.16206261510128916</v>
      </c>
      <c r="AD39" s="75">
        <v>0.81123388581952116</v>
      </c>
      <c r="AE39" s="85">
        <f t="shared" si="3"/>
        <v>0.6574585635359117</v>
      </c>
      <c r="AF39" s="85">
        <f t="shared" si="4"/>
        <v>6.8139963167587483E-2</v>
      </c>
      <c r="AG39" s="85">
        <f t="shared" si="5"/>
        <v>2.8545119705340703E-2</v>
      </c>
      <c r="AI39" s="71" t="s">
        <v>112</v>
      </c>
      <c r="AJ39" s="74">
        <v>1.3</v>
      </c>
      <c r="AK39" s="75">
        <v>0.10743801652892562</v>
      </c>
      <c r="AL39" s="75">
        <v>0.73553719008264473</v>
      </c>
      <c r="AM39" s="80">
        <f t="shared" si="6"/>
        <v>-0.10743801652892562</v>
      </c>
    </row>
    <row r="40" spans="2:39" x14ac:dyDescent="0.25">
      <c r="B40" s="69" t="s">
        <v>189</v>
      </c>
      <c r="C40" s="74">
        <f>Generation_Entsoe_SFS_2018!G37+Generation_Entsoe_SFS_2018!H37+Generation_Entsoe_SFS_2018!J37</f>
        <v>3</v>
      </c>
      <c r="D40" s="75">
        <f>C40/Generation_Entsoe_SFS_2018!AI37</f>
        <v>0.1195219123505976</v>
      </c>
      <c r="E40" s="75">
        <f>Generation_Entsoe_SFS_2018!I37/Generation_Entsoe_SFS_2018!AI37</f>
        <v>7.1713147410358558E-2</v>
      </c>
      <c r="F40" s="75">
        <f>Generation_Entsoe_SFS_2018!T37/Generation_Entsoe_SFS_2018!AI37</f>
        <v>0.23107569721115537</v>
      </c>
      <c r="G40" s="75">
        <f>Generation_Entsoe_SFS_2018!F37/Generation_Entsoe_SFS_2018!AI37</f>
        <v>0.20318725099601592</v>
      </c>
      <c r="H40" s="85">
        <f>Generation_Entsoe_SFS_2018!V37/Generation_Entsoe_SFS_2018!AI37</f>
        <v>0</v>
      </c>
      <c r="I40" s="85">
        <f>Generation_Entsoe_SFS_2018!W37/Generation_Entsoe_SFS_2018!AI37</f>
        <v>2.3904382470119518E-2</v>
      </c>
      <c r="J40" s="85">
        <f t="shared" si="0"/>
        <v>2.3904382470119518E-2</v>
      </c>
      <c r="L40" s="69" t="s">
        <v>122</v>
      </c>
      <c r="M40" s="74">
        <v>121.9</v>
      </c>
      <c r="N40" s="75">
        <v>0.77593889242520697</v>
      </c>
      <c r="P40" s="69" t="s">
        <v>100</v>
      </c>
      <c r="Q40" s="74">
        <v>10.8</v>
      </c>
      <c r="R40" s="75">
        <v>0.62427745664739887</v>
      </c>
      <c r="S40" s="85">
        <f t="shared" si="1"/>
        <v>0</v>
      </c>
      <c r="T40" s="85">
        <f t="shared" si="2"/>
        <v>5.7803468208092483E-3</v>
      </c>
      <c r="V40" s="71" t="s">
        <v>169</v>
      </c>
      <c r="W40" s="75">
        <v>0.45451364590622811</v>
      </c>
      <c r="X40" s="85">
        <v>4.1287613715885234E-2</v>
      </c>
      <c r="Z40" s="71" t="s">
        <v>199</v>
      </c>
      <c r="AA40" s="74">
        <v>0</v>
      </c>
      <c r="AB40" s="75">
        <v>0</v>
      </c>
      <c r="AC40" s="75">
        <v>0.14563106796116504</v>
      </c>
      <c r="AD40" s="75">
        <v>0.85436893203883502</v>
      </c>
      <c r="AE40" s="85">
        <f t="shared" si="3"/>
        <v>0</v>
      </c>
      <c r="AF40" s="85">
        <f t="shared" si="4"/>
        <v>5.8252427184466014E-2</v>
      </c>
      <c r="AG40" s="85">
        <f t="shared" si="5"/>
        <v>0</v>
      </c>
      <c r="AI40" s="71" t="s">
        <v>121</v>
      </c>
      <c r="AJ40" s="74">
        <v>0</v>
      </c>
      <c r="AK40" s="75">
        <v>0</v>
      </c>
      <c r="AL40" s="75">
        <v>0.97048730267673311</v>
      </c>
      <c r="AM40" s="80">
        <f t="shared" si="6"/>
        <v>0</v>
      </c>
    </row>
    <row r="41" spans="2:39" x14ac:dyDescent="0.25">
      <c r="B41" s="69" t="s">
        <v>190</v>
      </c>
      <c r="C41" s="74">
        <f>Generation_Entsoe_SFS_2018!G40+Generation_Entsoe_SFS_2018!H40+Generation_Entsoe_SFS_2018!J40</f>
        <v>112.6</v>
      </c>
      <c r="D41" s="75">
        <f>C41/Generation_Entsoe_SFS_2018!AI40</f>
        <v>0.37483355525965378</v>
      </c>
      <c r="E41" s="75">
        <f>Generation_Entsoe_SFS_2018!I40/Generation_Entsoe_SFS_2018!AI40</f>
        <v>0.29760319573901467</v>
      </c>
      <c r="F41" s="75">
        <f>Generation_Entsoe_SFS_2018!T40/Generation_Entsoe_SFS_2018!AI40</f>
        <v>0.32256990679094544</v>
      </c>
      <c r="G41" s="75">
        <f>Generation_Entsoe_SFS_2018!F40/Generation_Entsoe_SFS_2018!AI40</f>
        <v>0.67743009320905467</v>
      </c>
      <c r="H41" s="85">
        <f>Generation_Entsoe_SFS_2018!V40/Generation_Entsoe_SFS_2018!AI40</f>
        <v>6.624500665778961E-2</v>
      </c>
      <c r="I41" s="85">
        <f>Generation_Entsoe_SFS_2018!W40/Generation_Entsoe_SFS_2018!AI40</f>
        <v>2.3968042609853531E-2</v>
      </c>
      <c r="J41" s="85">
        <f t="shared" si="0"/>
        <v>9.0213049267643147E-2</v>
      </c>
      <c r="L41" s="69" t="s">
        <v>105</v>
      </c>
      <c r="M41" s="74">
        <v>207.70000000000002</v>
      </c>
      <c r="N41" s="75">
        <v>0.34755689424364122</v>
      </c>
      <c r="P41" s="69" t="s">
        <v>125</v>
      </c>
      <c r="Q41" s="74">
        <v>28.1</v>
      </c>
      <c r="R41" s="75">
        <v>0.70959595959595956</v>
      </c>
      <c r="S41" s="85">
        <f t="shared" si="1"/>
        <v>5.0505050505050509E-3</v>
      </c>
      <c r="T41" s="85">
        <f t="shared" si="2"/>
        <v>2.5252525252525255E-3</v>
      </c>
      <c r="V41" s="71" t="s">
        <v>173</v>
      </c>
      <c r="W41" s="75">
        <v>0.50853242320819114</v>
      </c>
      <c r="X41" s="85">
        <v>0</v>
      </c>
      <c r="Z41" s="71" t="s">
        <v>122</v>
      </c>
      <c r="AA41" s="74">
        <v>121.9</v>
      </c>
      <c r="AB41" s="75">
        <v>0.77593889242520697</v>
      </c>
      <c r="AC41" s="75">
        <v>0.12985359643539146</v>
      </c>
      <c r="AD41" s="75">
        <v>0.86569064290260989</v>
      </c>
      <c r="AE41" s="85">
        <f t="shared" si="3"/>
        <v>7.8930617441120315E-2</v>
      </c>
      <c r="AF41" s="85">
        <f t="shared" si="4"/>
        <v>7.9567154678548704E-2</v>
      </c>
      <c r="AG41" s="85">
        <f t="shared" si="5"/>
        <v>1.9096117122851686E-3</v>
      </c>
      <c r="AI41" s="71" t="s">
        <v>98</v>
      </c>
      <c r="AJ41" s="74">
        <v>0</v>
      </c>
      <c r="AK41" s="75">
        <v>0</v>
      </c>
      <c r="AL41" s="75">
        <v>1</v>
      </c>
      <c r="AM41" s="80">
        <f t="shared" si="6"/>
        <v>0</v>
      </c>
    </row>
    <row r="42" spans="2:39" x14ac:dyDescent="0.25">
      <c r="B42" s="70" t="s">
        <v>194</v>
      </c>
      <c r="C42" s="74">
        <f>Generation_Entsoe_SFS_2018!G38+Generation_Entsoe_SFS_2018!H38+Generation_Entsoe_SFS_2018!J38</f>
        <v>721.2</v>
      </c>
      <c r="D42" s="75">
        <f>C42/Generation_Entsoe_SFS_2018!AI38</f>
        <v>0.19709764696236781</v>
      </c>
      <c r="E42" s="75">
        <f>Generation_Entsoe_SFS_2018!I38/Generation_Entsoe_SFS_2018!AI38</f>
        <v>0.1940367850017764</v>
      </c>
      <c r="F42" s="75">
        <f>Generation_Entsoe_SFS_2018!T38/Generation_Entsoe_SFS_2018!AI38</f>
        <v>0.35538793692438037</v>
      </c>
      <c r="G42" s="75">
        <f>Generation_Entsoe_SFS_2018!F38/Generation_Entsoe_SFS_2018!AI38</f>
        <v>0.40687600776147143</v>
      </c>
      <c r="H42" s="85">
        <f>Generation_Entsoe_SFS_2018!V38/Generation_Entsoe_SFS_2018!AI38</f>
        <v>9.0814681205760986E-2</v>
      </c>
      <c r="I42" s="85">
        <f>Generation_Entsoe_SFS_2018!W38/Generation_Entsoe_SFS_2018!AI38</f>
        <v>3.3150228198190815E-2</v>
      </c>
      <c r="J42" s="85">
        <f t="shared" si="0"/>
        <v>0.1239649094039518</v>
      </c>
      <c r="L42" s="71" t="s">
        <v>202</v>
      </c>
      <c r="M42" s="79">
        <v>721.2</v>
      </c>
      <c r="N42" s="79">
        <v>0.19709764696236781</v>
      </c>
      <c r="P42" s="69" t="s">
        <v>122</v>
      </c>
      <c r="Q42" s="74">
        <v>121.9</v>
      </c>
      <c r="R42" s="75">
        <v>0.77593889242520697</v>
      </c>
      <c r="S42" s="85">
        <f t="shared" si="1"/>
        <v>7.8930617441120315E-2</v>
      </c>
      <c r="T42" s="85">
        <f t="shared" si="2"/>
        <v>7.9567154678548704E-2</v>
      </c>
      <c r="V42" s="71" t="s">
        <v>181</v>
      </c>
      <c r="W42" s="75">
        <v>0.6574585635359117</v>
      </c>
      <c r="X42" s="85">
        <v>2.8545119705340703E-2</v>
      </c>
      <c r="Z42" s="71" t="s">
        <v>198</v>
      </c>
      <c r="AA42" s="74">
        <v>0</v>
      </c>
      <c r="AB42" s="75">
        <v>0</v>
      </c>
      <c r="AC42" s="75">
        <v>0.04</v>
      </c>
      <c r="AD42" s="75">
        <v>0.96</v>
      </c>
      <c r="AE42" s="85">
        <f t="shared" si="3"/>
        <v>0</v>
      </c>
      <c r="AF42" s="85">
        <f t="shared" si="4"/>
        <v>0.04</v>
      </c>
      <c r="AG42" s="85">
        <f t="shared" si="5"/>
        <v>0</v>
      </c>
      <c r="AI42" s="71" t="s">
        <v>200</v>
      </c>
      <c r="AJ42" s="74">
        <v>0</v>
      </c>
      <c r="AK42" s="75">
        <v>0</v>
      </c>
      <c r="AL42" s="75">
        <v>1</v>
      </c>
      <c r="AM42" s="80">
        <f t="shared" si="6"/>
        <v>0</v>
      </c>
    </row>
    <row r="44" spans="2:39" x14ac:dyDescent="0.25">
      <c r="C44" s="74">
        <f>Generation_Entsoe_SFS_2018!G39+Generation_Entsoe_SFS_2018!H39+Generation_Entsoe_SFS_2018!J39</f>
        <v>565.40000000000009</v>
      </c>
      <c r="D44" s="75">
        <f>C44/Generation_Entsoe_SFS_2018!AK39</f>
        <v>0.18542568542568547</v>
      </c>
      <c r="E44" s="85"/>
      <c r="F44" s="85"/>
      <c r="G44" s="85"/>
      <c r="H44" s="85"/>
      <c r="I44" s="85"/>
      <c r="J44" s="85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tabColor theme="2"/>
  </sheetPr>
  <dimension ref="B2:E40"/>
  <sheetViews>
    <sheetView workbookViewId="0">
      <selection activeCell="C2" sqref="C2:E3"/>
    </sheetView>
  </sheetViews>
  <sheetFormatPr baseColWidth="10" defaultRowHeight="15" x14ac:dyDescent="0.25"/>
  <cols>
    <col min="3" max="5" width="18.85546875" bestFit="1" customWidth="1"/>
  </cols>
  <sheetData>
    <row r="2" spans="2:5" ht="17.25" x14ac:dyDescent="0.25">
      <c r="B2" s="82" t="s">
        <v>197</v>
      </c>
      <c r="C2" s="93" t="s">
        <v>212</v>
      </c>
      <c r="D2" s="93" t="s">
        <v>212</v>
      </c>
      <c r="E2" s="93" t="s">
        <v>212</v>
      </c>
    </row>
    <row r="3" spans="2:5" x14ac:dyDescent="0.25">
      <c r="B3" s="72"/>
      <c r="C3" s="66">
        <v>2016</v>
      </c>
      <c r="D3">
        <v>2017</v>
      </c>
      <c r="E3">
        <v>2018</v>
      </c>
    </row>
    <row r="4" spans="2:5" x14ac:dyDescent="0.25">
      <c r="B4" s="71" t="s">
        <v>193</v>
      </c>
      <c r="C4" s="92" t="e">
        <f>INDEX(Generation_Entsoe_SFS_2016!$A$1:$AL$37,MATCH($B4,Generation_Entsoe_SFS_2016!$A$1:$A$37,0),MATCH(C$2,Generation_Entsoe_SFS_2016!$A$1:$AL$1,0))</f>
        <v>#N/A</v>
      </c>
      <c r="D4" s="92">
        <f>INDEX(Generation_Entsoe_SFS_2017!$A$1:$AL$40,MATCH($B4,Generation_Entsoe_SFS_2017!$A$1:$A$40,0),MATCH(D$2,Generation_Entsoe_SFS_2017!$A$1:$AL$1,0))</f>
        <v>4.2</v>
      </c>
      <c r="E4" s="92">
        <f>INDEX(Generation_Entsoe_SFS_2018!$A$1:$AM$38,MATCH($B4,Generation_Entsoe_SFS_2018!$A$1:$A$38,0),MATCH(E$2,Generation_Entsoe_SFS_2018!$A$1:$AM$1,0))</f>
        <v>8.1</v>
      </c>
    </row>
    <row r="5" spans="2:5" x14ac:dyDescent="0.25">
      <c r="B5" s="71" t="s">
        <v>156</v>
      </c>
      <c r="C5" s="92">
        <f>INDEX(Generation_Entsoe_SFS_2016!$A$1:$AL$37,MATCH($B5,Generation_Entsoe_SFS_2016!$A$1:$A$37,0),MATCH(C$2,Generation_Entsoe_SFS_2016!$A$1:$AL$1,0))</f>
        <v>67.599999999999994</v>
      </c>
      <c r="D5" s="92">
        <f>INDEX(Generation_Entsoe_SFS_2017!$A$1:$AL$40,MATCH($B5,Generation_Entsoe_SFS_2017!$A$1:$A$40,0),MATCH(D$2,Generation_Entsoe_SFS_2017!$A$1:$AL$1,0))</f>
        <v>70.2</v>
      </c>
      <c r="E5" s="92">
        <f>INDEX(Generation_Entsoe_SFS_2018!$A$1:$AM$38,MATCH($B5,Generation_Entsoe_SFS_2018!$A$1:$A$38,0),MATCH(E$2,Generation_Entsoe_SFS_2018!$A$1:$AM$1,0))</f>
        <v>67.5</v>
      </c>
    </row>
    <row r="6" spans="2:5" x14ac:dyDescent="0.25">
      <c r="B6" s="71" t="s">
        <v>157</v>
      </c>
      <c r="C6" s="92">
        <f>INDEX(Generation_Entsoe_SFS_2016!$A$1:$AL$37,MATCH($B6,Generation_Entsoe_SFS_2016!$A$1:$A$37,0),MATCH(C$2,Generation_Entsoe_SFS_2016!$A$1:$AL$1,0))</f>
        <v>16.2</v>
      </c>
      <c r="D6" s="92">
        <f>INDEX(Generation_Entsoe_SFS_2017!$A$1:$AL$40,MATCH($B6,Generation_Entsoe_SFS_2017!$A$1:$A$40,0),MATCH(D$2,Generation_Entsoe_SFS_2017!$A$1:$AL$1,0))</f>
        <v>14.7</v>
      </c>
      <c r="E6" s="92">
        <f>INDEX(Generation_Entsoe_SFS_2018!$A$1:$AM$38,MATCH($B6,Generation_Entsoe_SFS_2018!$A$1:$A$38,0),MATCH(E$2,Generation_Entsoe_SFS_2018!$A$1:$AM$1,0))</f>
        <v>17.3</v>
      </c>
    </row>
    <row r="7" spans="2:5" x14ac:dyDescent="0.25">
      <c r="B7" s="71" t="s">
        <v>158</v>
      </c>
      <c r="C7" s="92">
        <f>INDEX(Generation_Entsoe_SFS_2016!$A$1:$AL$37,MATCH($B7,Generation_Entsoe_SFS_2016!$A$1:$A$37,0),MATCH(C$2,Generation_Entsoe_SFS_2016!$A$1:$AL$1,0))</f>
        <v>79.5</v>
      </c>
      <c r="D7" s="92">
        <f>INDEX(Generation_Entsoe_SFS_2017!$A$1:$AL$40,MATCH($B7,Generation_Entsoe_SFS_2017!$A$1:$A$40,0),MATCH(D$2,Generation_Entsoe_SFS_2017!$A$1:$AL$1,0))</f>
        <v>80.3</v>
      </c>
      <c r="E7" s="92">
        <f>INDEX(Generation_Entsoe_SFS_2018!$A$1:$AM$38,MATCH($B7,Generation_Entsoe_SFS_2018!$A$1:$A$38,0),MATCH(E$2,Generation_Entsoe_SFS_2018!$A$1:$AM$1,0))</f>
        <v>69.099999999999994</v>
      </c>
    </row>
    <row r="8" spans="2:5" x14ac:dyDescent="0.25">
      <c r="B8" s="71" t="s">
        <v>159</v>
      </c>
      <c r="C8" s="92">
        <f>INDEX(Generation_Entsoe_SFS_2016!$A$1:$AL$37,MATCH($B8,Generation_Entsoe_SFS_2016!$A$1:$A$37,0),MATCH(C$2,Generation_Entsoe_SFS_2016!$A$1:$AL$1,0))</f>
        <v>41</v>
      </c>
      <c r="D8" s="92">
        <f>INDEX(Generation_Entsoe_SFS_2017!$A$1:$AL$40,MATCH($B8,Generation_Entsoe_SFS_2017!$A$1:$A$40,0),MATCH(D$2,Generation_Entsoe_SFS_2017!$A$1:$AL$1,0))</f>
        <v>40.799999999999997</v>
      </c>
      <c r="E8" s="92">
        <f>INDEX(Generation_Entsoe_SFS_2018!$A$1:$AM$38,MATCH($B8,Generation_Entsoe_SFS_2018!$A$1:$A$38,0),MATCH(E$2,Generation_Entsoe_SFS_2018!$A$1:$AM$1,0))</f>
        <v>42.3</v>
      </c>
    </row>
    <row r="9" spans="2:5" x14ac:dyDescent="0.25">
      <c r="B9" s="71" t="s">
        <v>160</v>
      </c>
      <c r="C9" s="92">
        <f>INDEX(Generation_Entsoe_SFS_2016!$A$1:$AL$37,MATCH($B9,Generation_Entsoe_SFS_2016!$A$1:$A$37,0),MATCH(C$2,Generation_Entsoe_SFS_2016!$A$1:$AL$1,0))</f>
        <v>61.6</v>
      </c>
      <c r="D9" s="92">
        <f>INDEX(Generation_Entsoe_SFS_2017!$A$1:$AL$40,MATCH($B9,Generation_Entsoe_SFS_2017!$A$1:$A$40,0),MATCH(D$2,Generation_Entsoe_SFS_2017!$A$1:$AL$1,0))</f>
        <v>61.5</v>
      </c>
      <c r="E9" s="92">
        <f>INDEX(Generation_Entsoe_SFS_2018!$A$1:$AM$38,MATCH($B9,Generation_Entsoe_SFS_2018!$A$1:$A$38,0),MATCH(E$2,Generation_Entsoe_SFS_2018!$A$1:$AM$1,0))</f>
        <v>67.599999999999994</v>
      </c>
    </row>
    <row r="10" spans="2:5" x14ac:dyDescent="0.25">
      <c r="B10" s="71" t="s">
        <v>161</v>
      </c>
      <c r="C10" s="92">
        <f>INDEX(Generation_Entsoe_SFS_2016!$A$1:$AL$37,MATCH($B10,Generation_Entsoe_SFS_2016!$A$1:$A$37,0),MATCH(C$2,Generation_Entsoe_SFS_2016!$A$1:$AL$1,0))</f>
        <v>4.7</v>
      </c>
      <c r="D10" s="92">
        <f>INDEX(Generation_Entsoe_SFS_2017!$A$1:$AL$40,MATCH($B10,Generation_Entsoe_SFS_2017!$A$1:$A$40,0),MATCH(D$2,Generation_Entsoe_SFS_2017!$A$1:$AL$1,0))</f>
        <v>4.8</v>
      </c>
      <c r="E10" s="92">
        <f>INDEX(Generation_Entsoe_SFS_2018!$A$1:$AM$38,MATCH($B10,Generation_Entsoe_SFS_2018!$A$1:$A$38,0),MATCH(E$2,Generation_Entsoe_SFS_2018!$A$1:$AM$1,0))</f>
        <v>5</v>
      </c>
    </row>
    <row r="11" spans="2:5" x14ac:dyDescent="0.25">
      <c r="B11" s="71" t="s">
        <v>162</v>
      </c>
      <c r="C11" s="92">
        <f>INDEX(Generation_Entsoe_SFS_2016!$A$1:$AL$37,MATCH($B11,Generation_Entsoe_SFS_2016!$A$1:$A$37,0),MATCH(C$2,Generation_Entsoe_SFS_2016!$A$1:$AL$1,0))</f>
        <v>77.400000000000006</v>
      </c>
      <c r="D11" s="92">
        <f>INDEX(Generation_Entsoe_SFS_2017!$A$1:$AL$40,MATCH($B11,Generation_Entsoe_SFS_2017!$A$1:$A$40,0),MATCH(D$2,Generation_Entsoe_SFS_2017!$A$1:$AL$1,0))</f>
        <v>80.900000000000006</v>
      </c>
      <c r="E11" s="92">
        <f>INDEX(Generation_Entsoe_SFS_2018!$A$1:$AM$38,MATCH($B11,Generation_Entsoe_SFS_2018!$A$1:$A$38,0),MATCH(E$2,Generation_Entsoe_SFS_2018!$A$1:$AM$1,0))</f>
        <v>81.8</v>
      </c>
    </row>
    <row r="12" spans="2:5" x14ac:dyDescent="0.25">
      <c r="B12" s="71" t="s">
        <v>163</v>
      </c>
      <c r="C12" s="92">
        <f>INDEX(Generation_Entsoe_SFS_2016!$A$1:$AL$37,MATCH($B12,Generation_Entsoe_SFS_2016!$A$1:$A$37,0),MATCH(C$2,Generation_Entsoe_SFS_2016!$A$1:$AL$1,0))</f>
        <v>609.6</v>
      </c>
      <c r="D12" s="92">
        <f>INDEX(Generation_Entsoe_SFS_2017!$A$1:$AL$40,MATCH($B12,Generation_Entsoe_SFS_2017!$A$1:$A$40,0),MATCH(D$2,Generation_Entsoe_SFS_2017!$A$1:$AL$1,0))</f>
        <v>602.29999999999995</v>
      </c>
      <c r="E12" s="92">
        <f>INDEX(Generation_Entsoe_SFS_2018!$A$1:$AM$38,MATCH($B12,Generation_Entsoe_SFS_2018!$A$1:$A$38,0),MATCH(E$2,Generation_Entsoe_SFS_2018!$A$1:$AM$1,0))</f>
        <v>597.6</v>
      </c>
    </row>
    <row r="13" spans="2:5" x14ac:dyDescent="0.25">
      <c r="B13" s="71" t="s">
        <v>164</v>
      </c>
      <c r="C13" s="92">
        <f>INDEX(Generation_Entsoe_SFS_2016!$A$1:$AL$37,MATCH($B13,Generation_Entsoe_SFS_2016!$A$1:$A$37,0),MATCH(C$2,Generation_Entsoe_SFS_2016!$A$1:$AL$1,0))</f>
        <v>28.9</v>
      </c>
      <c r="D13" s="92">
        <f>INDEX(Generation_Entsoe_SFS_2017!$A$1:$AL$40,MATCH($B13,Generation_Entsoe_SFS_2017!$A$1:$A$40,0),MATCH(D$2,Generation_Entsoe_SFS_2017!$A$1:$AL$1,0))</f>
        <v>29.4</v>
      </c>
      <c r="E13" s="92">
        <f>INDEX(Generation_Entsoe_SFS_2018!$A$1:$AM$38,MATCH($B13,Generation_Entsoe_SFS_2018!$A$1:$A$38,0),MATCH(E$2,Generation_Entsoe_SFS_2018!$A$1:$AM$1,0))</f>
        <v>28.9</v>
      </c>
    </row>
    <row r="14" spans="2:5" x14ac:dyDescent="0.25">
      <c r="B14" s="71" t="s">
        <v>165</v>
      </c>
      <c r="C14" s="92">
        <f>INDEX(Generation_Entsoe_SFS_2016!$A$1:$AL$37,MATCH($B14,Generation_Entsoe_SFS_2016!$A$1:$A$37,0),MATCH(C$2,Generation_Entsoe_SFS_2016!$A$1:$AL$1,0))</f>
        <v>10.4</v>
      </c>
      <c r="D14" s="92">
        <f>INDEX(Generation_Entsoe_SFS_2017!$A$1:$AL$40,MATCH($B14,Generation_Entsoe_SFS_2017!$A$1:$A$40,0),MATCH(D$2,Generation_Entsoe_SFS_2017!$A$1:$AL$1,0))</f>
        <v>11.2</v>
      </c>
      <c r="E14" s="92">
        <f>INDEX(Generation_Entsoe_SFS_2018!$A$1:$AM$38,MATCH($B14,Generation_Entsoe_SFS_2018!$A$1:$A$38,0),MATCH(E$2,Generation_Entsoe_SFS_2018!$A$1:$AM$1,0))</f>
        <v>10.3</v>
      </c>
    </row>
    <row r="15" spans="2:5" x14ac:dyDescent="0.25">
      <c r="B15" s="71" t="s">
        <v>166</v>
      </c>
      <c r="C15" s="92">
        <f>INDEX(Generation_Entsoe_SFS_2016!$A$1:$AL$37,MATCH($B15,Generation_Entsoe_SFS_2016!$A$1:$A$37,0),MATCH(C$2,Generation_Entsoe_SFS_2016!$A$1:$AL$1,0))</f>
        <v>262.2</v>
      </c>
      <c r="D15" s="92">
        <f>INDEX(Generation_Entsoe_SFS_2017!$A$1:$AL$40,MATCH($B15,Generation_Entsoe_SFS_2017!$A$1:$A$40,0),MATCH(D$2,Generation_Entsoe_SFS_2017!$A$1:$AL$1,0))</f>
        <v>262.60000000000002</v>
      </c>
      <c r="E15" s="92">
        <f>INDEX(Generation_Entsoe_SFS_2018!$A$1:$AM$38,MATCH($B15,Generation_Entsoe_SFS_2018!$A$1:$A$38,0),MATCH(E$2,Generation_Entsoe_SFS_2018!$A$1:$AM$1,0))</f>
        <v>261</v>
      </c>
    </row>
    <row r="16" spans="2:5" x14ac:dyDescent="0.25">
      <c r="B16" s="71" t="s">
        <v>167</v>
      </c>
      <c r="C16" s="92">
        <f>INDEX(Generation_Entsoe_SFS_2016!$A$1:$AL$37,MATCH($B16,Generation_Entsoe_SFS_2016!$A$1:$A$37,0),MATCH(C$2,Generation_Entsoe_SFS_2016!$A$1:$AL$1,0))</f>
        <v>66</v>
      </c>
      <c r="D16" s="92">
        <f>INDEX(Generation_Entsoe_SFS_2017!$A$1:$AL$40,MATCH($B16,Generation_Entsoe_SFS_2017!$A$1:$A$40,0),MATCH(D$2,Generation_Entsoe_SFS_2017!$A$1:$AL$1,0))</f>
        <v>65.099999999999994</v>
      </c>
      <c r="E16" s="92">
        <f>INDEX(Generation_Entsoe_SFS_2018!$A$1:$AM$38,MATCH($B16,Generation_Entsoe_SFS_2018!$A$1:$A$38,0),MATCH(E$2,Generation_Entsoe_SFS_2018!$A$1:$AM$1,0))</f>
        <v>67.5</v>
      </c>
    </row>
    <row r="17" spans="2:5" x14ac:dyDescent="0.25">
      <c r="B17" s="71" t="s">
        <v>168</v>
      </c>
      <c r="C17" s="92">
        <f>INDEX(Generation_Entsoe_SFS_2016!$A$1:$AL$37,MATCH($B17,Generation_Entsoe_SFS_2016!$A$1:$A$37,0),MATCH(C$2,Generation_Entsoe_SFS_2016!$A$1:$AL$1,0))</f>
        <v>531.4</v>
      </c>
      <c r="D17" s="92">
        <f>INDEX(Generation_Entsoe_SFS_2017!$A$1:$AL$40,MATCH($B17,Generation_Entsoe_SFS_2017!$A$1:$A$40,0),MATCH(D$2,Generation_Entsoe_SFS_2017!$A$1:$AL$1,0))</f>
        <v>529.4</v>
      </c>
      <c r="E17" s="92">
        <f>INDEX(Generation_Entsoe_SFS_2018!$A$1:$AM$38,MATCH($B17,Generation_Entsoe_SFS_2018!$A$1:$A$38,0),MATCH(E$2,Generation_Entsoe_SFS_2018!$A$1:$AM$1,0))</f>
        <v>548.6</v>
      </c>
    </row>
    <row r="18" spans="2:5" x14ac:dyDescent="0.25">
      <c r="B18" s="71" t="s">
        <v>169</v>
      </c>
      <c r="C18" s="92">
        <f>INDEX(Generation_Entsoe_SFS_2016!$A$1:$AL$37,MATCH($B18,Generation_Entsoe_SFS_2016!$A$1:$A$37,0),MATCH(C$2,Generation_Entsoe_SFS_2016!$A$1:$AL$1,0))</f>
        <v>320.3</v>
      </c>
      <c r="D18" s="92">
        <f>INDEX(Generation_Entsoe_SFS_2017!$A$1:$AL$40,MATCH($B18,Generation_Entsoe_SFS_2017!$A$1:$A$40,0),MATCH(D$2,Generation_Entsoe_SFS_2017!$A$1:$AL$1,0))</f>
        <v>312.3</v>
      </c>
      <c r="E18" s="92">
        <f>INDEX(Generation_Entsoe_SFS_2018!$A$1:$AM$38,MATCH($B18,Generation_Entsoe_SFS_2018!$A$1:$A$38,0),MATCH(E$2,Generation_Entsoe_SFS_2018!$A$1:$AM$1,0))</f>
        <v>285.8</v>
      </c>
    </row>
    <row r="19" spans="2:5" x14ac:dyDescent="0.25">
      <c r="B19" s="71" t="s">
        <v>170</v>
      </c>
      <c r="C19" s="92">
        <f>INDEX(Generation_Entsoe_SFS_2016!$A$1:$AL$37,MATCH($B19,Generation_Entsoe_SFS_2016!$A$1:$A$37,0),MATCH(C$2,Generation_Entsoe_SFS_2016!$A$1:$AL$1,0))</f>
        <v>42.5</v>
      </c>
      <c r="D19" s="92">
        <f>INDEX(Generation_Entsoe_SFS_2017!$A$1:$AL$40,MATCH($B19,Generation_Entsoe_SFS_2017!$A$1:$A$40,0),MATCH(D$2,Generation_Entsoe_SFS_2017!$A$1:$AL$1,0))</f>
        <v>45.8</v>
      </c>
      <c r="E19" s="92">
        <f>INDEX(Generation_Entsoe_SFS_2018!$A$1:$AM$38,MATCH($B19,Generation_Entsoe_SFS_2018!$A$1:$A$38,0),MATCH(E$2,Generation_Entsoe_SFS_2018!$A$1:$AM$1,0))</f>
        <v>45.3</v>
      </c>
    </row>
    <row r="20" spans="2:5" x14ac:dyDescent="0.25">
      <c r="B20" s="71" t="s">
        <v>171</v>
      </c>
      <c r="C20" s="92">
        <f>INDEX(Generation_Entsoe_SFS_2016!$A$1:$AL$37,MATCH($B20,Generation_Entsoe_SFS_2016!$A$1:$A$37,0),MATCH(C$2,Generation_Entsoe_SFS_2016!$A$1:$AL$1,0))</f>
        <v>11.3</v>
      </c>
      <c r="D20" s="92">
        <f>INDEX(Generation_Entsoe_SFS_2017!$A$1:$AL$40,MATCH($B20,Generation_Entsoe_SFS_2017!$A$1:$A$40,0),MATCH(D$2,Generation_Entsoe_SFS_2017!$A$1:$AL$1,0))</f>
        <v>10.8</v>
      </c>
      <c r="E20" s="92">
        <f>INDEX(Generation_Entsoe_SFS_2018!$A$1:$AM$38,MATCH($B20,Generation_Entsoe_SFS_2018!$A$1:$A$38,0),MATCH(E$2,Generation_Entsoe_SFS_2018!$A$1:$AM$1,0))</f>
        <v>12.1</v>
      </c>
    </row>
    <row r="21" spans="2:5" x14ac:dyDescent="0.25">
      <c r="B21" s="71" t="s">
        <v>172</v>
      </c>
      <c r="C21" s="92">
        <f>INDEX(Generation_Entsoe_SFS_2016!$A$1:$AL$37,MATCH($B21,Generation_Entsoe_SFS_2016!$A$1:$A$37,0),MATCH(C$2,Generation_Entsoe_SFS_2016!$A$1:$AL$1,0))</f>
        <v>28.1</v>
      </c>
      <c r="D21" s="92">
        <f>INDEX(Generation_Entsoe_SFS_2017!$A$1:$AL$40,MATCH($B21,Generation_Entsoe_SFS_2017!$A$1:$A$40,0),MATCH(D$2,Generation_Entsoe_SFS_2017!$A$1:$AL$1,0))</f>
        <v>29.1</v>
      </c>
      <c r="E21" s="92">
        <f>INDEX(Generation_Entsoe_SFS_2018!$A$1:$AM$38,MATCH($B21,Generation_Entsoe_SFS_2018!$A$1:$A$38,0),MATCH(E$2,Generation_Entsoe_SFS_2018!$A$1:$AM$1,0))</f>
        <v>28.2</v>
      </c>
    </row>
    <row r="22" spans="2:5" x14ac:dyDescent="0.25">
      <c r="B22" s="71" t="s">
        <v>173</v>
      </c>
      <c r="C22" s="92">
        <f>INDEX(Generation_Entsoe_SFS_2016!$A$1:$AL$37,MATCH($B22,Generation_Entsoe_SFS_2016!$A$1:$A$37,0),MATCH(C$2,Generation_Entsoe_SFS_2016!$A$1:$AL$1,0))</f>
        <v>28.8</v>
      </c>
      <c r="D22" s="92">
        <f>INDEX(Generation_Entsoe_SFS_2017!$A$1:$AL$40,MATCH($B22,Generation_Entsoe_SFS_2017!$A$1:$A$40,0),MATCH(D$2,Generation_Entsoe_SFS_2017!$A$1:$AL$1,0))</f>
        <v>29.2</v>
      </c>
      <c r="E22" s="92">
        <f>INDEX(Generation_Entsoe_SFS_2018!$A$1:$AM$38,MATCH($B22,Generation_Entsoe_SFS_2018!$A$1:$A$38,0),MATCH(E$2,Generation_Entsoe_SFS_2018!$A$1:$AM$1,0))</f>
        <v>29.3</v>
      </c>
    </row>
    <row r="23" spans="2:5" x14ac:dyDescent="0.25">
      <c r="B23" s="71" t="s">
        <v>174</v>
      </c>
      <c r="C23" s="92">
        <f>INDEX(Generation_Entsoe_SFS_2016!$A$1:$AL$37,MATCH($B23,Generation_Entsoe_SFS_2016!$A$1:$A$37,0),MATCH(C$2,Generation_Entsoe_SFS_2016!$A$1:$AL$1,0))</f>
        <v>18.100000000000001</v>
      </c>
      <c r="D23" s="92">
        <f>INDEX(Generation_Entsoe_SFS_2017!$A$1:$AL$40,MATCH($B23,Generation_Entsoe_SFS_2017!$A$1:$A$40,0),MATCH(D$2,Generation_Entsoe_SFS_2017!$A$1:$AL$1,0))</f>
        <v>18.600000000000001</v>
      </c>
      <c r="E23" s="92">
        <f>INDEX(Generation_Entsoe_SFS_2018!$A$1:$AM$38,MATCH($B23,Generation_Entsoe_SFS_2018!$A$1:$A$38,0),MATCH(E$2,Generation_Entsoe_SFS_2018!$A$1:$AM$1,0))</f>
        <v>19.3</v>
      </c>
    </row>
    <row r="24" spans="2:5" x14ac:dyDescent="0.25">
      <c r="B24" s="71" t="s">
        <v>175</v>
      </c>
      <c r="C24" s="92">
        <f>INDEX(Generation_Entsoe_SFS_2016!$A$1:$AL$37,MATCH($B24,Generation_Entsoe_SFS_2016!$A$1:$A$37,0),MATCH(C$2,Generation_Entsoe_SFS_2016!$A$1:$AL$1,0))</f>
        <v>273.8</v>
      </c>
      <c r="D24" s="92">
        <f>INDEX(Generation_Entsoe_SFS_2017!$A$1:$AL$40,MATCH($B24,Generation_Entsoe_SFS_2017!$A$1:$A$40,0),MATCH(D$2,Generation_Entsoe_SFS_2017!$A$1:$AL$1,0))</f>
        <v>285.10000000000002</v>
      </c>
      <c r="E24" s="92">
        <f>INDEX(Generation_Entsoe_SFS_2018!$A$1:$AM$38,MATCH($B24,Generation_Entsoe_SFS_2018!$A$1:$A$38,0),MATCH(E$2,Generation_Entsoe_SFS_2018!$A$1:$AM$1,0))</f>
        <v>280.5</v>
      </c>
    </row>
    <row r="25" spans="2:5" x14ac:dyDescent="0.25">
      <c r="B25" s="71" t="s">
        <v>176</v>
      </c>
      <c r="C25" s="92">
        <f>INDEX(Generation_Entsoe_SFS_2016!$A$1:$AL$37,MATCH($B25,Generation_Entsoe_SFS_2016!$A$1:$A$37,0),MATCH(C$2,Generation_Entsoe_SFS_2016!$A$1:$AL$1,0))</f>
        <v>4</v>
      </c>
      <c r="D25" s="92">
        <f>INDEX(Generation_Entsoe_SFS_2017!$A$1:$AL$40,MATCH($B25,Generation_Entsoe_SFS_2017!$A$1:$A$40,0),MATCH(D$2,Generation_Entsoe_SFS_2017!$A$1:$AL$1,0))</f>
        <v>3.9</v>
      </c>
      <c r="E25" s="92">
        <f>INDEX(Generation_Entsoe_SFS_2018!$A$1:$AM$38,MATCH($B25,Generation_Entsoe_SFS_2018!$A$1:$A$38,0),MATCH(E$2,Generation_Entsoe_SFS_2018!$A$1:$AM$1,0))</f>
        <v>3.2</v>
      </c>
    </row>
    <row r="26" spans="2:5" x14ac:dyDescent="0.25">
      <c r="B26" s="71" t="s">
        <v>177</v>
      </c>
      <c r="C26" s="92">
        <f>INDEX(Generation_Entsoe_SFS_2016!$A$1:$AL$37,MATCH($B26,Generation_Entsoe_SFS_2016!$A$1:$A$37,0),MATCH(C$2,Generation_Entsoe_SFS_2016!$A$1:$AL$1,0))</f>
        <v>2.1</v>
      </c>
      <c r="D26" s="92">
        <f>INDEX(Generation_Entsoe_SFS_2017!$A$1:$AL$40,MATCH($B26,Generation_Entsoe_SFS_2017!$A$1:$A$40,0),MATCH(D$2,Generation_Entsoe_SFS_2017!$A$1:$AL$1,0))</f>
        <v>2.1</v>
      </c>
      <c r="E26" s="92">
        <f>INDEX(Generation_Entsoe_SFS_2018!$A$1:$AM$38,MATCH($B26,Generation_Entsoe_SFS_2018!$A$1:$A$38,0),MATCH(E$2,Generation_Entsoe_SFS_2018!$A$1:$AM$1,0))</f>
        <v>2</v>
      </c>
    </row>
    <row r="27" spans="2:5" x14ac:dyDescent="0.25">
      <c r="B27" s="71" t="s">
        <v>178</v>
      </c>
      <c r="C27" s="92">
        <f>INDEX(Generation_Entsoe_SFS_2016!$A$1:$AL$37,MATCH($B27,Generation_Entsoe_SFS_2016!$A$1:$A$37,0),MATCH(C$2,Generation_Entsoe_SFS_2016!$A$1:$AL$1,0))</f>
        <v>6.3</v>
      </c>
      <c r="D27" s="92">
        <f>INDEX(Generation_Entsoe_SFS_2017!$A$1:$AL$40,MATCH($B27,Generation_Entsoe_SFS_2017!$A$1:$A$40,0),MATCH(D$2,Generation_Entsoe_SFS_2017!$A$1:$AL$1,0))</f>
        <v>7.3</v>
      </c>
      <c r="E27" s="92">
        <f>INDEX(Generation_Entsoe_SFS_2018!$A$1:$AM$38,MATCH($B27,Generation_Entsoe_SFS_2018!$A$1:$A$38,0),MATCH(E$2,Generation_Entsoe_SFS_2018!$A$1:$AM$1,0))</f>
        <v>6.5</v>
      </c>
    </row>
    <row r="28" spans="2:5" x14ac:dyDescent="0.25">
      <c r="B28" s="71" t="s">
        <v>179</v>
      </c>
      <c r="C28" s="92">
        <f>INDEX(Generation_Entsoe_SFS_2016!$A$1:$AL$37,MATCH($B28,Generation_Entsoe_SFS_2016!$A$1:$A$37,0),MATCH(C$2,Generation_Entsoe_SFS_2016!$A$1:$AL$1,0))</f>
        <v>2.9</v>
      </c>
      <c r="D28" s="92">
        <f>INDEX(Generation_Entsoe_SFS_2017!$A$1:$AL$40,MATCH($B28,Generation_Entsoe_SFS_2017!$A$1:$A$40,0),MATCH(D$2,Generation_Entsoe_SFS_2017!$A$1:$AL$1,0))</f>
        <v>2.2999999999999998</v>
      </c>
      <c r="E28" s="92">
        <f>INDEX(Generation_Entsoe_SFS_2018!$A$1:$AM$38,MATCH($B28,Generation_Entsoe_SFS_2018!$A$1:$A$38,0),MATCH(E$2,Generation_Entsoe_SFS_2018!$A$1:$AM$1,0))</f>
        <v>3.6</v>
      </c>
    </row>
    <row r="29" spans="2:5" x14ac:dyDescent="0.25">
      <c r="B29" s="71" t="s">
        <v>180</v>
      </c>
      <c r="C29" s="92">
        <f>INDEX(Generation_Entsoe_SFS_2016!$A$1:$AL$37,MATCH($B29,Generation_Entsoe_SFS_2016!$A$1:$A$37,0),MATCH(C$2,Generation_Entsoe_SFS_2016!$A$1:$AL$1,0))</f>
        <v>5.0999999999999996</v>
      </c>
      <c r="D29" s="92">
        <f>INDEX(Generation_Entsoe_SFS_2017!$A$1:$AL$40,MATCH($B29,Generation_Entsoe_SFS_2017!$A$1:$A$40,0),MATCH(D$2,Generation_Entsoe_SFS_2017!$A$1:$AL$1,0))</f>
        <v>5.2</v>
      </c>
      <c r="E29" s="92">
        <f>INDEX(Generation_Entsoe_SFS_2018!$A$1:$AM$38,MATCH($B29,Generation_Entsoe_SFS_2018!$A$1:$A$38,0),MATCH(E$2,Generation_Entsoe_SFS_2018!$A$1:$AM$1,0))</f>
        <v>5.2</v>
      </c>
    </row>
    <row r="30" spans="2:5" x14ac:dyDescent="0.25">
      <c r="B30" s="71" t="s">
        <v>181</v>
      </c>
      <c r="C30" s="92">
        <f>INDEX(Generation_Entsoe_SFS_2016!$A$1:$AL$37,MATCH($B30,Generation_Entsoe_SFS_2016!$A$1:$A$37,0),MATCH(C$2,Generation_Entsoe_SFS_2016!$A$1:$AL$1,0))</f>
        <v>109.6</v>
      </c>
      <c r="D30" s="92">
        <f>INDEX(Generation_Entsoe_SFS_2017!$A$1:$AL$40,MATCH($B30,Generation_Entsoe_SFS_2017!$A$1:$A$40,0),MATCH(D$2,Generation_Entsoe_SFS_2017!$A$1:$AL$1,0))</f>
        <v>111.5</v>
      </c>
      <c r="E30" s="92">
        <f>INDEX(Generation_Entsoe_SFS_2018!$A$1:$AM$38,MATCH($B30,Generation_Entsoe_SFS_2018!$A$1:$A$38,0),MATCH(E$2,Generation_Entsoe_SFS_2018!$A$1:$AM$1,0))</f>
        <v>108.6</v>
      </c>
    </row>
    <row r="31" spans="2:5" x14ac:dyDescent="0.25">
      <c r="B31" s="71" t="s">
        <v>182</v>
      </c>
      <c r="C31" s="92">
        <f>INDEX(Generation_Entsoe_SFS_2016!$A$1:$AL$37,MATCH($B31,Generation_Entsoe_SFS_2016!$A$1:$A$37,0),MATCH(C$2,Generation_Entsoe_SFS_2016!$A$1:$AL$1,0))</f>
        <v>148.80000000000001</v>
      </c>
      <c r="D31" s="92">
        <f>INDEX(Generation_Entsoe_SFS_2017!$A$1:$AL$40,MATCH($B31,Generation_Entsoe_SFS_2017!$A$1:$A$40,0),MATCH(D$2,Generation_Entsoe_SFS_2017!$A$1:$AL$1,0))</f>
        <v>148.6</v>
      </c>
      <c r="E31" s="92">
        <f>INDEX(Generation_Entsoe_SFS_2018!$A$1:$AM$38,MATCH($B31,Generation_Entsoe_SFS_2018!$A$1:$A$38,0),MATCH(E$2,Generation_Entsoe_SFS_2018!$A$1:$AM$1,0))</f>
        <v>145.69999999999999</v>
      </c>
    </row>
    <row r="32" spans="2:5" x14ac:dyDescent="0.25">
      <c r="B32" s="71" t="s">
        <v>183</v>
      </c>
      <c r="C32" s="92">
        <f>INDEX(Generation_Entsoe_SFS_2016!$A$1:$AL$37,MATCH($B32,Generation_Entsoe_SFS_2016!$A$1:$A$37,0),MATCH(C$2,Generation_Entsoe_SFS_2016!$A$1:$AL$1,0))</f>
        <v>154.1</v>
      </c>
      <c r="D32" s="92">
        <f>INDEX(Generation_Entsoe_SFS_2017!$A$1:$AL$40,MATCH($B32,Generation_Entsoe_SFS_2017!$A$1:$A$40,0),MATCH(D$2,Generation_Entsoe_SFS_2017!$A$1:$AL$1,0))</f>
        <v>157.69999999999999</v>
      </c>
      <c r="E32" s="92">
        <f>INDEX(Generation_Entsoe_SFS_2018!$A$1:$AM$38,MATCH($B32,Generation_Entsoe_SFS_2018!$A$1:$A$38,0),MATCH(E$2,Generation_Entsoe_SFS_2018!$A$1:$AM$1,0))</f>
        <v>157.1</v>
      </c>
    </row>
    <row r="33" spans="2:5" x14ac:dyDescent="0.25">
      <c r="B33" s="71" t="s">
        <v>184</v>
      </c>
      <c r="C33" s="92">
        <f>INDEX(Generation_Entsoe_SFS_2016!$A$1:$AL$37,MATCH($B33,Generation_Entsoe_SFS_2016!$A$1:$A$37,0),MATCH(C$2,Generation_Entsoe_SFS_2016!$A$1:$AL$1,0))</f>
        <v>55.9</v>
      </c>
      <c r="D33" s="92">
        <f>INDEX(Generation_Entsoe_SFS_2017!$A$1:$AL$40,MATCH($B33,Generation_Entsoe_SFS_2017!$A$1:$A$40,0),MATCH(D$2,Generation_Entsoe_SFS_2017!$A$1:$AL$1,0))</f>
        <v>54.5</v>
      </c>
      <c r="E33" s="92">
        <f>INDEX(Generation_Entsoe_SFS_2018!$A$1:$AM$38,MATCH($B33,Generation_Entsoe_SFS_2018!$A$1:$A$38,0),MATCH(E$2,Generation_Entsoe_SFS_2018!$A$1:$AM$1,0))</f>
        <v>55.1</v>
      </c>
    </row>
    <row r="34" spans="2:5" x14ac:dyDescent="0.25">
      <c r="B34" s="71" t="s">
        <v>185</v>
      </c>
      <c r="C34" s="92">
        <f>INDEX(Generation_Entsoe_SFS_2016!$A$1:$AL$37,MATCH($B34,Generation_Entsoe_SFS_2016!$A$1:$A$37,0),MATCH(C$2,Generation_Entsoe_SFS_2016!$A$1:$AL$1,0))</f>
        <v>60.7</v>
      </c>
      <c r="D34" s="92">
        <f>INDEX(Generation_Entsoe_SFS_2017!$A$1:$AL$40,MATCH($B34,Generation_Entsoe_SFS_2017!$A$1:$A$40,0),MATCH(D$2,Generation_Entsoe_SFS_2017!$A$1:$AL$1,0))</f>
        <v>59.8</v>
      </c>
      <c r="E34" s="92">
        <f>INDEX(Generation_Entsoe_SFS_2018!$A$1:$AM$38,MATCH($B34,Generation_Entsoe_SFS_2018!$A$1:$A$38,0),MATCH(E$2,Generation_Entsoe_SFS_2018!$A$1:$AM$1,0))</f>
        <v>60.7</v>
      </c>
    </row>
    <row r="35" spans="2:5" x14ac:dyDescent="0.25">
      <c r="B35" s="71" t="s">
        <v>186</v>
      </c>
      <c r="C35" s="92">
        <f>INDEX(Generation_Entsoe_SFS_2016!$A$1:$AL$37,MATCH($B35,Generation_Entsoe_SFS_2016!$A$1:$A$37,0),MATCH(C$2,Generation_Entsoe_SFS_2016!$A$1:$AL$1,0))</f>
        <v>42.2</v>
      </c>
      <c r="D35" s="92">
        <f>INDEX(Generation_Entsoe_SFS_2017!$A$1:$AL$40,MATCH($B35,Generation_Entsoe_SFS_2017!$A$1:$A$40,0),MATCH(D$2,Generation_Entsoe_SFS_2017!$A$1:$AL$1,0))</f>
        <v>39.200000000000003</v>
      </c>
      <c r="E35" s="92">
        <f>INDEX(Generation_Entsoe_SFS_2018!$A$1:$AM$38,MATCH($B35,Generation_Entsoe_SFS_2018!$A$1:$A$38,0),MATCH(E$2,Generation_Entsoe_SFS_2018!$A$1:$AM$1,0))</f>
        <v>39.6</v>
      </c>
    </row>
    <row r="36" spans="2:5" x14ac:dyDescent="0.25">
      <c r="B36" s="71" t="s">
        <v>187</v>
      </c>
      <c r="C36" s="92">
        <f>INDEX(Generation_Entsoe_SFS_2016!$A$1:$AL$37,MATCH($B36,Generation_Entsoe_SFS_2016!$A$1:$A$37,0),MATCH(C$2,Generation_Entsoe_SFS_2016!$A$1:$AL$1,0))</f>
        <v>151.5</v>
      </c>
      <c r="D36" s="92">
        <f>INDEX(Generation_Entsoe_SFS_2017!$A$1:$AL$40,MATCH($B36,Generation_Entsoe_SFS_2017!$A$1:$A$40,0),MATCH(D$2,Generation_Entsoe_SFS_2017!$A$1:$AL$1,0))</f>
        <v>159.1</v>
      </c>
      <c r="E36" s="92">
        <f>INDEX(Generation_Entsoe_SFS_2018!$A$1:$AM$38,MATCH($B36,Generation_Entsoe_SFS_2018!$A$1:$A$38,0),MATCH(E$2,Generation_Entsoe_SFS_2018!$A$1:$AM$1,0))</f>
        <v>158.30000000000001</v>
      </c>
    </row>
    <row r="37" spans="2:5" x14ac:dyDescent="0.25">
      <c r="B37" s="71" t="s">
        <v>188</v>
      </c>
      <c r="C37" s="92">
        <f>INDEX(Generation_Entsoe_SFS_2016!$A$1:$AL$37,MATCH($B37,Generation_Entsoe_SFS_2016!$A$1:$A$37,0),MATCH(C$2,Generation_Entsoe_SFS_2016!$A$1:$AL$1,0))</f>
        <v>15.2</v>
      </c>
      <c r="D37" s="92">
        <f>INDEX(Generation_Entsoe_SFS_2017!$A$1:$AL$40,MATCH($B37,Generation_Entsoe_SFS_2017!$A$1:$A$40,0),MATCH(D$2,Generation_Entsoe_SFS_2017!$A$1:$AL$1,0))</f>
        <v>15</v>
      </c>
      <c r="E37" s="92">
        <f>INDEX(Generation_Entsoe_SFS_2018!$A$1:$AM$38,MATCH($B37,Generation_Entsoe_SFS_2018!$A$1:$A$38,0),MATCH(E$2,Generation_Entsoe_SFS_2018!$A$1:$AM$1,0))</f>
        <v>15</v>
      </c>
    </row>
    <row r="38" spans="2:5" x14ac:dyDescent="0.25">
      <c r="B38" s="71" t="s">
        <v>189</v>
      </c>
      <c r="C38" s="92">
        <f>INDEX(Generation_Entsoe_SFS_2016!$A$1:$AL$37,MATCH($B38,Generation_Entsoe_SFS_2016!$A$1:$A$37,0),MATCH(C$2,Generation_Entsoe_SFS_2016!$A$1:$AL$1,0))</f>
        <v>25.4</v>
      </c>
      <c r="D38" s="92">
        <f>INDEX(Generation_Entsoe_SFS_2017!$A$1:$AL$40,MATCH($B38,Generation_Entsoe_SFS_2017!$A$1:$A$40,0),MATCH(D$2,Generation_Entsoe_SFS_2017!$A$1:$AL$1,0))</f>
        <v>26</v>
      </c>
      <c r="E38" s="92">
        <f>INDEX(Generation_Entsoe_SFS_2018!$A$1:$AM$38,MATCH($B38,Generation_Entsoe_SFS_2018!$A$1:$A$38,0),MATCH(E$2,Generation_Entsoe_SFS_2018!$A$1:$AM$1,0))</f>
        <v>25.1</v>
      </c>
    </row>
    <row r="39" spans="2:5" x14ac:dyDescent="0.25">
      <c r="B39" s="71" t="s">
        <v>190</v>
      </c>
      <c r="C39" s="92">
        <f>INDEX(Generation_Entsoe_SFS_2016!$A$1:$AL$37,MATCH($B39,Generation_Entsoe_SFS_2016!$A$1:$A$37,0),MATCH(C$2,Generation_Entsoe_SFS_2016!$A$1:$AL$1,0))</f>
        <v>270.2</v>
      </c>
      <c r="D39" s="92">
        <f>INDEX(Generation_Entsoe_SFS_2017!$A$1:$AL$40,MATCH($B39,Generation_Entsoe_SFS_2017!$A$1:$A$40,0),MATCH(D$2,Generation_Entsoe_SFS_2017!$A$1:$AL$1,0))</f>
        <v>295.5</v>
      </c>
      <c r="E39" s="92" t="e">
        <f>INDEX(Generation_Entsoe_SFS_2018!$A$1:$AM$38,MATCH($B39,Generation_Entsoe_SFS_2018!$A$1:$A$38,0),MATCH(E$2,Generation_Entsoe_SFS_2018!$A$1:$AM$1,0))</f>
        <v>#N/A</v>
      </c>
    </row>
    <row r="40" spans="2:5" x14ac:dyDescent="0.25">
      <c r="B40" s="70" t="s">
        <v>194</v>
      </c>
      <c r="C40" s="92" t="e">
        <f>INDEX(Generation_Entsoe_SFS_2016!$A$1:$AL$37,MATCH($B40,Generation_Entsoe_SFS_2016!$A$1:$A$37,0),MATCH(C$2,Generation_Entsoe_SFS_2016!$A$1:$AL$1,0))</f>
        <v>#N/A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A2:AW113"/>
  <sheetViews>
    <sheetView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RowHeight="15" x14ac:dyDescent="0.25"/>
  <cols>
    <col min="1" max="1" width="5.85546875" customWidth="1"/>
    <col min="2" max="25" width="4.5703125" customWidth="1"/>
    <col min="27" max="49" width="4.5703125" customWidth="1"/>
  </cols>
  <sheetData>
    <row r="2" spans="1:49" x14ac:dyDescent="0.25">
      <c r="A2" s="50" t="s">
        <v>153</v>
      </c>
    </row>
    <row r="3" spans="1:49" ht="73.5" customHeight="1" x14ac:dyDescent="0.25">
      <c r="A3" s="12" t="s">
        <v>0</v>
      </c>
      <c r="B3" s="20" t="s">
        <v>56</v>
      </c>
      <c r="C3" s="21" t="s">
        <v>57</v>
      </c>
      <c r="D3" s="21" t="s">
        <v>58</v>
      </c>
      <c r="E3" s="2" t="s">
        <v>1</v>
      </c>
      <c r="F3" s="2" t="s">
        <v>2</v>
      </c>
      <c r="G3" s="2" t="s">
        <v>3</v>
      </c>
      <c r="H3" s="24" t="s">
        <v>132</v>
      </c>
      <c r="I3" s="2" t="s">
        <v>5</v>
      </c>
      <c r="J3" s="2" t="s">
        <v>4</v>
      </c>
      <c r="K3" s="18" t="s">
        <v>41</v>
      </c>
      <c r="L3" s="22" t="s">
        <v>133</v>
      </c>
      <c r="M3" s="22" t="s">
        <v>134</v>
      </c>
      <c r="N3" s="19" t="s">
        <v>42</v>
      </c>
      <c r="O3" s="19" t="s">
        <v>43</v>
      </c>
      <c r="P3" s="19" t="s">
        <v>44</v>
      </c>
      <c r="Q3" s="19" t="s">
        <v>45</v>
      </c>
      <c r="R3" s="19" t="s">
        <v>46</v>
      </c>
      <c r="S3" s="19" t="s">
        <v>47</v>
      </c>
      <c r="T3" s="19" t="s">
        <v>48</v>
      </c>
      <c r="U3" s="19" t="s">
        <v>54</v>
      </c>
      <c r="V3" s="15" t="s">
        <v>40</v>
      </c>
      <c r="W3" s="16" t="s">
        <v>6</v>
      </c>
      <c r="X3" s="17" t="s">
        <v>7</v>
      </c>
      <c r="Y3" s="15" t="s">
        <v>136</v>
      </c>
      <c r="AA3" s="12" t="s">
        <v>0</v>
      </c>
      <c r="AB3" s="20" t="s">
        <v>56</v>
      </c>
      <c r="AC3" s="21" t="s">
        <v>57</v>
      </c>
      <c r="AD3" s="21" t="s">
        <v>58</v>
      </c>
      <c r="AE3" s="2" t="s">
        <v>1</v>
      </c>
      <c r="AF3" s="2" t="s">
        <v>2</v>
      </c>
      <c r="AG3" s="2" t="s">
        <v>3</v>
      </c>
      <c r="AH3" s="24" t="s">
        <v>132</v>
      </c>
      <c r="AI3" s="2" t="s">
        <v>5</v>
      </c>
      <c r="AJ3" s="2" t="s">
        <v>4</v>
      </c>
      <c r="AK3" s="18" t="s">
        <v>41</v>
      </c>
      <c r="AL3" s="22" t="s">
        <v>133</v>
      </c>
      <c r="AM3" s="22" t="s">
        <v>134</v>
      </c>
      <c r="AN3" s="19" t="s">
        <v>42</v>
      </c>
      <c r="AO3" s="19" t="s">
        <v>43</v>
      </c>
      <c r="AP3" s="19" t="s">
        <v>44</v>
      </c>
      <c r="AQ3" s="19" t="s">
        <v>45</v>
      </c>
      <c r="AR3" s="19" t="s">
        <v>46</v>
      </c>
      <c r="AS3" s="19" t="s">
        <v>47</v>
      </c>
      <c r="AT3" s="19" t="s">
        <v>48</v>
      </c>
      <c r="AU3" s="19" t="s">
        <v>54</v>
      </c>
      <c r="AV3" s="15" t="s">
        <v>40</v>
      </c>
      <c r="AW3" s="15" t="s">
        <v>136</v>
      </c>
    </row>
    <row r="4" spans="1:49" x14ac:dyDescent="0.25">
      <c r="A4" s="13"/>
      <c r="B4" s="3" t="s">
        <v>8</v>
      </c>
      <c r="C4" s="4" t="s">
        <v>9</v>
      </c>
      <c r="D4" s="5" t="s">
        <v>9</v>
      </c>
      <c r="E4" s="5" t="s">
        <v>9</v>
      </c>
      <c r="F4" s="4" t="s">
        <v>9</v>
      </c>
      <c r="G4" s="5" t="s">
        <v>9</v>
      </c>
      <c r="H4" s="4"/>
      <c r="I4" s="4" t="s">
        <v>9</v>
      </c>
      <c r="J4" s="5" t="s">
        <v>9</v>
      </c>
      <c r="K4" s="6" t="s">
        <v>8</v>
      </c>
      <c r="L4" s="4" t="s">
        <v>9</v>
      </c>
      <c r="M4" s="5" t="s">
        <v>9</v>
      </c>
      <c r="N4" s="7" t="s">
        <v>9</v>
      </c>
      <c r="O4" s="8" t="s">
        <v>9</v>
      </c>
      <c r="P4" s="8" t="s">
        <v>9</v>
      </c>
      <c r="Q4" s="7" t="s">
        <v>9</v>
      </c>
      <c r="R4" s="8" t="s">
        <v>9</v>
      </c>
      <c r="S4" s="8" t="s">
        <v>9</v>
      </c>
      <c r="T4" s="8" t="s">
        <v>9</v>
      </c>
      <c r="U4" s="8" t="s">
        <v>9</v>
      </c>
      <c r="V4" s="9" t="s">
        <v>8</v>
      </c>
      <c r="W4" s="10" t="s">
        <v>9</v>
      </c>
      <c r="X4" s="9" t="s">
        <v>8</v>
      </c>
      <c r="Y4" s="11"/>
      <c r="AA4" s="13"/>
      <c r="AB4" s="3" t="s">
        <v>8</v>
      </c>
      <c r="AC4" s="4" t="s">
        <v>9</v>
      </c>
      <c r="AD4" s="5" t="s">
        <v>9</v>
      </c>
      <c r="AE4" s="5" t="s">
        <v>9</v>
      </c>
      <c r="AF4" s="4" t="s">
        <v>9</v>
      </c>
      <c r="AG4" s="5" t="s">
        <v>9</v>
      </c>
      <c r="AH4" s="4"/>
      <c r="AI4" s="4" t="s">
        <v>9</v>
      </c>
      <c r="AJ4" s="5" t="s">
        <v>9</v>
      </c>
      <c r="AK4" s="6" t="s">
        <v>8</v>
      </c>
      <c r="AL4" s="4" t="s">
        <v>9</v>
      </c>
      <c r="AM4" s="5" t="s">
        <v>9</v>
      </c>
      <c r="AN4" s="7" t="s">
        <v>9</v>
      </c>
      <c r="AO4" s="8" t="s">
        <v>9</v>
      </c>
      <c r="AP4" s="8" t="s">
        <v>9</v>
      </c>
      <c r="AQ4" s="7" t="s">
        <v>9</v>
      </c>
      <c r="AR4" s="8" t="s">
        <v>9</v>
      </c>
      <c r="AS4" s="8" t="s">
        <v>9</v>
      </c>
      <c r="AT4" s="8" t="s">
        <v>9</v>
      </c>
      <c r="AU4" s="8" t="s">
        <v>9</v>
      </c>
      <c r="AV4" s="9" t="s">
        <v>8</v>
      </c>
      <c r="AW4" s="11"/>
    </row>
    <row r="5" spans="1:49" x14ac:dyDescent="0.25">
      <c r="A5" s="14" t="s">
        <v>10</v>
      </c>
      <c r="B5" s="57" t="e">
        <f t="shared" ref="B5:Y5" si="0">B84-B43</f>
        <v>#VALUE!</v>
      </c>
      <c r="C5" s="58" t="e">
        <f t="shared" si="0"/>
        <v>#VALUE!</v>
      </c>
      <c r="D5" s="58" t="e">
        <f t="shared" si="0"/>
        <v>#VALUE!</v>
      </c>
      <c r="E5" s="58" t="e">
        <f t="shared" si="0"/>
        <v>#VALUE!</v>
      </c>
      <c r="F5" s="58" t="e">
        <f t="shared" si="0"/>
        <v>#VALUE!</v>
      </c>
      <c r="G5" s="58" t="e">
        <f t="shared" si="0"/>
        <v>#VALUE!</v>
      </c>
      <c r="H5" s="58" t="e">
        <f t="shared" si="0"/>
        <v>#VALUE!</v>
      </c>
      <c r="I5" s="58" t="e">
        <f t="shared" si="0"/>
        <v>#VALUE!</v>
      </c>
      <c r="J5" s="58" t="e">
        <f t="shared" si="0"/>
        <v>#VALUE!</v>
      </c>
      <c r="K5" s="59" t="e">
        <f t="shared" si="0"/>
        <v>#VALUE!</v>
      </c>
      <c r="L5" s="58" t="e">
        <f t="shared" si="0"/>
        <v>#VALUE!</v>
      </c>
      <c r="M5" s="58" t="e">
        <f t="shared" si="0"/>
        <v>#VALUE!</v>
      </c>
      <c r="N5" s="58" t="e">
        <f t="shared" si="0"/>
        <v>#VALUE!</v>
      </c>
      <c r="O5" s="58" t="e">
        <f t="shared" si="0"/>
        <v>#VALUE!</v>
      </c>
      <c r="P5" s="58" t="e">
        <f t="shared" si="0"/>
        <v>#VALUE!</v>
      </c>
      <c r="Q5" s="58" t="e">
        <f t="shared" si="0"/>
        <v>#VALUE!</v>
      </c>
      <c r="R5" s="58" t="e">
        <f t="shared" si="0"/>
        <v>#VALUE!</v>
      </c>
      <c r="S5" s="58" t="e">
        <f t="shared" si="0"/>
        <v>#VALUE!</v>
      </c>
      <c r="T5" s="58" t="e">
        <f t="shared" si="0"/>
        <v>#VALUE!</v>
      </c>
      <c r="U5" s="58" t="e">
        <f t="shared" si="0"/>
        <v>#VALUE!</v>
      </c>
      <c r="V5" s="59" t="e">
        <f t="shared" si="0"/>
        <v>#VALUE!</v>
      </c>
      <c r="W5" s="60" t="e">
        <f t="shared" si="0"/>
        <v>#VALUE!</v>
      </c>
      <c r="X5" s="61" t="e">
        <f t="shared" si="0"/>
        <v>#VALUE!</v>
      </c>
      <c r="Y5" s="61" t="e">
        <f t="shared" si="0"/>
        <v>#VALUE!</v>
      </c>
      <c r="AA5" s="14" t="s">
        <v>10</v>
      </c>
      <c r="AB5" s="56" t="e">
        <f t="shared" ref="AB5:AV5" si="1">B5/$V84</f>
        <v>#VALUE!</v>
      </c>
      <c r="AC5" s="55" t="e">
        <f t="shared" si="1"/>
        <v>#VALUE!</v>
      </c>
      <c r="AD5" s="55" t="e">
        <f t="shared" si="1"/>
        <v>#VALUE!</v>
      </c>
      <c r="AE5" s="55" t="e">
        <f t="shared" si="1"/>
        <v>#VALUE!</v>
      </c>
      <c r="AF5" s="55" t="e">
        <f t="shared" si="1"/>
        <v>#VALUE!</v>
      </c>
      <c r="AG5" s="55" t="e">
        <f t="shared" si="1"/>
        <v>#VALUE!</v>
      </c>
      <c r="AH5" s="55" t="e">
        <f t="shared" si="1"/>
        <v>#VALUE!</v>
      </c>
      <c r="AI5" s="55" t="e">
        <f t="shared" si="1"/>
        <v>#VALUE!</v>
      </c>
      <c r="AJ5" s="55" t="e">
        <f t="shared" si="1"/>
        <v>#VALUE!</v>
      </c>
      <c r="AK5" s="54" t="e">
        <f t="shared" si="1"/>
        <v>#VALUE!</v>
      </c>
      <c r="AL5" s="55" t="e">
        <f t="shared" si="1"/>
        <v>#VALUE!</v>
      </c>
      <c r="AM5" s="55" t="e">
        <f t="shared" si="1"/>
        <v>#VALUE!</v>
      </c>
      <c r="AN5" s="55" t="e">
        <f t="shared" si="1"/>
        <v>#VALUE!</v>
      </c>
      <c r="AO5" s="55" t="e">
        <f t="shared" si="1"/>
        <v>#VALUE!</v>
      </c>
      <c r="AP5" s="55" t="e">
        <f t="shared" si="1"/>
        <v>#VALUE!</v>
      </c>
      <c r="AQ5" s="55" t="e">
        <f t="shared" si="1"/>
        <v>#VALUE!</v>
      </c>
      <c r="AR5" s="55" t="e">
        <f t="shared" si="1"/>
        <v>#VALUE!</v>
      </c>
      <c r="AS5" s="55" t="e">
        <f t="shared" si="1"/>
        <v>#VALUE!</v>
      </c>
      <c r="AT5" s="55" t="e">
        <f t="shared" si="1"/>
        <v>#VALUE!</v>
      </c>
      <c r="AU5" s="55" t="e">
        <f t="shared" si="1"/>
        <v>#VALUE!</v>
      </c>
      <c r="AV5" s="54" t="e">
        <f t="shared" si="1"/>
        <v>#VALUE!</v>
      </c>
      <c r="AW5" s="55" t="e">
        <f>Y5/Y84</f>
        <v>#VALUE!</v>
      </c>
    </row>
    <row r="6" spans="1:49" x14ac:dyDescent="0.25">
      <c r="A6" s="14" t="s">
        <v>11</v>
      </c>
      <c r="B6" s="25" t="e">
        <f t="shared" ref="B6:Y6" si="2">B85-B44</f>
        <v>#VALUE!</v>
      </c>
      <c r="C6" s="26" t="e">
        <f t="shared" si="2"/>
        <v>#VALUE!</v>
      </c>
      <c r="D6" s="26" t="e">
        <f t="shared" si="2"/>
        <v>#VALUE!</v>
      </c>
      <c r="E6" s="26" t="e">
        <f t="shared" si="2"/>
        <v>#VALUE!</v>
      </c>
      <c r="F6" s="26" t="e">
        <f t="shared" si="2"/>
        <v>#VALUE!</v>
      </c>
      <c r="G6" s="26" t="e">
        <f t="shared" si="2"/>
        <v>#VALUE!</v>
      </c>
      <c r="H6" s="26" t="e">
        <f t="shared" si="2"/>
        <v>#VALUE!</v>
      </c>
      <c r="I6" s="26" t="e">
        <f t="shared" si="2"/>
        <v>#VALUE!</v>
      </c>
      <c r="J6" s="26" t="e">
        <f t="shared" si="2"/>
        <v>#VALUE!</v>
      </c>
      <c r="K6" s="27" t="e">
        <f t="shared" si="2"/>
        <v>#VALUE!</v>
      </c>
      <c r="L6" s="26" t="e">
        <f t="shared" si="2"/>
        <v>#VALUE!</v>
      </c>
      <c r="M6" s="26" t="e">
        <f t="shared" si="2"/>
        <v>#VALUE!</v>
      </c>
      <c r="N6" s="26" t="e">
        <f t="shared" si="2"/>
        <v>#VALUE!</v>
      </c>
      <c r="O6" s="26" t="e">
        <f t="shared" si="2"/>
        <v>#VALUE!</v>
      </c>
      <c r="P6" s="26" t="e">
        <f t="shared" si="2"/>
        <v>#VALUE!</v>
      </c>
      <c r="Q6" s="26" t="e">
        <f t="shared" si="2"/>
        <v>#VALUE!</v>
      </c>
      <c r="R6" s="26" t="e">
        <f t="shared" si="2"/>
        <v>#VALUE!</v>
      </c>
      <c r="S6" s="26" t="e">
        <f t="shared" si="2"/>
        <v>#VALUE!</v>
      </c>
      <c r="T6" s="26" t="e">
        <f t="shared" si="2"/>
        <v>#VALUE!</v>
      </c>
      <c r="U6" s="26" t="e">
        <f t="shared" si="2"/>
        <v>#VALUE!</v>
      </c>
      <c r="V6" s="27" t="e">
        <f t="shared" si="2"/>
        <v>#VALUE!</v>
      </c>
      <c r="W6" s="28" t="e">
        <f t="shared" si="2"/>
        <v>#VALUE!</v>
      </c>
      <c r="X6" s="29" t="e">
        <f t="shared" si="2"/>
        <v>#VALUE!</v>
      </c>
      <c r="Y6" s="29" t="e">
        <f t="shared" si="2"/>
        <v>#VALUE!</v>
      </c>
      <c r="AA6" s="14" t="s">
        <v>11</v>
      </c>
      <c r="AB6" s="56" t="e">
        <f t="shared" ref="AB6:AB34" si="3">B6/$V85</f>
        <v>#VALUE!</v>
      </c>
      <c r="AC6" s="55" t="e">
        <f t="shared" ref="AC6:AC34" si="4">C6/$V85</f>
        <v>#VALUE!</v>
      </c>
      <c r="AD6" s="55" t="e">
        <f t="shared" ref="AD6:AD34" si="5">D6/$V85</f>
        <v>#VALUE!</v>
      </c>
      <c r="AE6" s="55" t="e">
        <f t="shared" ref="AE6:AE34" si="6">E6/$V85</f>
        <v>#VALUE!</v>
      </c>
      <c r="AF6" s="55" t="e">
        <f t="shared" ref="AF6:AF34" si="7">F6/$V85</f>
        <v>#VALUE!</v>
      </c>
      <c r="AG6" s="55" t="e">
        <f t="shared" ref="AG6:AG34" si="8">G6/$V85</f>
        <v>#VALUE!</v>
      </c>
      <c r="AH6" s="55" t="e">
        <f t="shared" ref="AH6:AH34" si="9">H6/$V85</f>
        <v>#VALUE!</v>
      </c>
      <c r="AI6" s="55" t="e">
        <f t="shared" ref="AI6:AI34" si="10">I6/$V85</f>
        <v>#VALUE!</v>
      </c>
      <c r="AJ6" s="55" t="e">
        <f t="shared" ref="AJ6:AJ34" si="11">J6/$V85</f>
        <v>#VALUE!</v>
      </c>
      <c r="AK6" s="54" t="e">
        <f t="shared" ref="AK6:AK34" si="12">K6/$V85</f>
        <v>#VALUE!</v>
      </c>
      <c r="AL6" s="55" t="e">
        <f t="shared" ref="AL6:AL34" si="13">L6/$V85</f>
        <v>#VALUE!</v>
      </c>
      <c r="AM6" s="55" t="e">
        <f t="shared" ref="AM6:AM34" si="14">M6/$V85</f>
        <v>#VALUE!</v>
      </c>
      <c r="AN6" s="55" t="e">
        <f t="shared" ref="AN6:AN34" si="15">N6/$V85</f>
        <v>#VALUE!</v>
      </c>
      <c r="AO6" s="55" t="e">
        <f t="shared" ref="AO6:AO34" si="16">O6/$V85</f>
        <v>#VALUE!</v>
      </c>
      <c r="AP6" s="55" t="e">
        <f t="shared" ref="AP6:AP34" si="17">P6/$V85</f>
        <v>#VALUE!</v>
      </c>
      <c r="AQ6" s="55" t="e">
        <f t="shared" ref="AQ6:AQ34" si="18">Q6/$V85</f>
        <v>#VALUE!</v>
      </c>
      <c r="AR6" s="55" t="e">
        <f t="shared" ref="AR6:AR34" si="19">R6/$V85</f>
        <v>#VALUE!</v>
      </c>
      <c r="AS6" s="55" t="e">
        <f t="shared" ref="AS6:AS34" si="20">S6/$V85</f>
        <v>#VALUE!</v>
      </c>
      <c r="AT6" s="55" t="e">
        <f t="shared" ref="AT6:AT34" si="21">T6/$V85</f>
        <v>#VALUE!</v>
      </c>
      <c r="AU6" s="55" t="e">
        <f t="shared" ref="AU6:AU34" si="22">U6/$V85</f>
        <v>#VALUE!</v>
      </c>
      <c r="AV6" s="54" t="e">
        <f t="shared" ref="AV6:AV34" si="23">V6/$V85</f>
        <v>#VALUE!</v>
      </c>
      <c r="AW6" s="55" t="e">
        <f t="shared" ref="AW6:AW34" si="24">Y6/Y85</f>
        <v>#VALUE!</v>
      </c>
    </row>
    <row r="7" spans="1:49" x14ac:dyDescent="0.25">
      <c r="A7" s="14" t="s">
        <v>12</v>
      </c>
      <c r="B7" s="57" t="e">
        <f t="shared" ref="B7:Y7" si="25">B86-B45</f>
        <v>#VALUE!</v>
      </c>
      <c r="C7" s="58" t="e">
        <f t="shared" si="25"/>
        <v>#VALUE!</v>
      </c>
      <c r="D7" s="58" t="e">
        <f t="shared" si="25"/>
        <v>#VALUE!</v>
      </c>
      <c r="E7" s="58" t="e">
        <f t="shared" si="25"/>
        <v>#VALUE!</v>
      </c>
      <c r="F7" s="58" t="e">
        <f t="shared" si="25"/>
        <v>#VALUE!</v>
      </c>
      <c r="G7" s="58" t="e">
        <f t="shared" si="25"/>
        <v>#VALUE!</v>
      </c>
      <c r="H7" s="58" t="e">
        <f t="shared" si="25"/>
        <v>#VALUE!</v>
      </c>
      <c r="I7" s="58" t="e">
        <f t="shared" si="25"/>
        <v>#VALUE!</v>
      </c>
      <c r="J7" s="58" t="e">
        <f t="shared" si="25"/>
        <v>#VALUE!</v>
      </c>
      <c r="K7" s="59" t="e">
        <f t="shared" si="25"/>
        <v>#VALUE!</v>
      </c>
      <c r="L7" s="58" t="e">
        <f t="shared" si="25"/>
        <v>#VALUE!</v>
      </c>
      <c r="M7" s="58" t="e">
        <f t="shared" si="25"/>
        <v>#VALUE!</v>
      </c>
      <c r="N7" s="58" t="e">
        <f t="shared" si="25"/>
        <v>#VALUE!</v>
      </c>
      <c r="O7" s="58" t="e">
        <f t="shared" si="25"/>
        <v>#VALUE!</v>
      </c>
      <c r="P7" s="58" t="e">
        <f t="shared" si="25"/>
        <v>#VALUE!</v>
      </c>
      <c r="Q7" s="58" t="e">
        <f t="shared" si="25"/>
        <v>#VALUE!</v>
      </c>
      <c r="R7" s="58" t="e">
        <f t="shared" si="25"/>
        <v>#VALUE!</v>
      </c>
      <c r="S7" s="58" t="e">
        <f t="shared" si="25"/>
        <v>#VALUE!</v>
      </c>
      <c r="T7" s="58" t="e">
        <f t="shared" si="25"/>
        <v>#VALUE!</v>
      </c>
      <c r="U7" s="58" t="e">
        <f t="shared" si="25"/>
        <v>#VALUE!</v>
      </c>
      <c r="V7" s="59" t="e">
        <f t="shared" si="25"/>
        <v>#VALUE!</v>
      </c>
      <c r="W7" s="60" t="e">
        <f t="shared" si="25"/>
        <v>#VALUE!</v>
      </c>
      <c r="X7" s="61" t="e">
        <f t="shared" si="25"/>
        <v>#VALUE!</v>
      </c>
      <c r="Y7" s="61" t="e">
        <f t="shared" si="25"/>
        <v>#VALUE!</v>
      </c>
      <c r="AA7" s="14" t="s">
        <v>12</v>
      </c>
      <c r="AB7" s="56" t="e">
        <f t="shared" si="3"/>
        <v>#VALUE!</v>
      </c>
      <c r="AC7" s="55" t="e">
        <f t="shared" si="4"/>
        <v>#VALUE!</v>
      </c>
      <c r="AD7" s="55" t="e">
        <f t="shared" si="5"/>
        <v>#VALUE!</v>
      </c>
      <c r="AE7" s="55" t="e">
        <f t="shared" si="6"/>
        <v>#VALUE!</v>
      </c>
      <c r="AF7" s="55" t="e">
        <f t="shared" si="7"/>
        <v>#VALUE!</v>
      </c>
      <c r="AG7" s="55" t="e">
        <f t="shared" si="8"/>
        <v>#VALUE!</v>
      </c>
      <c r="AH7" s="55" t="e">
        <f t="shared" si="9"/>
        <v>#VALUE!</v>
      </c>
      <c r="AI7" s="55" t="e">
        <f t="shared" si="10"/>
        <v>#VALUE!</v>
      </c>
      <c r="AJ7" s="55" t="e">
        <f t="shared" si="11"/>
        <v>#VALUE!</v>
      </c>
      <c r="AK7" s="54" t="e">
        <f t="shared" si="12"/>
        <v>#VALUE!</v>
      </c>
      <c r="AL7" s="55" t="e">
        <f t="shared" si="13"/>
        <v>#VALUE!</v>
      </c>
      <c r="AM7" s="55" t="e">
        <f t="shared" si="14"/>
        <v>#VALUE!</v>
      </c>
      <c r="AN7" s="55" t="e">
        <f t="shared" si="15"/>
        <v>#VALUE!</v>
      </c>
      <c r="AO7" s="55" t="e">
        <f t="shared" si="16"/>
        <v>#VALUE!</v>
      </c>
      <c r="AP7" s="55" t="e">
        <f t="shared" si="17"/>
        <v>#VALUE!</v>
      </c>
      <c r="AQ7" s="55" t="e">
        <f t="shared" si="18"/>
        <v>#VALUE!</v>
      </c>
      <c r="AR7" s="55" t="e">
        <f t="shared" si="19"/>
        <v>#VALUE!</v>
      </c>
      <c r="AS7" s="55" t="e">
        <f t="shared" si="20"/>
        <v>#VALUE!</v>
      </c>
      <c r="AT7" s="55" t="e">
        <f t="shared" si="21"/>
        <v>#VALUE!</v>
      </c>
      <c r="AU7" s="55" t="e">
        <f t="shared" si="22"/>
        <v>#VALUE!</v>
      </c>
      <c r="AV7" s="54" t="e">
        <f t="shared" si="23"/>
        <v>#VALUE!</v>
      </c>
      <c r="AW7" s="55" t="e">
        <f t="shared" si="24"/>
        <v>#VALUE!</v>
      </c>
    </row>
    <row r="8" spans="1:49" x14ac:dyDescent="0.25">
      <c r="A8" s="14" t="s">
        <v>13</v>
      </c>
      <c r="B8" s="25" t="e">
        <f t="shared" ref="B8:Y8" si="26">B87-B46</f>
        <v>#VALUE!</v>
      </c>
      <c r="C8" s="26" t="e">
        <f t="shared" si="26"/>
        <v>#VALUE!</v>
      </c>
      <c r="D8" s="26" t="e">
        <f t="shared" si="26"/>
        <v>#VALUE!</v>
      </c>
      <c r="E8" s="26" t="e">
        <f t="shared" si="26"/>
        <v>#VALUE!</v>
      </c>
      <c r="F8" s="26" t="e">
        <f t="shared" si="26"/>
        <v>#VALUE!</v>
      </c>
      <c r="G8" s="26" t="e">
        <f t="shared" si="26"/>
        <v>#VALUE!</v>
      </c>
      <c r="H8" s="26" t="e">
        <f t="shared" si="26"/>
        <v>#VALUE!</v>
      </c>
      <c r="I8" s="26" t="e">
        <f t="shared" si="26"/>
        <v>#VALUE!</v>
      </c>
      <c r="J8" s="26" t="e">
        <f t="shared" si="26"/>
        <v>#VALUE!</v>
      </c>
      <c r="K8" s="27" t="e">
        <f t="shared" si="26"/>
        <v>#VALUE!</v>
      </c>
      <c r="L8" s="26" t="e">
        <f t="shared" si="26"/>
        <v>#VALUE!</v>
      </c>
      <c r="M8" s="26" t="e">
        <f t="shared" si="26"/>
        <v>#VALUE!</v>
      </c>
      <c r="N8" s="26" t="e">
        <f t="shared" si="26"/>
        <v>#VALUE!</v>
      </c>
      <c r="O8" s="26" t="e">
        <f t="shared" si="26"/>
        <v>#VALUE!</v>
      </c>
      <c r="P8" s="26" t="e">
        <f t="shared" si="26"/>
        <v>#VALUE!</v>
      </c>
      <c r="Q8" s="26" t="e">
        <f t="shared" si="26"/>
        <v>#VALUE!</v>
      </c>
      <c r="R8" s="26" t="e">
        <f t="shared" si="26"/>
        <v>#VALUE!</v>
      </c>
      <c r="S8" s="26" t="e">
        <f t="shared" si="26"/>
        <v>#VALUE!</v>
      </c>
      <c r="T8" s="26" t="e">
        <f t="shared" si="26"/>
        <v>#VALUE!</v>
      </c>
      <c r="U8" s="26" t="e">
        <f t="shared" si="26"/>
        <v>#VALUE!</v>
      </c>
      <c r="V8" s="27" t="e">
        <f t="shared" si="26"/>
        <v>#VALUE!</v>
      </c>
      <c r="W8" s="28" t="e">
        <f t="shared" si="26"/>
        <v>#VALUE!</v>
      </c>
      <c r="X8" s="29" t="e">
        <f t="shared" si="26"/>
        <v>#VALUE!</v>
      </c>
      <c r="Y8" s="29" t="e">
        <f t="shared" si="26"/>
        <v>#VALUE!</v>
      </c>
      <c r="AA8" s="14" t="s">
        <v>13</v>
      </c>
      <c r="AB8" s="56" t="e">
        <f t="shared" si="3"/>
        <v>#VALUE!</v>
      </c>
      <c r="AC8" s="55" t="e">
        <f t="shared" si="4"/>
        <v>#VALUE!</v>
      </c>
      <c r="AD8" s="55" t="e">
        <f t="shared" si="5"/>
        <v>#VALUE!</v>
      </c>
      <c r="AE8" s="55" t="e">
        <f t="shared" si="6"/>
        <v>#VALUE!</v>
      </c>
      <c r="AF8" s="55" t="e">
        <f t="shared" si="7"/>
        <v>#VALUE!</v>
      </c>
      <c r="AG8" s="55" t="e">
        <f t="shared" si="8"/>
        <v>#VALUE!</v>
      </c>
      <c r="AH8" s="55" t="e">
        <f t="shared" si="9"/>
        <v>#VALUE!</v>
      </c>
      <c r="AI8" s="55" t="e">
        <f t="shared" si="10"/>
        <v>#VALUE!</v>
      </c>
      <c r="AJ8" s="55" t="e">
        <f t="shared" si="11"/>
        <v>#VALUE!</v>
      </c>
      <c r="AK8" s="54" t="e">
        <f t="shared" si="12"/>
        <v>#VALUE!</v>
      </c>
      <c r="AL8" s="55" t="e">
        <f t="shared" si="13"/>
        <v>#VALUE!</v>
      </c>
      <c r="AM8" s="55" t="e">
        <f t="shared" si="14"/>
        <v>#VALUE!</v>
      </c>
      <c r="AN8" s="55" t="e">
        <f t="shared" si="15"/>
        <v>#VALUE!</v>
      </c>
      <c r="AO8" s="55" t="e">
        <f t="shared" si="16"/>
        <v>#VALUE!</v>
      </c>
      <c r="AP8" s="55" t="e">
        <f t="shared" si="17"/>
        <v>#VALUE!</v>
      </c>
      <c r="AQ8" s="55" t="e">
        <f t="shared" si="18"/>
        <v>#VALUE!</v>
      </c>
      <c r="AR8" s="55" t="e">
        <f t="shared" si="19"/>
        <v>#VALUE!</v>
      </c>
      <c r="AS8" s="55" t="e">
        <f t="shared" si="20"/>
        <v>#VALUE!</v>
      </c>
      <c r="AT8" s="55" t="e">
        <f t="shared" si="21"/>
        <v>#VALUE!</v>
      </c>
      <c r="AU8" s="55" t="e">
        <f t="shared" si="22"/>
        <v>#VALUE!</v>
      </c>
      <c r="AV8" s="54" t="e">
        <f t="shared" si="23"/>
        <v>#VALUE!</v>
      </c>
      <c r="AW8" s="55" t="e">
        <f t="shared" si="24"/>
        <v>#VALUE!</v>
      </c>
    </row>
    <row r="9" spans="1:49" x14ac:dyDescent="0.25">
      <c r="A9" s="14" t="s">
        <v>14</v>
      </c>
      <c r="B9" s="57" t="e">
        <f t="shared" ref="B9:Y9" si="27">B88-B47</f>
        <v>#VALUE!</v>
      </c>
      <c r="C9" s="58" t="e">
        <f t="shared" si="27"/>
        <v>#VALUE!</v>
      </c>
      <c r="D9" s="58" t="e">
        <f t="shared" si="27"/>
        <v>#VALUE!</v>
      </c>
      <c r="E9" s="58" t="e">
        <f t="shared" si="27"/>
        <v>#VALUE!</v>
      </c>
      <c r="F9" s="58" t="e">
        <f t="shared" si="27"/>
        <v>#VALUE!</v>
      </c>
      <c r="G9" s="58" t="e">
        <f t="shared" si="27"/>
        <v>#VALUE!</v>
      </c>
      <c r="H9" s="58" t="e">
        <f t="shared" si="27"/>
        <v>#VALUE!</v>
      </c>
      <c r="I9" s="58" t="e">
        <f t="shared" si="27"/>
        <v>#VALUE!</v>
      </c>
      <c r="J9" s="58" t="e">
        <f t="shared" si="27"/>
        <v>#VALUE!</v>
      </c>
      <c r="K9" s="59" t="e">
        <f t="shared" si="27"/>
        <v>#VALUE!</v>
      </c>
      <c r="L9" s="58" t="e">
        <f t="shared" si="27"/>
        <v>#VALUE!</v>
      </c>
      <c r="M9" s="58" t="e">
        <f t="shared" si="27"/>
        <v>#VALUE!</v>
      </c>
      <c r="N9" s="58" t="e">
        <f t="shared" si="27"/>
        <v>#VALUE!</v>
      </c>
      <c r="O9" s="58" t="e">
        <f t="shared" si="27"/>
        <v>#VALUE!</v>
      </c>
      <c r="P9" s="58" t="e">
        <f t="shared" si="27"/>
        <v>#VALUE!</v>
      </c>
      <c r="Q9" s="58" t="e">
        <f t="shared" si="27"/>
        <v>#VALUE!</v>
      </c>
      <c r="R9" s="58" t="e">
        <f t="shared" si="27"/>
        <v>#VALUE!</v>
      </c>
      <c r="S9" s="58" t="e">
        <f t="shared" si="27"/>
        <v>#VALUE!</v>
      </c>
      <c r="T9" s="58" t="e">
        <f t="shared" si="27"/>
        <v>#VALUE!</v>
      </c>
      <c r="U9" s="58" t="e">
        <f t="shared" si="27"/>
        <v>#VALUE!</v>
      </c>
      <c r="V9" s="59" t="e">
        <f t="shared" si="27"/>
        <v>#VALUE!</v>
      </c>
      <c r="W9" s="60" t="e">
        <f t="shared" si="27"/>
        <v>#VALUE!</v>
      </c>
      <c r="X9" s="61" t="e">
        <f t="shared" si="27"/>
        <v>#VALUE!</v>
      </c>
      <c r="Y9" s="61" t="e">
        <f t="shared" si="27"/>
        <v>#VALUE!</v>
      </c>
      <c r="AA9" s="14" t="s">
        <v>14</v>
      </c>
      <c r="AB9" s="56" t="e">
        <f t="shared" si="3"/>
        <v>#VALUE!</v>
      </c>
      <c r="AC9" s="55" t="e">
        <f t="shared" si="4"/>
        <v>#VALUE!</v>
      </c>
      <c r="AD9" s="55" t="e">
        <f t="shared" si="5"/>
        <v>#VALUE!</v>
      </c>
      <c r="AE9" s="55" t="e">
        <f t="shared" si="6"/>
        <v>#VALUE!</v>
      </c>
      <c r="AF9" s="55" t="e">
        <f t="shared" si="7"/>
        <v>#VALUE!</v>
      </c>
      <c r="AG9" s="55" t="e">
        <f t="shared" si="8"/>
        <v>#VALUE!</v>
      </c>
      <c r="AH9" s="55" t="e">
        <f t="shared" si="9"/>
        <v>#VALUE!</v>
      </c>
      <c r="AI9" s="55" t="e">
        <f t="shared" si="10"/>
        <v>#VALUE!</v>
      </c>
      <c r="AJ9" s="55" t="e">
        <f t="shared" si="11"/>
        <v>#VALUE!</v>
      </c>
      <c r="AK9" s="54" t="e">
        <f t="shared" si="12"/>
        <v>#VALUE!</v>
      </c>
      <c r="AL9" s="55" t="e">
        <f t="shared" si="13"/>
        <v>#VALUE!</v>
      </c>
      <c r="AM9" s="55" t="e">
        <f t="shared" si="14"/>
        <v>#VALUE!</v>
      </c>
      <c r="AN9" s="55" t="e">
        <f t="shared" si="15"/>
        <v>#VALUE!</v>
      </c>
      <c r="AO9" s="55" t="e">
        <f t="shared" si="16"/>
        <v>#VALUE!</v>
      </c>
      <c r="AP9" s="55" t="e">
        <f t="shared" si="17"/>
        <v>#VALUE!</v>
      </c>
      <c r="AQ9" s="55" t="e">
        <f t="shared" si="18"/>
        <v>#VALUE!</v>
      </c>
      <c r="AR9" s="55" t="e">
        <f t="shared" si="19"/>
        <v>#VALUE!</v>
      </c>
      <c r="AS9" s="55" t="e">
        <f t="shared" si="20"/>
        <v>#VALUE!</v>
      </c>
      <c r="AT9" s="55" t="e">
        <f t="shared" si="21"/>
        <v>#VALUE!</v>
      </c>
      <c r="AU9" s="55" t="e">
        <f t="shared" si="22"/>
        <v>#VALUE!</v>
      </c>
      <c r="AV9" s="54" t="e">
        <f t="shared" si="23"/>
        <v>#VALUE!</v>
      </c>
      <c r="AW9" s="55" t="e">
        <f t="shared" si="24"/>
        <v>#VALUE!</v>
      </c>
    </row>
    <row r="10" spans="1:49" x14ac:dyDescent="0.25">
      <c r="A10" s="14" t="s">
        <v>15</v>
      </c>
      <c r="B10" s="25" t="e">
        <f t="shared" ref="B10:Y10" si="28">B89-B48</f>
        <v>#VALUE!</v>
      </c>
      <c r="C10" s="26" t="e">
        <f t="shared" si="28"/>
        <v>#VALUE!</v>
      </c>
      <c r="D10" s="26" t="e">
        <f t="shared" si="28"/>
        <v>#VALUE!</v>
      </c>
      <c r="E10" s="26" t="e">
        <f t="shared" si="28"/>
        <v>#VALUE!</v>
      </c>
      <c r="F10" s="26" t="e">
        <f t="shared" si="28"/>
        <v>#VALUE!</v>
      </c>
      <c r="G10" s="26" t="e">
        <f t="shared" si="28"/>
        <v>#VALUE!</v>
      </c>
      <c r="H10" s="26" t="e">
        <f t="shared" si="28"/>
        <v>#VALUE!</v>
      </c>
      <c r="I10" s="26" t="e">
        <f t="shared" si="28"/>
        <v>#VALUE!</v>
      </c>
      <c r="J10" s="26" t="e">
        <f t="shared" si="28"/>
        <v>#VALUE!</v>
      </c>
      <c r="K10" s="27" t="e">
        <f t="shared" si="28"/>
        <v>#VALUE!</v>
      </c>
      <c r="L10" s="26" t="e">
        <f t="shared" si="28"/>
        <v>#VALUE!</v>
      </c>
      <c r="M10" s="26" t="e">
        <f t="shared" si="28"/>
        <v>#VALUE!</v>
      </c>
      <c r="N10" s="26" t="e">
        <f t="shared" si="28"/>
        <v>#VALUE!</v>
      </c>
      <c r="O10" s="26" t="e">
        <f t="shared" si="28"/>
        <v>#VALUE!</v>
      </c>
      <c r="P10" s="26" t="e">
        <f t="shared" si="28"/>
        <v>#VALUE!</v>
      </c>
      <c r="Q10" s="26" t="e">
        <f t="shared" si="28"/>
        <v>#VALUE!</v>
      </c>
      <c r="R10" s="26" t="e">
        <f t="shared" si="28"/>
        <v>#VALUE!</v>
      </c>
      <c r="S10" s="26" t="e">
        <f t="shared" si="28"/>
        <v>#VALUE!</v>
      </c>
      <c r="T10" s="26" t="e">
        <f t="shared" si="28"/>
        <v>#VALUE!</v>
      </c>
      <c r="U10" s="26" t="e">
        <f t="shared" si="28"/>
        <v>#VALUE!</v>
      </c>
      <c r="V10" s="27" t="e">
        <f t="shared" si="28"/>
        <v>#VALUE!</v>
      </c>
      <c r="W10" s="28" t="e">
        <f t="shared" si="28"/>
        <v>#VALUE!</v>
      </c>
      <c r="X10" s="29" t="e">
        <f t="shared" si="28"/>
        <v>#VALUE!</v>
      </c>
      <c r="Y10" s="29" t="e">
        <f t="shared" si="28"/>
        <v>#VALUE!</v>
      </c>
      <c r="AA10" s="14" t="s">
        <v>15</v>
      </c>
      <c r="AB10" s="56" t="e">
        <f t="shared" si="3"/>
        <v>#VALUE!</v>
      </c>
      <c r="AC10" s="55" t="e">
        <f t="shared" si="4"/>
        <v>#VALUE!</v>
      </c>
      <c r="AD10" s="55" t="e">
        <f t="shared" si="5"/>
        <v>#VALUE!</v>
      </c>
      <c r="AE10" s="55" t="e">
        <f t="shared" si="6"/>
        <v>#VALUE!</v>
      </c>
      <c r="AF10" s="55" t="e">
        <f t="shared" si="7"/>
        <v>#VALUE!</v>
      </c>
      <c r="AG10" s="55" t="e">
        <f t="shared" si="8"/>
        <v>#VALUE!</v>
      </c>
      <c r="AH10" s="55" t="e">
        <f t="shared" si="9"/>
        <v>#VALUE!</v>
      </c>
      <c r="AI10" s="55" t="e">
        <f t="shared" si="10"/>
        <v>#VALUE!</v>
      </c>
      <c r="AJ10" s="55" t="e">
        <f t="shared" si="11"/>
        <v>#VALUE!</v>
      </c>
      <c r="AK10" s="54" t="e">
        <f t="shared" si="12"/>
        <v>#VALUE!</v>
      </c>
      <c r="AL10" s="55" t="e">
        <f t="shared" si="13"/>
        <v>#VALUE!</v>
      </c>
      <c r="AM10" s="55" t="e">
        <f t="shared" si="14"/>
        <v>#VALUE!</v>
      </c>
      <c r="AN10" s="55" t="e">
        <f t="shared" si="15"/>
        <v>#VALUE!</v>
      </c>
      <c r="AO10" s="55" t="e">
        <f t="shared" si="16"/>
        <v>#VALUE!</v>
      </c>
      <c r="AP10" s="55" t="e">
        <f t="shared" si="17"/>
        <v>#VALUE!</v>
      </c>
      <c r="AQ10" s="55" t="e">
        <f t="shared" si="18"/>
        <v>#VALUE!</v>
      </c>
      <c r="AR10" s="55" t="e">
        <f t="shared" si="19"/>
        <v>#VALUE!</v>
      </c>
      <c r="AS10" s="55" t="e">
        <f t="shared" si="20"/>
        <v>#VALUE!</v>
      </c>
      <c r="AT10" s="55" t="e">
        <f t="shared" si="21"/>
        <v>#VALUE!</v>
      </c>
      <c r="AU10" s="55" t="e">
        <f t="shared" si="22"/>
        <v>#VALUE!</v>
      </c>
      <c r="AV10" s="54" t="e">
        <f t="shared" si="23"/>
        <v>#VALUE!</v>
      </c>
      <c r="AW10" s="55" t="e">
        <f t="shared" si="24"/>
        <v>#VALUE!</v>
      </c>
    </row>
    <row r="11" spans="1:49" x14ac:dyDescent="0.25">
      <c r="A11" s="14" t="s">
        <v>16</v>
      </c>
      <c r="B11" s="57" t="e">
        <f t="shared" ref="B11:Y11" si="29">B90-B49</f>
        <v>#VALUE!</v>
      </c>
      <c r="C11" s="58" t="e">
        <f t="shared" si="29"/>
        <v>#VALUE!</v>
      </c>
      <c r="D11" s="58" t="e">
        <f t="shared" si="29"/>
        <v>#VALUE!</v>
      </c>
      <c r="E11" s="58" t="e">
        <f t="shared" si="29"/>
        <v>#VALUE!</v>
      </c>
      <c r="F11" s="58" t="e">
        <f t="shared" si="29"/>
        <v>#VALUE!</v>
      </c>
      <c r="G11" s="58" t="e">
        <f t="shared" si="29"/>
        <v>#VALUE!</v>
      </c>
      <c r="H11" s="58" t="e">
        <f t="shared" si="29"/>
        <v>#VALUE!</v>
      </c>
      <c r="I11" s="58" t="e">
        <f t="shared" si="29"/>
        <v>#VALUE!</v>
      </c>
      <c r="J11" s="58" t="e">
        <f t="shared" si="29"/>
        <v>#VALUE!</v>
      </c>
      <c r="K11" s="59" t="e">
        <f t="shared" si="29"/>
        <v>#VALUE!</v>
      </c>
      <c r="L11" s="58" t="e">
        <f t="shared" si="29"/>
        <v>#VALUE!</v>
      </c>
      <c r="M11" s="58" t="e">
        <f t="shared" si="29"/>
        <v>#VALUE!</v>
      </c>
      <c r="N11" s="58" t="e">
        <f t="shared" si="29"/>
        <v>#VALUE!</v>
      </c>
      <c r="O11" s="58" t="e">
        <f t="shared" si="29"/>
        <v>#VALUE!</v>
      </c>
      <c r="P11" s="58" t="e">
        <f t="shared" si="29"/>
        <v>#VALUE!</v>
      </c>
      <c r="Q11" s="58" t="e">
        <f t="shared" si="29"/>
        <v>#VALUE!</v>
      </c>
      <c r="R11" s="58" t="e">
        <f t="shared" si="29"/>
        <v>#VALUE!</v>
      </c>
      <c r="S11" s="58" t="e">
        <f t="shared" si="29"/>
        <v>#VALUE!</v>
      </c>
      <c r="T11" s="58" t="e">
        <f t="shared" si="29"/>
        <v>#VALUE!</v>
      </c>
      <c r="U11" s="58" t="e">
        <f t="shared" si="29"/>
        <v>#VALUE!</v>
      </c>
      <c r="V11" s="59" t="e">
        <f t="shared" si="29"/>
        <v>#VALUE!</v>
      </c>
      <c r="W11" s="60" t="e">
        <f t="shared" si="29"/>
        <v>#VALUE!</v>
      </c>
      <c r="X11" s="61" t="e">
        <f t="shared" si="29"/>
        <v>#VALUE!</v>
      </c>
      <c r="Y11" s="61" t="e">
        <f t="shared" si="29"/>
        <v>#VALUE!</v>
      </c>
      <c r="AA11" s="14" t="s">
        <v>16</v>
      </c>
      <c r="AB11" s="56" t="e">
        <f t="shared" si="3"/>
        <v>#VALUE!</v>
      </c>
      <c r="AC11" s="55" t="e">
        <f t="shared" si="4"/>
        <v>#VALUE!</v>
      </c>
      <c r="AD11" s="55" t="e">
        <f t="shared" si="5"/>
        <v>#VALUE!</v>
      </c>
      <c r="AE11" s="55" t="e">
        <f t="shared" si="6"/>
        <v>#VALUE!</v>
      </c>
      <c r="AF11" s="55" t="e">
        <f t="shared" si="7"/>
        <v>#VALUE!</v>
      </c>
      <c r="AG11" s="55" t="e">
        <f t="shared" si="8"/>
        <v>#VALUE!</v>
      </c>
      <c r="AH11" s="55" t="e">
        <f t="shared" si="9"/>
        <v>#VALUE!</v>
      </c>
      <c r="AI11" s="55" t="e">
        <f t="shared" si="10"/>
        <v>#VALUE!</v>
      </c>
      <c r="AJ11" s="55" t="e">
        <f t="shared" si="11"/>
        <v>#VALUE!</v>
      </c>
      <c r="AK11" s="54" t="e">
        <f t="shared" si="12"/>
        <v>#VALUE!</v>
      </c>
      <c r="AL11" s="55" t="e">
        <f t="shared" si="13"/>
        <v>#VALUE!</v>
      </c>
      <c r="AM11" s="55" t="e">
        <f t="shared" si="14"/>
        <v>#VALUE!</v>
      </c>
      <c r="AN11" s="55" t="e">
        <f t="shared" si="15"/>
        <v>#VALUE!</v>
      </c>
      <c r="AO11" s="55" t="e">
        <f t="shared" si="16"/>
        <v>#VALUE!</v>
      </c>
      <c r="AP11" s="55" t="e">
        <f t="shared" si="17"/>
        <v>#VALUE!</v>
      </c>
      <c r="AQ11" s="55" t="e">
        <f t="shared" si="18"/>
        <v>#VALUE!</v>
      </c>
      <c r="AR11" s="55" t="e">
        <f t="shared" si="19"/>
        <v>#VALUE!</v>
      </c>
      <c r="AS11" s="55" t="e">
        <f t="shared" si="20"/>
        <v>#VALUE!</v>
      </c>
      <c r="AT11" s="55" t="e">
        <f t="shared" si="21"/>
        <v>#VALUE!</v>
      </c>
      <c r="AU11" s="55" t="e">
        <f t="shared" si="22"/>
        <v>#VALUE!</v>
      </c>
      <c r="AV11" s="54" t="e">
        <f t="shared" si="23"/>
        <v>#VALUE!</v>
      </c>
      <c r="AW11" s="55" t="e">
        <f t="shared" si="24"/>
        <v>#VALUE!</v>
      </c>
    </row>
    <row r="12" spans="1:49" x14ac:dyDescent="0.25">
      <c r="A12" s="14" t="s">
        <v>17</v>
      </c>
      <c r="B12" s="25" t="e">
        <f t="shared" ref="B12:Y12" si="30">B91-B50</f>
        <v>#VALUE!</v>
      </c>
      <c r="C12" s="26" t="e">
        <f t="shared" si="30"/>
        <v>#VALUE!</v>
      </c>
      <c r="D12" s="26" t="e">
        <f t="shared" si="30"/>
        <v>#VALUE!</v>
      </c>
      <c r="E12" s="26" t="e">
        <f t="shared" si="30"/>
        <v>#VALUE!</v>
      </c>
      <c r="F12" s="26" t="e">
        <f t="shared" si="30"/>
        <v>#VALUE!</v>
      </c>
      <c r="G12" s="26" t="e">
        <f t="shared" si="30"/>
        <v>#VALUE!</v>
      </c>
      <c r="H12" s="26" t="e">
        <f t="shared" si="30"/>
        <v>#VALUE!</v>
      </c>
      <c r="I12" s="26" t="e">
        <f t="shared" si="30"/>
        <v>#VALUE!</v>
      </c>
      <c r="J12" s="26" t="e">
        <f t="shared" si="30"/>
        <v>#VALUE!</v>
      </c>
      <c r="K12" s="27" t="e">
        <f t="shared" si="30"/>
        <v>#VALUE!</v>
      </c>
      <c r="L12" s="26" t="e">
        <f t="shared" si="30"/>
        <v>#VALUE!</v>
      </c>
      <c r="M12" s="26" t="e">
        <f t="shared" si="30"/>
        <v>#VALUE!</v>
      </c>
      <c r="N12" s="26" t="e">
        <f t="shared" si="30"/>
        <v>#VALUE!</v>
      </c>
      <c r="O12" s="26" t="e">
        <f t="shared" si="30"/>
        <v>#VALUE!</v>
      </c>
      <c r="P12" s="26" t="e">
        <f t="shared" si="30"/>
        <v>#VALUE!</v>
      </c>
      <c r="Q12" s="26" t="e">
        <f t="shared" si="30"/>
        <v>#VALUE!</v>
      </c>
      <c r="R12" s="26" t="e">
        <f t="shared" si="30"/>
        <v>#VALUE!</v>
      </c>
      <c r="S12" s="26" t="e">
        <f t="shared" si="30"/>
        <v>#VALUE!</v>
      </c>
      <c r="T12" s="26" t="e">
        <f t="shared" si="30"/>
        <v>#VALUE!</v>
      </c>
      <c r="U12" s="26" t="e">
        <f t="shared" si="30"/>
        <v>#VALUE!</v>
      </c>
      <c r="V12" s="27" t="e">
        <f t="shared" si="30"/>
        <v>#VALUE!</v>
      </c>
      <c r="W12" s="28" t="e">
        <f t="shared" si="30"/>
        <v>#VALUE!</v>
      </c>
      <c r="X12" s="29" t="e">
        <f t="shared" si="30"/>
        <v>#VALUE!</v>
      </c>
      <c r="Y12" s="29" t="e">
        <f t="shared" si="30"/>
        <v>#VALUE!</v>
      </c>
      <c r="AA12" s="14" t="s">
        <v>17</v>
      </c>
      <c r="AB12" s="56" t="e">
        <f t="shared" si="3"/>
        <v>#VALUE!</v>
      </c>
      <c r="AC12" s="55" t="e">
        <f t="shared" si="4"/>
        <v>#VALUE!</v>
      </c>
      <c r="AD12" s="55" t="e">
        <f t="shared" si="5"/>
        <v>#VALUE!</v>
      </c>
      <c r="AE12" s="55" t="e">
        <f t="shared" si="6"/>
        <v>#VALUE!</v>
      </c>
      <c r="AF12" s="55" t="e">
        <f t="shared" si="7"/>
        <v>#VALUE!</v>
      </c>
      <c r="AG12" s="55" t="e">
        <f t="shared" si="8"/>
        <v>#VALUE!</v>
      </c>
      <c r="AH12" s="55" t="e">
        <f t="shared" si="9"/>
        <v>#VALUE!</v>
      </c>
      <c r="AI12" s="55" t="e">
        <f t="shared" si="10"/>
        <v>#VALUE!</v>
      </c>
      <c r="AJ12" s="55" t="e">
        <f t="shared" si="11"/>
        <v>#VALUE!</v>
      </c>
      <c r="AK12" s="54" t="e">
        <f t="shared" si="12"/>
        <v>#VALUE!</v>
      </c>
      <c r="AL12" s="55" t="e">
        <f t="shared" si="13"/>
        <v>#VALUE!</v>
      </c>
      <c r="AM12" s="55" t="e">
        <f t="shared" si="14"/>
        <v>#VALUE!</v>
      </c>
      <c r="AN12" s="55" t="e">
        <f t="shared" si="15"/>
        <v>#VALUE!</v>
      </c>
      <c r="AO12" s="55" t="e">
        <f t="shared" si="16"/>
        <v>#VALUE!</v>
      </c>
      <c r="AP12" s="55" t="e">
        <f t="shared" si="17"/>
        <v>#VALUE!</v>
      </c>
      <c r="AQ12" s="55" t="e">
        <f t="shared" si="18"/>
        <v>#VALUE!</v>
      </c>
      <c r="AR12" s="55" t="e">
        <f t="shared" si="19"/>
        <v>#VALUE!</v>
      </c>
      <c r="AS12" s="55" t="e">
        <f t="shared" si="20"/>
        <v>#VALUE!</v>
      </c>
      <c r="AT12" s="55" t="e">
        <f t="shared" si="21"/>
        <v>#VALUE!</v>
      </c>
      <c r="AU12" s="55" t="e">
        <f t="shared" si="22"/>
        <v>#VALUE!</v>
      </c>
      <c r="AV12" s="54" t="e">
        <f t="shared" si="23"/>
        <v>#VALUE!</v>
      </c>
      <c r="AW12" s="55" t="e">
        <f t="shared" si="24"/>
        <v>#VALUE!</v>
      </c>
    </row>
    <row r="13" spans="1:49" x14ac:dyDescent="0.25">
      <c r="A13" s="14" t="s">
        <v>18</v>
      </c>
      <c r="B13" s="57" t="e">
        <f t="shared" ref="B13:Y13" si="31">B92-B51</f>
        <v>#VALUE!</v>
      </c>
      <c r="C13" s="58" t="e">
        <f t="shared" si="31"/>
        <v>#VALUE!</v>
      </c>
      <c r="D13" s="58" t="e">
        <f t="shared" si="31"/>
        <v>#VALUE!</v>
      </c>
      <c r="E13" s="58" t="e">
        <f t="shared" si="31"/>
        <v>#VALUE!</v>
      </c>
      <c r="F13" s="58" t="e">
        <f t="shared" si="31"/>
        <v>#VALUE!</v>
      </c>
      <c r="G13" s="58" t="e">
        <f t="shared" si="31"/>
        <v>#VALUE!</v>
      </c>
      <c r="H13" s="58" t="e">
        <f t="shared" si="31"/>
        <v>#VALUE!</v>
      </c>
      <c r="I13" s="58" t="e">
        <f t="shared" si="31"/>
        <v>#VALUE!</v>
      </c>
      <c r="J13" s="58" t="e">
        <f t="shared" si="31"/>
        <v>#VALUE!</v>
      </c>
      <c r="K13" s="59" t="e">
        <f t="shared" si="31"/>
        <v>#VALUE!</v>
      </c>
      <c r="L13" s="58" t="e">
        <f t="shared" si="31"/>
        <v>#VALUE!</v>
      </c>
      <c r="M13" s="58" t="e">
        <f t="shared" si="31"/>
        <v>#VALUE!</v>
      </c>
      <c r="N13" s="58" t="e">
        <f t="shared" si="31"/>
        <v>#VALUE!</v>
      </c>
      <c r="O13" s="58" t="e">
        <f t="shared" si="31"/>
        <v>#VALUE!</v>
      </c>
      <c r="P13" s="58" t="e">
        <f t="shared" si="31"/>
        <v>#VALUE!</v>
      </c>
      <c r="Q13" s="58" t="e">
        <f t="shared" si="31"/>
        <v>#VALUE!</v>
      </c>
      <c r="R13" s="58" t="e">
        <f t="shared" si="31"/>
        <v>#VALUE!</v>
      </c>
      <c r="S13" s="58" t="e">
        <f t="shared" si="31"/>
        <v>#VALUE!</v>
      </c>
      <c r="T13" s="58" t="e">
        <f t="shared" si="31"/>
        <v>#VALUE!</v>
      </c>
      <c r="U13" s="58" t="e">
        <f t="shared" si="31"/>
        <v>#VALUE!</v>
      </c>
      <c r="V13" s="59" t="e">
        <f t="shared" si="31"/>
        <v>#VALUE!</v>
      </c>
      <c r="W13" s="60" t="e">
        <f t="shared" si="31"/>
        <v>#VALUE!</v>
      </c>
      <c r="X13" s="61" t="e">
        <f t="shared" si="31"/>
        <v>#VALUE!</v>
      </c>
      <c r="Y13" s="61" t="e">
        <f t="shared" si="31"/>
        <v>#VALUE!</v>
      </c>
      <c r="AA13" s="14" t="s">
        <v>18</v>
      </c>
      <c r="AB13" s="56" t="e">
        <f t="shared" si="3"/>
        <v>#VALUE!</v>
      </c>
      <c r="AC13" s="55" t="e">
        <f t="shared" si="4"/>
        <v>#VALUE!</v>
      </c>
      <c r="AD13" s="55" t="e">
        <f t="shared" si="5"/>
        <v>#VALUE!</v>
      </c>
      <c r="AE13" s="55" t="e">
        <f t="shared" si="6"/>
        <v>#VALUE!</v>
      </c>
      <c r="AF13" s="55" t="e">
        <f t="shared" si="7"/>
        <v>#VALUE!</v>
      </c>
      <c r="AG13" s="55" t="e">
        <f t="shared" si="8"/>
        <v>#VALUE!</v>
      </c>
      <c r="AH13" s="55" t="e">
        <f t="shared" si="9"/>
        <v>#VALUE!</v>
      </c>
      <c r="AI13" s="55" t="e">
        <f t="shared" si="10"/>
        <v>#VALUE!</v>
      </c>
      <c r="AJ13" s="55" t="e">
        <f t="shared" si="11"/>
        <v>#VALUE!</v>
      </c>
      <c r="AK13" s="54" t="e">
        <f t="shared" si="12"/>
        <v>#VALUE!</v>
      </c>
      <c r="AL13" s="55" t="e">
        <f t="shared" si="13"/>
        <v>#VALUE!</v>
      </c>
      <c r="AM13" s="55" t="e">
        <f t="shared" si="14"/>
        <v>#VALUE!</v>
      </c>
      <c r="AN13" s="55" t="e">
        <f t="shared" si="15"/>
        <v>#VALUE!</v>
      </c>
      <c r="AO13" s="55" t="e">
        <f t="shared" si="16"/>
        <v>#VALUE!</v>
      </c>
      <c r="AP13" s="55" t="e">
        <f t="shared" si="17"/>
        <v>#VALUE!</v>
      </c>
      <c r="AQ13" s="55" t="e">
        <f t="shared" si="18"/>
        <v>#VALUE!</v>
      </c>
      <c r="AR13" s="55" t="e">
        <f t="shared" si="19"/>
        <v>#VALUE!</v>
      </c>
      <c r="AS13" s="55" t="e">
        <f t="shared" si="20"/>
        <v>#VALUE!</v>
      </c>
      <c r="AT13" s="55" t="e">
        <f t="shared" si="21"/>
        <v>#VALUE!</v>
      </c>
      <c r="AU13" s="55" t="e">
        <f t="shared" si="22"/>
        <v>#VALUE!</v>
      </c>
      <c r="AV13" s="54" t="e">
        <f t="shared" si="23"/>
        <v>#VALUE!</v>
      </c>
      <c r="AW13" s="55" t="e">
        <f t="shared" si="24"/>
        <v>#VALUE!</v>
      </c>
    </row>
    <row r="14" spans="1:49" x14ac:dyDescent="0.25">
      <c r="A14" s="14" t="s">
        <v>19</v>
      </c>
      <c r="B14" s="25" t="e">
        <f t="shared" ref="B14:Y14" si="32">B93-B52</f>
        <v>#VALUE!</v>
      </c>
      <c r="C14" s="26" t="e">
        <f t="shared" si="32"/>
        <v>#VALUE!</v>
      </c>
      <c r="D14" s="26" t="e">
        <f t="shared" si="32"/>
        <v>#VALUE!</v>
      </c>
      <c r="E14" s="26" t="e">
        <f t="shared" si="32"/>
        <v>#VALUE!</v>
      </c>
      <c r="F14" s="26" t="e">
        <f t="shared" si="32"/>
        <v>#VALUE!</v>
      </c>
      <c r="G14" s="26" t="e">
        <f t="shared" si="32"/>
        <v>#VALUE!</v>
      </c>
      <c r="H14" s="26" t="e">
        <f t="shared" si="32"/>
        <v>#VALUE!</v>
      </c>
      <c r="I14" s="26" t="e">
        <f t="shared" si="32"/>
        <v>#VALUE!</v>
      </c>
      <c r="J14" s="26" t="s">
        <v>191</v>
      </c>
      <c r="K14" s="27" t="e">
        <f t="shared" si="32"/>
        <v>#VALUE!</v>
      </c>
      <c r="L14" s="26" t="e">
        <f t="shared" si="32"/>
        <v>#VALUE!</v>
      </c>
      <c r="M14" s="26" t="e">
        <f t="shared" si="32"/>
        <v>#VALUE!</v>
      </c>
      <c r="N14" s="26" t="e">
        <f t="shared" si="32"/>
        <v>#VALUE!</v>
      </c>
      <c r="O14" s="26" t="e">
        <f t="shared" si="32"/>
        <v>#VALUE!</v>
      </c>
      <c r="P14" s="26" t="e">
        <f t="shared" si="32"/>
        <v>#VALUE!</v>
      </c>
      <c r="Q14" s="26" t="e">
        <f t="shared" si="32"/>
        <v>#VALUE!</v>
      </c>
      <c r="R14" s="26" t="e">
        <f t="shared" si="32"/>
        <v>#VALUE!</v>
      </c>
      <c r="S14" s="26" t="e">
        <f t="shared" si="32"/>
        <v>#VALUE!</v>
      </c>
      <c r="T14" s="26" t="e">
        <f t="shared" si="32"/>
        <v>#VALUE!</v>
      </c>
      <c r="U14" s="26" t="e">
        <f t="shared" si="32"/>
        <v>#VALUE!</v>
      </c>
      <c r="V14" s="27" t="e">
        <f t="shared" si="32"/>
        <v>#VALUE!</v>
      </c>
      <c r="W14" s="28" t="e">
        <f t="shared" si="32"/>
        <v>#VALUE!</v>
      </c>
      <c r="X14" s="29" t="e">
        <f t="shared" si="32"/>
        <v>#VALUE!</v>
      </c>
      <c r="Y14" s="29" t="e">
        <f t="shared" si="32"/>
        <v>#VALUE!</v>
      </c>
      <c r="AA14" s="14" t="s">
        <v>19</v>
      </c>
      <c r="AB14" s="56" t="e">
        <f t="shared" si="3"/>
        <v>#VALUE!</v>
      </c>
      <c r="AC14" s="55" t="e">
        <f t="shared" si="4"/>
        <v>#VALUE!</v>
      </c>
      <c r="AD14" s="55" t="e">
        <f t="shared" si="5"/>
        <v>#VALUE!</v>
      </c>
      <c r="AE14" s="55" t="e">
        <f t="shared" si="6"/>
        <v>#VALUE!</v>
      </c>
      <c r="AF14" s="55" t="e">
        <f t="shared" si="7"/>
        <v>#VALUE!</v>
      </c>
      <c r="AG14" s="55" t="e">
        <f t="shared" si="8"/>
        <v>#VALUE!</v>
      </c>
      <c r="AH14" s="55" t="e">
        <f t="shared" si="9"/>
        <v>#VALUE!</v>
      </c>
      <c r="AI14" s="55" t="e">
        <f t="shared" si="10"/>
        <v>#VALUE!</v>
      </c>
      <c r="AJ14" s="55" t="e">
        <f t="shared" si="11"/>
        <v>#VALUE!</v>
      </c>
      <c r="AK14" s="54" t="e">
        <f t="shared" si="12"/>
        <v>#VALUE!</v>
      </c>
      <c r="AL14" s="55" t="e">
        <f t="shared" si="13"/>
        <v>#VALUE!</v>
      </c>
      <c r="AM14" s="55" t="e">
        <f t="shared" si="14"/>
        <v>#VALUE!</v>
      </c>
      <c r="AN14" s="55" t="e">
        <f t="shared" si="15"/>
        <v>#VALUE!</v>
      </c>
      <c r="AO14" s="55" t="e">
        <f t="shared" si="16"/>
        <v>#VALUE!</v>
      </c>
      <c r="AP14" s="55" t="e">
        <f t="shared" si="17"/>
        <v>#VALUE!</v>
      </c>
      <c r="AQ14" s="55" t="e">
        <f t="shared" si="18"/>
        <v>#VALUE!</v>
      </c>
      <c r="AR14" s="55" t="e">
        <f t="shared" si="19"/>
        <v>#VALUE!</v>
      </c>
      <c r="AS14" s="55" t="e">
        <f t="shared" si="20"/>
        <v>#VALUE!</v>
      </c>
      <c r="AT14" s="55" t="e">
        <f t="shared" si="21"/>
        <v>#VALUE!</v>
      </c>
      <c r="AU14" s="55" t="e">
        <f t="shared" si="22"/>
        <v>#VALUE!</v>
      </c>
      <c r="AV14" s="54" t="e">
        <f t="shared" si="23"/>
        <v>#VALUE!</v>
      </c>
      <c r="AW14" s="55" t="e">
        <f t="shared" si="24"/>
        <v>#VALUE!</v>
      </c>
    </row>
    <row r="15" spans="1:49" x14ac:dyDescent="0.25">
      <c r="A15" s="14" t="s">
        <v>20</v>
      </c>
      <c r="B15" s="57" t="e">
        <f t="shared" ref="B15:Y15" si="33">B94-B53</f>
        <v>#VALUE!</v>
      </c>
      <c r="C15" s="58" t="e">
        <f t="shared" si="33"/>
        <v>#VALUE!</v>
      </c>
      <c r="D15" s="58" t="e">
        <f t="shared" si="33"/>
        <v>#VALUE!</v>
      </c>
      <c r="E15" s="58" t="e">
        <f t="shared" si="33"/>
        <v>#VALUE!</v>
      </c>
      <c r="F15" s="58" t="e">
        <f t="shared" si="33"/>
        <v>#VALUE!</v>
      </c>
      <c r="G15" s="58" t="e">
        <f t="shared" si="33"/>
        <v>#VALUE!</v>
      </c>
      <c r="H15" s="58" t="e">
        <f t="shared" si="33"/>
        <v>#VALUE!</v>
      </c>
      <c r="I15" s="58" t="e">
        <f t="shared" si="33"/>
        <v>#VALUE!</v>
      </c>
      <c r="J15" s="58" t="e">
        <f t="shared" si="33"/>
        <v>#VALUE!</v>
      </c>
      <c r="K15" s="59" t="e">
        <f t="shared" si="33"/>
        <v>#VALUE!</v>
      </c>
      <c r="L15" s="58" t="e">
        <f t="shared" si="33"/>
        <v>#VALUE!</v>
      </c>
      <c r="M15" s="58" t="e">
        <f t="shared" si="33"/>
        <v>#VALUE!</v>
      </c>
      <c r="N15" s="58" t="e">
        <f t="shared" si="33"/>
        <v>#VALUE!</v>
      </c>
      <c r="O15" s="58" t="e">
        <f t="shared" si="33"/>
        <v>#VALUE!</v>
      </c>
      <c r="P15" s="58" t="e">
        <f t="shared" si="33"/>
        <v>#VALUE!</v>
      </c>
      <c r="Q15" s="58" t="e">
        <f t="shared" si="33"/>
        <v>#VALUE!</v>
      </c>
      <c r="R15" s="58" t="e">
        <f t="shared" si="33"/>
        <v>#VALUE!</v>
      </c>
      <c r="S15" s="58" t="e">
        <f t="shared" si="33"/>
        <v>#VALUE!</v>
      </c>
      <c r="T15" s="58" t="e">
        <f t="shared" si="33"/>
        <v>#VALUE!</v>
      </c>
      <c r="U15" s="58" t="e">
        <f t="shared" si="33"/>
        <v>#VALUE!</v>
      </c>
      <c r="V15" s="59" t="e">
        <f t="shared" si="33"/>
        <v>#VALUE!</v>
      </c>
      <c r="W15" s="60" t="e">
        <f t="shared" si="33"/>
        <v>#VALUE!</v>
      </c>
      <c r="X15" s="61" t="e">
        <f t="shared" si="33"/>
        <v>#VALUE!</v>
      </c>
      <c r="Y15" s="61" t="e">
        <f t="shared" si="33"/>
        <v>#VALUE!</v>
      </c>
      <c r="AA15" s="14" t="s">
        <v>20</v>
      </c>
      <c r="AB15" s="56" t="e">
        <f t="shared" si="3"/>
        <v>#VALUE!</v>
      </c>
      <c r="AC15" s="55" t="e">
        <f t="shared" si="4"/>
        <v>#VALUE!</v>
      </c>
      <c r="AD15" s="55" t="e">
        <f t="shared" si="5"/>
        <v>#VALUE!</v>
      </c>
      <c r="AE15" s="55" t="e">
        <f t="shared" si="6"/>
        <v>#VALUE!</v>
      </c>
      <c r="AF15" s="55" t="e">
        <f t="shared" si="7"/>
        <v>#VALUE!</v>
      </c>
      <c r="AG15" s="55" t="e">
        <f t="shared" si="8"/>
        <v>#VALUE!</v>
      </c>
      <c r="AH15" s="55" t="e">
        <f t="shared" si="9"/>
        <v>#VALUE!</v>
      </c>
      <c r="AI15" s="55" t="e">
        <f t="shared" si="10"/>
        <v>#VALUE!</v>
      </c>
      <c r="AJ15" s="55" t="e">
        <f t="shared" si="11"/>
        <v>#VALUE!</v>
      </c>
      <c r="AK15" s="54" t="e">
        <f t="shared" si="12"/>
        <v>#VALUE!</v>
      </c>
      <c r="AL15" s="55" t="e">
        <f t="shared" si="13"/>
        <v>#VALUE!</v>
      </c>
      <c r="AM15" s="55" t="e">
        <f t="shared" si="14"/>
        <v>#VALUE!</v>
      </c>
      <c r="AN15" s="55" t="e">
        <f t="shared" si="15"/>
        <v>#VALUE!</v>
      </c>
      <c r="AO15" s="55" t="e">
        <f t="shared" si="16"/>
        <v>#VALUE!</v>
      </c>
      <c r="AP15" s="55" t="e">
        <f t="shared" si="17"/>
        <v>#VALUE!</v>
      </c>
      <c r="AQ15" s="55" t="e">
        <f t="shared" si="18"/>
        <v>#VALUE!</v>
      </c>
      <c r="AR15" s="55" t="e">
        <f t="shared" si="19"/>
        <v>#VALUE!</v>
      </c>
      <c r="AS15" s="55" t="e">
        <f t="shared" si="20"/>
        <v>#VALUE!</v>
      </c>
      <c r="AT15" s="55" t="e">
        <f t="shared" si="21"/>
        <v>#VALUE!</v>
      </c>
      <c r="AU15" s="55" t="e">
        <f t="shared" si="22"/>
        <v>#VALUE!</v>
      </c>
      <c r="AV15" s="54" t="e">
        <f t="shared" si="23"/>
        <v>#VALUE!</v>
      </c>
      <c r="AW15" s="55" t="e">
        <f t="shared" si="24"/>
        <v>#VALUE!</v>
      </c>
    </row>
    <row r="16" spans="1:49" x14ac:dyDescent="0.25">
      <c r="A16" s="14" t="s">
        <v>21</v>
      </c>
      <c r="B16" s="25" t="e">
        <f t="shared" ref="B16:Y16" si="34">B95-B54</f>
        <v>#VALUE!</v>
      </c>
      <c r="C16" s="26" t="e">
        <f t="shared" si="34"/>
        <v>#VALUE!</v>
      </c>
      <c r="D16" s="26" t="e">
        <f t="shared" si="34"/>
        <v>#VALUE!</v>
      </c>
      <c r="E16" s="26" t="e">
        <f t="shared" si="34"/>
        <v>#VALUE!</v>
      </c>
      <c r="F16" s="26" t="e">
        <f t="shared" si="34"/>
        <v>#VALUE!</v>
      </c>
      <c r="G16" s="26" t="e">
        <f t="shared" si="34"/>
        <v>#VALUE!</v>
      </c>
      <c r="H16" s="26" t="e">
        <f t="shared" si="34"/>
        <v>#VALUE!</v>
      </c>
      <c r="I16" s="26" t="e">
        <f t="shared" si="34"/>
        <v>#VALUE!</v>
      </c>
      <c r="J16" s="26" t="e">
        <f t="shared" si="34"/>
        <v>#VALUE!</v>
      </c>
      <c r="K16" s="27" t="e">
        <f t="shared" si="34"/>
        <v>#VALUE!</v>
      </c>
      <c r="L16" s="26" t="e">
        <f t="shared" si="34"/>
        <v>#VALUE!</v>
      </c>
      <c r="M16" s="26" t="e">
        <f t="shared" si="34"/>
        <v>#VALUE!</v>
      </c>
      <c r="N16" s="26" t="e">
        <f t="shared" si="34"/>
        <v>#VALUE!</v>
      </c>
      <c r="O16" s="26" t="e">
        <f t="shared" si="34"/>
        <v>#VALUE!</v>
      </c>
      <c r="P16" s="26" t="e">
        <f t="shared" si="34"/>
        <v>#VALUE!</v>
      </c>
      <c r="Q16" s="26" t="e">
        <f t="shared" si="34"/>
        <v>#VALUE!</v>
      </c>
      <c r="R16" s="26" t="e">
        <f t="shared" si="34"/>
        <v>#VALUE!</v>
      </c>
      <c r="S16" s="26" t="e">
        <f t="shared" si="34"/>
        <v>#VALUE!</v>
      </c>
      <c r="T16" s="26" t="e">
        <f t="shared" si="34"/>
        <v>#VALUE!</v>
      </c>
      <c r="U16" s="26" t="e">
        <f t="shared" si="34"/>
        <v>#VALUE!</v>
      </c>
      <c r="V16" s="27" t="e">
        <f t="shared" si="34"/>
        <v>#VALUE!</v>
      </c>
      <c r="W16" s="28" t="e">
        <f t="shared" si="34"/>
        <v>#VALUE!</v>
      </c>
      <c r="X16" s="29" t="e">
        <f t="shared" si="34"/>
        <v>#VALUE!</v>
      </c>
      <c r="Y16" s="29" t="e">
        <f t="shared" si="34"/>
        <v>#VALUE!</v>
      </c>
      <c r="AA16" s="14" t="s">
        <v>21</v>
      </c>
      <c r="AB16" s="56" t="e">
        <f t="shared" si="3"/>
        <v>#VALUE!</v>
      </c>
      <c r="AC16" s="55" t="e">
        <f t="shared" si="4"/>
        <v>#VALUE!</v>
      </c>
      <c r="AD16" s="55" t="e">
        <f t="shared" si="5"/>
        <v>#VALUE!</v>
      </c>
      <c r="AE16" s="55" t="e">
        <f t="shared" si="6"/>
        <v>#VALUE!</v>
      </c>
      <c r="AF16" s="55" t="e">
        <f t="shared" si="7"/>
        <v>#VALUE!</v>
      </c>
      <c r="AG16" s="55" t="e">
        <f t="shared" si="8"/>
        <v>#VALUE!</v>
      </c>
      <c r="AH16" s="55" t="e">
        <f t="shared" si="9"/>
        <v>#VALUE!</v>
      </c>
      <c r="AI16" s="55" t="e">
        <f t="shared" si="10"/>
        <v>#VALUE!</v>
      </c>
      <c r="AJ16" s="55" t="e">
        <f t="shared" si="11"/>
        <v>#VALUE!</v>
      </c>
      <c r="AK16" s="54" t="e">
        <f t="shared" si="12"/>
        <v>#VALUE!</v>
      </c>
      <c r="AL16" s="55" t="e">
        <f t="shared" si="13"/>
        <v>#VALUE!</v>
      </c>
      <c r="AM16" s="55" t="e">
        <f t="shared" si="14"/>
        <v>#VALUE!</v>
      </c>
      <c r="AN16" s="55" t="e">
        <f t="shared" si="15"/>
        <v>#VALUE!</v>
      </c>
      <c r="AO16" s="55" t="e">
        <f t="shared" si="16"/>
        <v>#VALUE!</v>
      </c>
      <c r="AP16" s="55" t="e">
        <f t="shared" si="17"/>
        <v>#VALUE!</v>
      </c>
      <c r="AQ16" s="55" t="e">
        <f t="shared" si="18"/>
        <v>#VALUE!</v>
      </c>
      <c r="AR16" s="55" t="e">
        <f t="shared" si="19"/>
        <v>#VALUE!</v>
      </c>
      <c r="AS16" s="55" t="e">
        <f t="shared" si="20"/>
        <v>#VALUE!</v>
      </c>
      <c r="AT16" s="55" t="e">
        <f t="shared" si="21"/>
        <v>#VALUE!</v>
      </c>
      <c r="AU16" s="55" t="e">
        <f t="shared" si="22"/>
        <v>#VALUE!</v>
      </c>
      <c r="AV16" s="54" t="e">
        <f t="shared" si="23"/>
        <v>#VALUE!</v>
      </c>
      <c r="AW16" s="55" t="e">
        <f t="shared" si="24"/>
        <v>#VALUE!</v>
      </c>
    </row>
    <row r="17" spans="1:49" x14ac:dyDescent="0.25">
      <c r="A17" s="14" t="s">
        <v>22</v>
      </c>
      <c r="B17" s="57" t="e">
        <f t="shared" ref="B17:Y17" si="35">B96-B55</f>
        <v>#VALUE!</v>
      </c>
      <c r="C17" s="58" t="e">
        <f t="shared" si="35"/>
        <v>#VALUE!</v>
      </c>
      <c r="D17" s="58" t="e">
        <f t="shared" si="35"/>
        <v>#VALUE!</v>
      </c>
      <c r="E17" s="58" t="e">
        <f t="shared" si="35"/>
        <v>#VALUE!</v>
      </c>
      <c r="F17" s="58" t="e">
        <f t="shared" si="35"/>
        <v>#VALUE!</v>
      </c>
      <c r="G17" s="58" t="e">
        <f t="shared" si="35"/>
        <v>#VALUE!</v>
      </c>
      <c r="H17" s="58" t="e">
        <f t="shared" si="35"/>
        <v>#VALUE!</v>
      </c>
      <c r="I17" s="58" t="e">
        <f t="shared" si="35"/>
        <v>#VALUE!</v>
      </c>
      <c r="J17" s="58" t="e">
        <f t="shared" si="35"/>
        <v>#VALUE!</v>
      </c>
      <c r="K17" s="59" t="e">
        <f t="shared" si="35"/>
        <v>#VALUE!</v>
      </c>
      <c r="L17" s="58" t="e">
        <f t="shared" si="35"/>
        <v>#VALUE!</v>
      </c>
      <c r="M17" s="58" t="e">
        <f t="shared" si="35"/>
        <v>#VALUE!</v>
      </c>
      <c r="N17" s="58" t="e">
        <f t="shared" si="35"/>
        <v>#VALUE!</v>
      </c>
      <c r="O17" s="58" t="e">
        <f t="shared" si="35"/>
        <v>#VALUE!</v>
      </c>
      <c r="P17" s="58" t="e">
        <f t="shared" si="35"/>
        <v>#VALUE!</v>
      </c>
      <c r="Q17" s="58" t="e">
        <f t="shared" si="35"/>
        <v>#VALUE!</v>
      </c>
      <c r="R17" s="58" t="e">
        <f t="shared" si="35"/>
        <v>#VALUE!</v>
      </c>
      <c r="S17" s="58" t="e">
        <f t="shared" si="35"/>
        <v>#VALUE!</v>
      </c>
      <c r="T17" s="58" t="e">
        <f t="shared" si="35"/>
        <v>#VALUE!</v>
      </c>
      <c r="U17" s="58" t="e">
        <f t="shared" si="35"/>
        <v>#VALUE!</v>
      </c>
      <c r="V17" s="59" t="e">
        <f t="shared" si="35"/>
        <v>#VALUE!</v>
      </c>
      <c r="W17" s="60" t="e">
        <f t="shared" si="35"/>
        <v>#VALUE!</v>
      </c>
      <c r="X17" s="61" t="e">
        <f t="shared" si="35"/>
        <v>#VALUE!</v>
      </c>
      <c r="Y17" s="61" t="e">
        <f t="shared" si="35"/>
        <v>#VALUE!</v>
      </c>
      <c r="AA17" s="14" t="s">
        <v>22</v>
      </c>
      <c r="AB17" s="56" t="e">
        <f t="shared" si="3"/>
        <v>#VALUE!</v>
      </c>
      <c r="AC17" s="55" t="e">
        <f t="shared" si="4"/>
        <v>#VALUE!</v>
      </c>
      <c r="AD17" s="55" t="e">
        <f t="shared" si="5"/>
        <v>#VALUE!</v>
      </c>
      <c r="AE17" s="55" t="e">
        <f t="shared" si="6"/>
        <v>#VALUE!</v>
      </c>
      <c r="AF17" s="55" t="e">
        <f t="shared" si="7"/>
        <v>#VALUE!</v>
      </c>
      <c r="AG17" s="55" t="e">
        <f t="shared" si="8"/>
        <v>#VALUE!</v>
      </c>
      <c r="AH17" s="55" t="e">
        <f t="shared" si="9"/>
        <v>#VALUE!</v>
      </c>
      <c r="AI17" s="55" t="e">
        <f t="shared" si="10"/>
        <v>#VALUE!</v>
      </c>
      <c r="AJ17" s="55" t="e">
        <f t="shared" si="11"/>
        <v>#VALUE!</v>
      </c>
      <c r="AK17" s="54" t="e">
        <f t="shared" si="12"/>
        <v>#VALUE!</v>
      </c>
      <c r="AL17" s="55" t="e">
        <f t="shared" si="13"/>
        <v>#VALUE!</v>
      </c>
      <c r="AM17" s="55" t="e">
        <f t="shared" si="14"/>
        <v>#VALUE!</v>
      </c>
      <c r="AN17" s="55" t="e">
        <f t="shared" si="15"/>
        <v>#VALUE!</v>
      </c>
      <c r="AO17" s="55" t="e">
        <f t="shared" si="16"/>
        <v>#VALUE!</v>
      </c>
      <c r="AP17" s="55" t="e">
        <f t="shared" si="17"/>
        <v>#VALUE!</v>
      </c>
      <c r="AQ17" s="55" t="e">
        <f t="shared" si="18"/>
        <v>#VALUE!</v>
      </c>
      <c r="AR17" s="55" t="e">
        <f t="shared" si="19"/>
        <v>#VALUE!</v>
      </c>
      <c r="AS17" s="55" t="e">
        <f t="shared" si="20"/>
        <v>#VALUE!</v>
      </c>
      <c r="AT17" s="55" t="e">
        <f t="shared" si="21"/>
        <v>#VALUE!</v>
      </c>
      <c r="AU17" s="55" t="e">
        <f t="shared" si="22"/>
        <v>#VALUE!</v>
      </c>
      <c r="AV17" s="54" t="e">
        <f t="shared" si="23"/>
        <v>#VALUE!</v>
      </c>
      <c r="AW17" s="55" t="e">
        <f t="shared" si="24"/>
        <v>#VALUE!</v>
      </c>
    </row>
    <row r="18" spans="1:49" x14ac:dyDescent="0.25">
      <c r="A18" s="14" t="s">
        <v>23</v>
      </c>
      <c r="B18" s="25" t="e">
        <f t="shared" ref="B18:Y18" si="36">B97-B56</f>
        <v>#VALUE!</v>
      </c>
      <c r="C18" s="26" t="e">
        <f t="shared" si="36"/>
        <v>#VALUE!</v>
      </c>
      <c r="D18" s="26" t="e">
        <f t="shared" si="36"/>
        <v>#VALUE!</v>
      </c>
      <c r="E18" s="26" t="e">
        <f t="shared" si="36"/>
        <v>#VALUE!</v>
      </c>
      <c r="F18" s="26" t="e">
        <f t="shared" si="36"/>
        <v>#VALUE!</v>
      </c>
      <c r="G18" s="26" t="e">
        <f t="shared" si="36"/>
        <v>#VALUE!</v>
      </c>
      <c r="H18" s="26" t="e">
        <f t="shared" si="36"/>
        <v>#VALUE!</v>
      </c>
      <c r="I18" s="26" t="e">
        <f t="shared" si="36"/>
        <v>#VALUE!</v>
      </c>
      <c r="J18" s="26" t="e">
        <f t="shared" si="36"/>
        <v>#VALUE!</v>
      </c>
      <c r="K18" s="27" t="e">
        <f t="shared" si="36"/>
        <v>#VALUE!</v>
      </c>
      <c r="L18" s="26" t="e">
        <f t="shared" si="36"/>
        <v>#VALUE!</v>
      </c>
      <c r="M18" s="26" t="e">
        <f t="shared" si="36"/>
        <v>#VALUE!</v>
      </c>
      <c r="N18" s="26" t="e">
        <f t="shared" si="36"/>
        <v>#VALUE!</v>
      </c>
      <c r="O18" s="26" t="e">
        <f t="shared" si="36"/>
        <v>#VALUE!</v>
      </c>
      <c r="P18" s="26" t="e">
        <f t="shared" si="36"/>
        <v>#VALUE!</v>
      </c>
      <c r="Q18" s="26" t="e">
        <f t="shared" si="36"/>
        <v>#VALUE!</v>
      </c>
      <c r="R18" s="26" t="e">
        <f t="shared" si="36"/>
        <v>#VALUE!</v>
      </c>
      <c r="S18" s="26" t="e">
        <f t="shared" si="36"/>
        <v>#VALUE!</v>
      </c>
      <c r="T18" s="26" t="e">
        <f t="shared" si="36"/>
        <v>#VALUE!</v>
      </c>
      <c r="U18" s="26" t="e">
        <f t="shared" si="36"/>
        <v>#VALUE!</v>
      </c>
      <c r="V18" s="27" t="e">
        <f t="shared" si="36"/>
        <v>#VALUE!</v>
      </c>
      <c r="W18" s="28" t="e">
        <f t="shared" si="36"/>
        <v>#VALUE!</v>
      </c>
      <c r="X18" s="29" t="e">
        <f t="shared" si="36"/>
        <v>#VALUE!</v>
      </c>
      <c r="Y18" s="29" t="e">
        <f t="shared" si="36"/>
        <v>#VALUE!</v>
      </c>
      <c r="AA18" s="14" t="s">
        <v>23</v>
      </c>
      <c r="AB18" s="56" t="e">
        <f t="shared" si="3"/>
        <v>#VALUE!</v>
      </c>
      <c r="AC18" s="55" t="e">
        <f t="shared" si="4"/>
        <v>#VALUE!</v>
      </c>
      <c r="AD18" s="55" t="e">
        <f t="shared" si="5"/>
        <v>#VALUE!</v>
      </c>
      <c r="AE18" s="55" t="e">
        <f t="shared" si="6"/>
        <v>#VALUE!</v>
      </c>
      <c r="AF18" s="55" t="e">
        <f t="shared" si="7"/>
        <v>#VALUE!</v>
      </c>
      <c r="AG18" s="55" t="e">
        <f t="shared" si="8"/>
        <v>#VALUE!</v>
      </c>
      <c r="AH18" s="55" t="e">
        <f t="shared" si="9"/>
        <v>#VALUE!</v>
      </c>
      <c r="AI18" s="55" t="e">
        <f t="shared" si="10"/>
        <v>#VALUE!</v>
      </c>
      <c r="AJ18" s="55" t="e">
        <f t="shared" si="11"/>
        <v>#VALUE!</v>
      </c>
      <c r="AK18" s="54" t="e">
        <f t="shared" si="12"/>
        <v>#VALUE!</v>
      </c>
      <c r="AL18" s="55" t="e">
        <f t="shared" si="13"/>
        <v>#VALUE!</v>
      </c>
      <c r="AM18" s="55" t="e">
        <f t="shared" si="14"/>
        <v>#VALUE!</v>
      </c>
      <c r="AN18" s="55" t="e">
        <f t="shared" si="15"/>
        <v>#VALUE!</v>
      </c>
      <c r="AO18" s="55" t="e">
        <f t="shared" si="16"/>
        <v>#VALUE!</v>
      </c>
      <c r="AP18" s="55" t="e">
        <f t="shared" si="17"/>
        <v>#VALUE!</v>
      </c>
      <c r="AQ18" s="55" t="e">
        <f t="shared" si="18"/>
        <v>#VALUE!</v>
      </c>
      <c r="AR18" s="55" t="e">
        <f t="shared" si="19"/>
        <v>#VALUE!</v>
      </c>
      <c r="AS18" s="55" t="e">
        <f t="shared" si="20"/>
        <v>#VALUE!</v>
      </c>
      <c r="AT18" s="55" t="e">
        <f t="shared" si="21"/>
        <v>#VALUE!</v>
      </c>
      <c r="AU18" s="55" t="e">
        <f t="shared" si="22"/>
        <v>#VALUE!</v>
      </c>
      <c r="AV18" s="54" t="e">
        <f t="shared" si="23"/>
        <v>#VALUE!</v>
      </c>
      <c r="AW18" s="55" t="e">
        <f t="shared" si="24"/>
        <v>#VALUE!</v>
      </c>
    </row>
    <row r="19" spans="1:49" x14ac:dyDescent="0.25">
      <c r="A19" s="14" t="s">
        <v>24</v>
      </c>
      <c r="B19" s="57" t="e">
        <f t="shared" ref="B19:Y19" si="37">B98-B57</f>
        <v>#VALUE!</v>
      </c>
      <c r="C19" s="58" t="e">
        <f t="shared" si="37"/>
        <v>#VALUE!</v>
      </c>
      <c r="D19" s="58" t="e">
        <f t="shared" si="37"/>
        <v>#VALUE!</v>
      </c>
      <c r="E19" s="58" t="e">
        <f t="shared" si="37"/>
        <v>#VALUE!</v>
      </c>
      <c r="F19" s="58" t="e">
        <f t="shared" si="37"/>
        <v>#VALUE!</v>
      </c>
      <c r="G19" s="58" t="e">
        <f t="shared" si="37"/>
        <v>#VALUE!</v>
      </c>
      <c r="H19" s="58" t="e">
        <f t="shared" si="37"/>
        <v>#VALUE!</v>
      </c>
      <c r="I19" s="58" t="e">
        <f t="shared" si="37"/>
        <v>#VALUE!</v>
      </c>
      <c r="J19" s="58" t="e">
        <f t="shared" si="37"/>
        <v>#VALUE!</v>
      </c>
      <c r="K19" s="59" t="e">
        <f t="shared" si="37"/>
        <v>#VALUE!</v>
      </c>
      <c r="L19" s="58" t="e">
        <f t="shared" si="37"/>
        <v>#VALUE!</v>
      </c>
      <c r="M19" s="58" t="e">
        <f t="shared" si="37"/>
        <v>#VALUE!</v>
      </c>
      <c r="N19" s="58" t="e">
        <f t="shared" si="37"/>
        <v>#VALUE!</v>
      </c>
      <c r="O19" s="58" t="e">
        <f t="shared" si="37"/>
        <v>#VALUE!</v>
      </c>
      <c r="P19" s="58" t="e">
        <f t="shared" si="37"/>
        <v>#VALUE!</v>
      </c>
      <c r="Q19" s="58" t="e">
        <f t="shared" si="37"/>
        <v>#VALUE!</v>
      </c>
      <c r="R19" s="58" t="e">
        <f t="shared" si="37"/>
        <v>#VALUE!</v>
      </c>
      <c r="S19" s="58" t="e">
        <f t="shared" si="37"/>
        <v>#VALUE!</v>
      </c>
      <c r="T19" s="58" t="e">
        <f t="shared" si="37"/>
        <v>#VALUE!</v>
      </c>
      <c r="U19" s="58" t="e">
        <f t="shared" si="37"/>
        <v>#VALUE!</v>
      </c>
      <c r="V19" s="59" t="e">
        <f t="shared" si="37"/>
        <v>#VALUE!</v>
      </c>
      <c r="W19" s="60" t="e">
        <f t="shared" si="37"/>
        <v>#VALUE!</v>
      </c>
      <c r="X19" s="61" t="e">
        <f t="shared" si="37"/>
        <v>#VALUE!</v>
      </c>
      <c r="Y19" s="61" t="e">
        <f t="shared" si="37"/>
        <v>#VALUE!</v>
      </c>
      <c r="AA19" s="14" t="s">
        <v>24</v>
      </c>
      <c r="AB19" s="56" t="e">
        <f t="shared" si="3"/>
        <v>#VALUE!</v>
      </c>
      <c r="AC19" s="55" t="e">
        <f t="shared" si="4"/>
        <v>#VALUE!</v>
      </c>
      <c r="AD19" s="55" t="e">
        <f t="shared" si="5"/>
        <v>#VALUE!</v>
      </c>
      <c r="AE19" s="55" t="e">
        <f t="shared" si="6"/>
        <v>#VALUE!</v>
      </c>
      <c r="AF19" s="55" t="e">
        <f t="shared" si="7"/>
        <v>#VALUE!</v>
      </c>
      <c r="AG19" s="55" t="e">
        <f t="shared" si="8"/>
        <v>#VALUE!</v>
      </c>
      <c r="AH19" s="55" t="e">
        <f t="shared" si="9"/>
        <v>#VALUE!</v>
      </c>
      <c r="AI19" s="55" t="e">
        <f t="shared" si="10"/>
        <v>#VALUE!</v>
      </c>
      <c r="AJ19" s="55" t="e">
        <f t="shared" si="11"/>
        <v>#VALUE!</v>
      </c>
      <c r="AK19" s="54" t="e">
        <f t="shared" si="12"/>
        <v>#VALUE!</v>
      </c>
      <c r="AL19" s="55" t="e">
        <f t="shared" si="13"/>
        <v>#VALUE!</v>
      </c>
      <c r="AM19" s="55" t="e">
        <f t="shared" si="14"/>
        <v>#VALUE!</v>
      </c>
      <c r="AN19" s="55" t="e">
        <f t="shared" si="15"/>
        <v>#VALUE!</v>
      </c>
      <c r="AO19" s="55" t="e">
        <f t="shared" si="16"/>
        <v>#VALUE!</v>
      </c>
      <c r="AP19" s="55" t="e">
        <f t="shared" si="17"/>
        <v>#VALUE!</v>
      </c>
      <c r="AQ19" s="55" t="e">
        <f t="shared" si="18"/>
        <v>#VALUE!</v>
      </c>
      <c r="AR19" s="55" t="e">
        <f t="shared" si="19"/>
        <v>#VALUE!</v>
      </c>
      <c r="AS19" s="55" t="e">
        <f t="shared" si="20"/>
        <v>#VALUE!</v>
      </c>
      <c r="AT19" s="55" t="e">
        <f t="shared" si="21"/>
        <v>#VALUE!</v>
      </c>
      <c r="AU19" s="55" t="e">
        <f t="shared" si="22"/>
        <v>#VALUE!</v>
      </c>
      <c r="AV19" s="54" t="e">
        <f t="shared" si="23"/>
        <v>#VALUE!</v>
      </c>
      <c r="AW19" s="55" t="e">
        <f t="shared" si="24"/>
        <v>#VALUE!</v>
      </c>
    </row>
    <row r="20" spans="1:49" x14ac:dyDescent="0.25">
      <c r="A20" s="14" t="s">
        <v>25</v>
      </c>
      <c r="B20" s="25" t="e">
        <f t="shared" ref="B20:Y20" si="38">B99-B58</f>
        <v>#VALUE!</v>
      </c>
      <c r="C20" s="26" t="e">
        <f t="shared" si="38"/>
        <v>#VALUE!</v>
      </c>
      <c r="D20" s="26" t="e">
        <f t="shared" si="38"/>
        <v>#VALUE!</v>
      </c>
      <c r="E20" s="26" t="e">
        <f t="shared" si="38"/>
        <v>#VALUE!</v>
      </c>
      <c r="F20" s="26" t="e">
        <f t="shared" si="38"/>
        <v>#VALUE!</v>
      </c>
      <c r="G20" s="26" t="e">
        <f t="shared" si="38"/>
        <v>#VALUE!</v>
      </c>
      <c r="H20" s="26" t="e">
        <f t="shared" si="38"/>
        <v>#VALUE!</v>
      </c>
      <c r="I20" s="26" t="e">
        <f t="shared" si="38"/>
        <v>#VALUE!</v>
      </c>
      <c r="J20" s="26" t="e">
        <f t="shared" si="38"/>
        <v>#VALUE!</v>
      </c>
      <c r="K20" s="27" t="e">
        <f t="shared" si="38"/>
        <v>#VALUE!</v>
      </c>
      <c r="L20" s="26" t="e">
        <f t="shared" si="38"/>
        <v>#VALUE!</v>
      </c>
      <c r="M20" s="26" t="e">
        <f t="shared" si="38"/>
        <v>#VALUE!</v>
      </c>
      <c r="N20" s="26" t="e">
        <f t="shared" si="38"/>
        <v>#VALUE!</v>
      </c>
      <c r="O20" s="26" t="e">
        <f t="shared" si="38"/>
        <v>#VALUE!</v>
      </c>
      <c r="P20" s="26" t="e">
        <f t="shared" si="38"/>
        <v>#VALUE!</v>
      </c>
      <c r="Q20" s="26" t="e">
        <f t="shared" si="38"/>
        <v>#VALUE!</v>
      </c>
      <c r="R20" s="26" t="e">
        <f t="shared" si="38"/>
        <v>#VALUE!</v>
      </c>
      <c r="S20" s="26" t="e">
        <f t="shared" si="38"/>
        <v>#VALUE!</v>
      </c>
      <c r="T20" s="26" t="e">
        <f t="shared" si="38"/>
        <v>#VALUE!</v>
      </c>
      <c r="U20" s="26" t="e">
        <f t="shared" si="38"/>
        <v>#VALUE!</v>
      </c>
      <c r="V20" s="27" t="e">
        <f t="shared" si="38"/>
        <v>#VALUE!</v>
      </c>
      <c r="W20" s="28" t="e">
        <f t="shared" si="38"/>
        <v>#VALUE!</v>
      </c>
      <c r="X20" s="29" t="e">
        <f t="shared" si="38"/>
        <v>#VALUE!</v>
      </c>
      <c r="Y20" s="29" t="e">
        <f t="shared" si="38"/>
        <v>#VALUE!</v>
      </c>
      <c r="AA20" s="14" t="s">
        <v>25</v>
      </c>
      <c r="AB20" s="56" t="e">
        <f t="shared" si="3"/>
        <v>#VALUE!</v>
      </c>
      <c r="AC20" s="55" t="e">
        <f t="shared" si="4"/>
        <v>#VALUE!</v>
      </c>
      <c r="AD20" s="55" t="e">
        <f t="shared" si="5"/>
        <v>#VALUE!</v>
      </c>
      <c r="AE20" s="55" t="e">
        <f t="shared" si="6"/>
        <v>#VALUE!</v>
      </c>
      <c r="AF20" s="55" t="e">
        <f t="shared" si="7"/>
        <v>#VALUE!</v>
      </c>
      <c r="AG20" s="55" t="e">
        <f t="shared" si="8"/>
        <v>#VALUE!</v>
      </c>
      <c r="AH20" s="55" t="e">
        <f t="shared" si="9"/>
        <v>#VALUE!</v>
      </c>
      <c r="AI20" s="55" t="e">
        <f t="shared" si="10"/>
        <v>#VALUE!</v>
      </c>
      <c r="AJ20" s="55" t="e">
        <f t="shared" si="11"/>
        <v>#VALUE!</v>
      </c>
      <c r="AK20" s="54" t="e">
        <f t="shared" si="12"/>
        <v>#VALUE!</v>
      </c>
      <c r="AL20" s="55" t="e">
        <f t="shared" si="13"/>
        <v>#VALUE!</v>
      </c>
      <c r="AM20" s="55" t="e">
        <f t="shared" si="14"/>
        <v>#VALUE!</v>
      </c>
      <c r="AN20" s="55" t="e">
        <f t="shared" si="15"/>
        <v>#VALUE!</v>
      </c>
      <c r="AO20" s="55" t="e">
        <f t="shared" si="16"/>
        <v>#VALUE!</v>
      </c>
      <c r="AP20" s="55" t="e">
        <f t="shared" si="17"/>
        <v>#VALUE!</v>
      </c>
      <c r="AQ20" s="55" t="e">
        <f t="shared" si="18"/>
        <v>#VALUE!</v>
      </c>
      <c r="AR20" s="55" t="e">
        <f t="shared" si="19"/>
        <v>#VALUE!</v>
      </c>
      <c r="AS20" s="55" t="e">
        <f t="shared" si="20"/>
        <v>#VALUE!</v>
      </c>
      <c r="AT20" s="55" t="e">
        <f t="shared" si="21"/>
        <v>#VALUE!</v>
      </c>
      <c r="AU20" s="55" t="e">
        <f t="shared" si="22"/>
        <v>#VALUE!</v>
      </c>
      <c r="AV20" s="54" t="e">
        <f t="shared" si="23"/>
        <v>#VALUE!</v>
      </c>
      <c r="AW20" s="55" t="e">
        <f t="shared" si="24"/>
        <v>#VALUE!</v>
      </c>
    </row>
    <row r="21" spans="1:49" x14ac:dyDescent="0.25">
      <c r="A21" s="14" t="s">
        <v>26</v>
      </c>
      <c r="B21" s="57" t="e">
        <f t="shared" ref="B21:Y21" si="39">B100-B59</f>
        <v>#VALUE!</v>
      </c>
      <c r="C21" s="58" t="e">
        <f t="shared" si="39"/>
        <v>#VALUE!</v>
      </c>
      <c r="D21" s="58" t="e">
        <f t="shared" si="39"/>
        <v>#VALUE!</v>
      </c>
      <c r="E21" s="58" t="e">
        <f t="shared" si="39"/>
        <v>#VALUE!</v>
      </c>
      <c r="F21" s="58" t="e">
        <f t="shared" si="39"/>
        <v>#VALUE!</v>
      </c>
      <c r="G21" s="58" t="e">
        <f t="shared" si="39"/>
        <v>#VALUE!</v>
      </c>
      <c r="H21" s="58" t="e">
        <f t="shared" si="39"/>
        <v>#VALUE!</v>
      </c>
      <c r="I21" s="58" t="e">
        <f t="shared" si="39"/>
        <v>#VALUE!</v>
      </c>
      <c r="J21" s="58" t="e">
        <f t="shared" si="39"/>
        <v>#VALUE!</v>
      </c>
      <c r="K21" s="59" t="e">
        <f t="shared" si="39"/>
        <v>#VALUE!</v>
      </c>
      <c r="L21" s="58" t="e">
        <f t="shared" si="39"/>
        <v>#VALUE!</v>
      </c>
      <c r="M21" s="58" t="e">
        <f t="shared" si="39"/>
        <v>#VALUE!</v>
      </c>
      <c r="N21" s="58" t="e">
        <f t="shared" si="39"/>
        <v>#VALUE!</v>
      </c>
      <c r="O21" s="58" t="e">
        <f t="shared" si="39"/>
        <v>#VALUE!</v>
      </c>
      <c r="P21" s="58" t="e">
        <f t="shared" si="39"/>
        <v>#VALUE!</v>
      </c>
      <c r="Q21" s="58" t="e">
        <f t="shared" si="39"/>
        <v>#VALUE!</v>
      </c>
      <c r="R21" s="58" t="e">
        <f t="shared" si="39"/>
        <v>#VALUE!</v>
      </c>
      <c r="S21" s="58" t="e">
        <f t="shared" si="39"/>
        <v>#VALUE!</v>
      </c>
      <c r="T21" s="58" t="e">
        <f t="shared" si="39"/>
        <v>#VALUE!</v>
      </c>
      <c r="U21" s="58" t="e">
        <f t="shared" si="39"/>
        <v>#VALUE!</v>
      </c>
      <c r="V21" s="59" t="e">
        <f t="shared" si="39"/>
        <v>#VALUE!</v>
      </c>
      <c r="W21" s="60" t="e">
        <f t="shared" si="39"/>
        <v>#VALUE!</v>
      </c>
      <c r="X21" s="61" t="e">
        <f t="shared" si="39"/>
        <v>#VALUE!</v>
      </c>
      <c r="Y21" s="61" t="e">
        <f t="shared" si="39"/>
        <v>#VALUE!</v>
      </c>
      <c r="AA21" s="14" t="s">
        <v>26</v>
      </c>
      <c r="AB21" s="56" t="e">
        <f t="shared" si="3"/>
        <v>#VALUE!</v>
      </c>
      <c r="AC21" s="55" t="e">
        <f t="shared" si="4"/>
        <v>#VALUE!</v>
      </c>
      <c r="AD21" s="55" t="e">
        <f t="shared" si="5"/>
        <v>#VALUE!</v>
      </c>
      <c r="AE21" s="55" t="e">
        <f t="shared" si="6"/>
        <v>#VALUE!</v>
      </c>
      <c r="AF21" s="55" t="e">
        <f t="shared" si="7"/>
        <v>#VALUE!</v>
      </c>
      <c r="AG21" s="55" t="e">
        <f t="shared" si="8"/>
        <v>#VALUE!</v>
      </c>
      <c r="AH21" s="55" t="e">
        <f t="shared" si="9"/>
        <v>#VALUE!</v>
      </c>
      <c r="AI21" s="55" t="e">
        <f t="shared" si="10"/>
        <v>#VALUE!</v>
      </c>
      <c r="AJ21" s="55" t="e">
        <f t="shared" si="11"/>
        <v>#VALUE!</v>
      </c>
      <c r="AK21" s="54" t="e">
        <f t="shared" si="12"/>
        <v>#VALUE!</v>
      </c>
      <c r="AL21" s="55" t="e">
        <f t="shared" si="13"/>
        <v>#VALUE!</v>
      </c>
      <c r="AM21" s="55" t="e">
        <f t="shared" si="14"/>
        <v>#VALUE!</v>
      </c>
      <c r="AN21" s="55" t="e">
        <f t="shared" si="15"/>
        <v>#VALUE!</v>
      </c>
      <c r="AO21" s="55" t="e">
        <f t="shared" si="16"/>
        <v>#VALUE!</v>
      </c>
      <c r="AP21" s="55" t="e">
        <f t="shared" si="17"/>
        <v>#VALUE!</v>
      </c>
      <c r="AQ21" s="55" t="e">
        <f t="shared" si="18"/>
        <v>#VALUE!</v>
      </c>
      <c r="AR21" s="55" t="e">
        <f t="shared" si="19"/>
        <v>#VALUE!</v>
      </c>
      <c r="AS21" s="55" t="e">
        <f t="shared" si="20"/>
        <v>#VALUE!</v>
      </c>
      <c r="AT21" s="55" t="e">
        <f t="shared" si="21"/>
        <v>#VALUE!</v>
      </c>
      <c r="AU21" s="55" t="e">
        <f t="shared" si="22"/>
        <v>#VALUE!</v>
      </c>
      <c r="AV21" s="54" t="e">
        <f t="shared" si="23"/>
        <v>#VALUE!</v>
      </c>
      <c r="AW21" s="55" t="e">
        <f t="shared" si="24"/>
        <v>#VALUE!</v>
      </c>
    </row>
    <row r="22" spans="1:49" x14ac:dyDescent="0.25">
      <c r="A22" s="14" t="s">
        <v>27</v>
      </c>
      <c r="B22" s="25" t="e">
        <f t="shared" ref="B22:Y22" si="40">B101-B60</f>
        <v>#VALUE!</v>
      </c>
      <c r="C22" s="26" t="e">
        <f t="shared" si="40"/>
        <v>#VALUE!</v>
      </c>
      <c r="D22" s="26" t="e">
        <f t="shared" si="40"/>
        <v>#VALUE!</v>
      </c>
      <c r="E22" s="26" t="e">
        <f t="shared" si="40"/>
        <v>#VALUE!</v>
      </c>
      <c r="F22" s="26" t="e">
        <f t="shared" si="40"/>
        <v>#VALUE!</v>
      </c>
      <c r="G22" s="26" t="e">
        <f t="shared" si="40"/>
        <v>#VALUE!</v>
      </c>
      <c r="H22" s="26" t="e">
        <f t="shared" si="40"/>
        <v>#VALUE!</v>
      </c>
      <c r="I22" s="26" t="e">
        <f t="shared" si="40"/>
        <v>#VALUE!</v>
      </c>
      <c r="J22" s="26" t="e">
        <f t="shared" si="40"/>
        <v>#VALUE!</v>
      </c>
      <c r="K22" s="27" t="e">
        <f t="shared" si="40"/>
        <v>#VALUE!</v>
      </c>
      <c r="L22" s="26" t="e">
        <f t="shared" si="40"/>
        <v>#VALUE!</v>
      </c>
      <c r="M22" s="26" t="e">
        <f t="shared" si="40"/>
        <v>#VALUE!</v>
      </c>
      <c r="N22" s="26" t="e">
        <f t="shared" si="40"/>
        <v>#VALUE!</v>
      </c>
      <c r="O22" s="26" t="e">
        <f t="shared" si="40"/>
        <v>#VALUE!</v>
      </c>
      <c r="P22" s="26" t="e">
        <f t="shared" si="40"/>
        <v>#VALUE!</v>
      </c>
      <c r="Q22" s="26" t="e">
        <f t="shared" si="40"/>
        <v>#VALUE!</v>
      </c>
      <c r="R22" s="26" t="e">
        <f t="shared" si="40"/>
        <v>#VALUE!</v>
      </c>
      <c r="S22" s="26" t="e">
        <f t="shared" si="40"/>
        <v>#VALUE!</v>
      </c>
      <c r="T22" s="26" t="e">
        <f t="shared" si="40"/>
        <v>#VALUE!</v>
      </c>
      <c r="U22" s="26" t="e">
        <f t="shared" si="40"/>
        <v>#VALUE!</v>
      </c>
      <c r="V22" s="27" t="e">
        <f t="shared" si="40"/>
        <v>#VALUE!</v>
      </c>
      <c r="W22" s="28" t="e">
        <f t="shared" si="40"/>
        <v>#VALUE!</v>
      </c>
      <c r="X22" s="29" t="e">
        <f t="shared" si="40"/>
        <v>#VALUE!</v>
      </c>
      <c r="Y22" s="29" t="e">
        <f t="shared" si="40"/>
        <v>#VALUE!</v>
      </c>
      <c r="AA22" s="14" t="s">
        <v>27</v>
      </c>
      <c r="AB22" s="56" t="e">
        <f t="shared" si="3"/>
        <v>#VALUE!</v>
      </c>
      <c r="AC22" s="55" t="e">
        <f t="shared" si="4"/>
        <v>#VALUE!</v>
      </c>
      <c r="AD22" s="55" t="e">
        <f t="shared" si="5"/>
        <v>#VALUE!</v>
      </c>
      <c r="AE22" s="55" t="e">
        <f t="shared" si="6"/>
        <v>#VALUE!</v>
      </c>
      <c r="AF22" s="55" t="e">
        <f t="shared" si="7"/>
        <v>#VALUE!</v>
      </c>
      <c r="AG22" s="55" t="e">
        <f t="shared" si="8"/>
        <v>#VALUE!</v>
      </c>
      <c r="AH22" s="55" t="e">
        <f t="shared" si="9"/>
        <v>#VALUE!</v>
      </c>
      <c r="AI22" s="55" t="e">
        <f t="shared" si="10"/>
        <v>#VALUE!</v>
      </c>
      <c r="AJ22" s="55" t="e">
        <f t="shared" si="11"/>
        <v>#VALUE!</v>
      </c>
      <c r="AK22" s="54" t="e">
        <f t="shared" si="12"/>
        <v>#VALUE!</v>
      </c>
      <c r="AL22" s="55" t="e">
        <f t="shared" si="13"/>
        <v>#VALUE!</v>
      </c>
      <c r="AM22" s="55" t="e">
        <f t="shared" si="14"/>
        <v>#VALUE!</v>
      </c>
      <c r="AN22" s="55" t="e">
        <f t="shared" si="15"/>
        <v>#VALUE!</v>
      </c>
      <c r="AO22" s="55" t="e">
        <f t="shared" si="16"/>
        <v>#VALUE!</v>
      </c>
      <c r="AP22" s="55" t="e">
        <f t="shared" si="17"/>
        <v>#VALUE!</v>
      </c>
      <c r="AQ22" s="55" t="e">
        <f t="shared" si="18"/>
        <v>#VALUE!</v>
      </c>
      <c r="AR22" s="55" t="e">
        <f t="shared" si="19"/>
        <v>#VALUE!</v>
      </c>
      <c r="AS22" s="55" t="e">
        <f t="shared" si="20"/>
        <v>#VALUE!</v>
      </c>
      <c r="AT22" s="55" t="e">
        <f t="shared" si="21"/>
        <v>#VALUE!</v>
      </c>
      <c r="AU22" s="55" t="e">
        <f t="shared" si="22"/>
        <v>#VALUE!</v>
      </c>
      <c r="AV22" s="54" t="e">
        <f t="shared" si="23"/>
        <v>#VALUE!</v>
      </c>
      <c r="AW22" s="55" t="e">
        <f t="shared" si="24"/>
        <v>#VALUE!</v>
      </c>
    </row>
    <row r="23" spans="1:49" x14ac:dyDescent="0.25">
      <c r="A23" s="14" t="s">
        <v>28</v>
      </c>
      <c r="B23" s="57" t="e">
        <f t="shared" ref="B23:Y23" si="41">B102-B61</f>
        <v>#VALUE!</v>
      </c>
      <c r="C23" s="58" t="e">
        <f t="shared" si="41"/>
        <v>#VALUE!</v>
      </c>
      <c r="D23" s="58" t="e">
        <f t="shared" si="41"/>
        <v>#VALUE!</v>
      </c>
      <c r="E23" s="58" t="e">
        <f t="shared" si="41"/>
        <v>#VALUE!</v>
      </c>
      <c r="F23" s="58" t="e">
        <f t="shared" si="41"/>
        <v>#VALUE!</v>
      </c>
      <c r="G23" s="58" t="e">
        <f t="shared" si="41"/>
        <v>#VALUE!</v>
      </c>
      <c r="H23" s="58" t="e">
        <f t="shared" si="41"/>
        <v>#VALUE!</v>
      </c>
      <c r="I23" s="58" t="e">
        <f t="shared" si="41"/>
        <v>#VALUE!</v>
      </c>
      <c r="J23" s="58" t="e">
        <f t="shared" si="41"/>
        <v>#VALUE!</v>
      </c>
      <c r="K23" s="59" t="e">
        <f t="shared" si="41"/>
        <v>#VALUE!</v>
      </c>
      <c r="L23" s="58" t="e">
        <f t="shared" si="41"/>
        <v>#VALUE!</v>
      </c>
      <c r="M23" s="58" t="e">
        <f t="shared" si="41"/>
        <v>#VALUE!</v>
      </c>
      <c r="N23" s="58" t="e">
        <f t="shared" si="41"/>
        <v>#VALUE!</v>
      </c>
      <c r="O23" s="58" t="e">
        <f t="shared" si="41"/>
        <v>#VALUE!</v>
      </c>
      <c r="P23" s="58" t="e">
        <f t="shared" si="41"/>
        <v>#VALUE!</v>
      </c>
      <c r="Q23" s="58" t="e">
        <f t="shared" si="41"/>
        <v>#VALUE!</v>
      </c>
      <c r="R23" s="58" t="e">
        <f t="shared" si="41"/>
        <v>#VALUE!</v>
      </c>
      <c r="S23" s="58" t="e">
        <f t="shared" si="41"/>
        <v>#VALUE!</v>
      </c>
      <c r="T23" s="58" t="e">
        <f t="shared" si="41"/>
        <v>#VALUE!</v>
      </c>
      <c r="U23" s="58" t="e">
        <f t="shared" si="41"/>
        <v>#VALUE!</v>
      </c>
      <c r="V23" s="59" t="e">
        <f t="shared" si="41"/>
        <v>#VALUE!</v>
      </c>
      <c r="W23" s="60" t="e">
        <f t="shared" si="41"/>
        <v>#VALUE!</v>
      </c>
      <c r="X23" s="61" t="e">
        <f t="shared" si="41"/>
        <v>#VALUE!</v>
      </c>
      <c r="Y23" s="61" t="e">
        <f t="shared" si="41"/>
        <v>#VALUE!</v>
      </c>
      <c r="AA23" s="14" t="s">
        <v>28</v>
      </c>
      <c r="AB23" s="56" t="e">
        <f t="shared" si="3"/>
        <v>#VALUE!</v>
      </c>
      <c r="AC23" s="55" t="e">
        <f t="shared" si="4"/>
        <v>#VALUE!</v>
      </c>
      <c r="AD23" s="55" t="e">
        <f t="shared" si="5"/>
        <v>#VALUE!</v>
      </c>
      <c r="AE23" s="55" t="e">
        <f t="shared" si="6"/>
        <v>#VALUE!</v>
      </c>
      <c r="AF23" s="55" t="e">
        <f t="shared" si="7"/>
        <v>#VALUE!</v>
      </c>
      <c r="AG23" s="55" t="e">
        <f t="shared" si="8"/>
        <v>#VALUE!</v>
      </c>
      <c r="AH23" s="55" t="e">
        <f t="shared" si="9"/>
        <v>#VALUE!</v>
      </c>
      <c r="AI23" s="55" t="e">
        <f t="shared" si="10"/>
        <v>#VALUE!</v>
      </c>
      <c r="AJ23" s="55" t="e">
        <f t="shared" si="11"/>
        <v>#VALUE!</v>
      </c>
      <c r="AK23" s="54" t="e">
        <f t="shared" si="12"/>
        <v>#VALUE!</v>
      </c>
      <c r="AL23" s="55" t="e">
        <f t="shared" si="13"/>
        <v>#VALUE!</v>
      </c>
      <c r="AM23" s="55" t="e">
        <f t="shared" si="14"/>
        <v>#VALUE!</v>
      </c>
      <c r="AN23" s="55" t="e">
        <f t="shared" si="15"/>
        <v>#VALUE!</v>
      </c>
      <c r="AO23" s="55" t="e">
        <f t="shared" si="16"/>
        <v>#VALUE!</v>
      </c>
      <c r="AP23" s="55" t="e">
        <f t="shared" si="17"/>
        <v>#VALUE!</v>
      </c>
      <c r="AQ23" s="55" t="e">
        <f t="shared" si="18"/>
        <v>#VALUE!</v>
      </c>
      <c r="AR23" s="55" t="e">
        <f t="shared" si="19"/>
        <v>#VALUE!</v>
      </c>
      <c r="AS23" s="55" t="e">
        <f t="shared" si="20"/>
        <v>#VALUE!</v>
      </c>
      <c r="AT23" s="55" t="e">
        <f t="shared" si="21"/>
        <v>#VALUE!</v>
      </c>
      <c r="AU23" s="55" t="e">
        <f t="shared" si="22"/>
        <v>#VALUE!</v>
      </c>
      <c r="AV23" s="54" t="e">
        <f t="shared" si="23"/>
        <v>#VALUE!</v>
      </c>
      <c r="AW23" s="55" t="e">
        <f t="shared" si="24"/>
        <v>#VALUE!</v>
      </c>
    </row>
    <row r="24" spans="1:49" x14ac:dyDescent="0.25">
      <c r="A24" s="14" t="s">
        <v>29</v>
      </c>
      <c r="B24" s="25" t="e">
        <f t="shared" ref="B24:Y24" si="42">B103-B62</f>
        <v>#VALUE!</v>
      </c>
      <c r="C24" s="26" t="e">
        <f t="shared" si="42"/>
        <v>#VALUE!</v>
      </c>
      <c r="D24" s="26" t="e">
        <f t="shared" si="42"/>
        <v>#VALUE!</v>
      </c>
      <c r="E24" s="26" t="e">
        <f t="shared" si="42"/>
        <v>#VALUE!</v>
      </c>
      <c r="F24" s="26" t="e">
        <f t="shared" si="42"/>
        <v>#VALUE!</v>
      </c>
      <c r="G24" s="26" t="e">
        <f t="shared" si="42"/>
        <v>#VALUE!</v>
      </c>
      <c r="H24" s="26" t="e">
        <f t="shared" si="42"/>
        <v>#VALUE!</v>
      </c>
      <c r="I24" s="26" t="e">
        <f t="shared" si="42"/>
        <v>#VALUE!</v>
      </c>
      <c r="J24" s="26" t="e">
        <f t="shared" si="42"/>
        <v>#VALUE!</v>
      </c>
      <c r="K24" s="27" t="e">
        <f t="shared" si="42"/>
        <v>#VALUE!</v>
      </c>
      <c r="L24" s="26" t="e">
        <f t="shared" si="42"/>
        <v>#VALUE!</v>
      </c>
      <c r="M24" s="26" t="e">
        <f t="shared" si="42"/>
        <v>#VALUE!</v>
      </c>
      <c r="N24" s="26" t="e">
        <f t="shared" si="42"/>
        <v>#VALUE!</v>
      </c>
      <c r="O24" s="26" t="e">
        <f t="shared" si="42"/>
        <v>#VALUE!</v>
      </c>
      <c r="P24" s="26" t="e">
        <f t="shared" si="42"/>
        <v>#VALUE!</v>
      </c>
      <c r="Q24" s="26" t="e">
        <f t="shared" si="42"/>
        <v>#VALUE!</v>
      </c>
      <c r="R24" s="26" t="e">
        <f t="shared" si="42"/>
        <v>#VALUE!</v>
      </c>
      <c r="S24" s="26" t="e">
        <f t="shared" si="42"/>
        <v>#VALUE!</v>
      </c>
      <c r="T24" s="26" t="e">
        <f t="shared" si="42"/>
        <v>#VALUE!</v>
      </c>
      <c r="U24" s="26" t="e">
        <f t="shared" si="42"/>
        <v>#VALUE!</v>
      </c>
      <c r="V24" s="27" t="e">
        <f t="shared" si="42"/>
        <v>#VALUE!</v>
      </c>
      <c r="W24" s="28" t="e">
        <f t="shared" si="42"/>
        <v>#VALUE!</v>
      </c>
      <c r="X24" s="29" t="e">
        <f t="shared" si="42"/>
        <v>#VALUE!</v>
      </c>
      <c r="Y24" s="29" t="e">
        <f t="shared" si="42"/>
        <v>#VALUE!</v>
      </c>
      <c r="AA24" s="14" t="s">
        <v>29</v>
      </c>
      <c r="AB24" s="56" t="e">
        <f t="shared" si="3"/>
        <v>#VALUE!</v>
      </c>
      <c r="AC24" s="55" t="e">
        <f t="shared" si="4"/>
        <v>#VALUE!</v>
      </c>
      <c r="AD24" s="55" t="e">
        <f t="shared" si="5"/>
        <v>#VALUE!</v>
      </c>
      <c r="AE24" s="55" t="e">
        <f t="shared" si="6"/>
        <v>#VALUE!</v>
      </c>
      <c r="AF24" s="55" t="e">
        <f t="shared" si="7"/>
        <v>#VALUE!</v>
      </c>
      <c r="AG24" s="55" t="e">
        <f t="shared" si="8"/>
        <v>#VALUE!</v>
      </c>
      <c r="AH24" s="55" t="e">
        <f t="shared" si="9"/>
        <v>#VALUE!</v>
      </c>
      <c r="AI24" s="55" t="e">
        <f t="shared" si="10"/>
        <v>#VALUE!</v>
      </c>
      <c r="AJ24" s="55" t="e">
        <f t="shared" si="11"/>
        <v>#VALUE!</v>
      </c>
      <c r="AK24" s="54" t="e">
        <f t="shared" si="12"/>
        <v>#VALUE!</v>
      </c>
      <c r="AL24" s="55" t="e">
        <f t="shared" si="13"/>
        <v>#VALUE!</v>
      </c>
      <c r="AM24" s="55" t="e">
        <f t="shared" si="14"/>
        <v>#VALUE!</v>
      </c>
      <c r="AN24" s="55" t="e">
        <f t="shared" si="15"/>
        <v>#VALUE!</v>
      </c>
      <c r="AO24" s="55" t="e">
        <f t="shared" si="16"/>
        <v>#VALUE!</v>
      </c>
      <c r="AP24" s="55" t="e">
        <f t="shared" si="17"/>
        <v>#VALUE!</v>
      </c>
      <c r="AQ24" s="55" t="e">
        <f t="shared" si="18"/>
        <v>#VALUE!</v>
      </c>
      <c r="AR24" s="55" t="e">
        <f t="shared" si="19"/>
        <v>#VALUE!</v>
      </c>
      <c r="AS24" s="55" t="e">
        <f t="shared" si="20"/>
        <v>#VALUE!</v>
      </c>
      <c r="AT24" s="55" t="e">
        <f t="shared" si="21"/>
        <v>#VALUE!</v>
      </c>
      <c r="AU24" s="55" t="e">
        <f t="shared" si="22"/>
        <v>#VALUE!</v>
      </c>
      <c r="AV24" s="54" t="e">
        <f t="shared" si="23"/>
        <v>#VALUE!</v>
      </c>
      <c r="AW24" s="55" t="e">
        <f t="shared" si="24"/>
        <v>#VALUE!</v>
      </c>
    </row>
    <row r="25" spans="1:49" x14ac:dyDescent="0.25">
      <c r="A25" s="14" t="s">
        <v>30</v>
      </c>
      <c r="B25" s="57" t="e">
        <f t="shared" ref="B25:Y25" si="43">B104-B63</f>
        <v>#VALUE!</v>
      </c>
      <c r="C25" s="58" t="e">
        <f t="shared" si="43"/>
        <v>#VALUE!</v>
      </c>
      <c r="D25" s="58" t="e">
        <f t="shared" si="43"/>
        <v>#VALUE!</v>
      </c>
      <c r="E25" s="58" t="e">
        <f t="shared" si="43"/>
        <v>#VALUE!</v>
      </c>
      <c r="F25" s="58" t="e">
        <f t="shared" si="43"/>
        <v>#VALUE!</v>
      </c>
      <c r="G25" s="58" t="e">
        <f t="shared" si="43"/>
        <v>#VALUE!</v>
      </c>
      <c r="H25" s="58" t="e">
        <f t="shared" si="43"/>
        <v>#VALUE!</v>
      </c>
      <c r="I25" s="58" t="e">
        <f t="shared" si="43"/>
        <v>#VALUE!</v>
      </c>
      <c r="J25" s="58" t="e">
        <f t="shared" si="43"/>
        <v>#VALUE!</v>
      </c>
      <c r="K25" s="59" t="e">
        <f t="shared" si="43"/>
        <v>#VALUE!</v>
      </c>
      <c r="L25" s="58" t="e">
        <f t="shared" si="43"/>
        <v>#VALUE!</v>
      </c>
      <c r="M25" s="58" t="e">
        <f t="shared" si="43"/>
        <v>#VALUE!</v>
      </c>
      <c r="N25" s="58" t="e">
        <f t="shared" si="43"/>
        <v>#VALUE!</v>
      </c>
      <c r="O25" s="58" t="e">
        <f t="shared" si="43"/>
        <v>#VALUE!</v>
      </c>
      <c r="P25" s="58" t="e">
        <f t="shared" si="43"/>
        <v>#VALUE!</v>
      </c>
      <c r="Q25" s="58" t="e">
        <f t="shared" si="43"/>
        <v>#VALUE!</v>
      </c>
      <c r="R25" s="58" t="e">
        <f t="shared" si="43"/>
        <v>#VALUE!</v>
      </c>
      <c r="S25" s="58" t="e">
        <f t="shared" si="43"/>
        <v>#VALUE!</v>
      </c>
      <c r="T25" s="58" t="e">
        <f t="shared" si="43"/>
        <v>#VALUE!</v>
      </c>
      <c r="U25" s="58" t="e">
        <f t="shared" si="43"/>
        <v>#VALUE!</v>
      </c>
      <c r="V25" s="59" t="e">
        <f t="shared" si="43"/>
        <v>#VALUE!</v>
      </c>
      <c r="W25" s="60" t="e">
        <f t="shared" si="43"/>
        <v>#VALUE!</v>
      </c>
      <c r="X25" s="61" t="e">
        <f t="shared" si="43"/>
        <v>#VALUE!</v>
      </c>
      <c r="Y25" s="61" t="e">
        <f t="shared" si="43"/>
        <v>#VALUE!</v>
      </c>
      <c r="AA25" s="14" t="s">
        <v>30</v>
      </c>
      <c r="AB25" s="56" t="e">
        <f t="shared" si="3"/>
        <v>#VALUE!</v>
      </c>
      <c r="AC25" s="55" t="e">
        <f t="shared" si="4"/>
        <v>#VALUE!</v>
      </c>
      <c r="AD25" s="55" t="e">
        <f t="shared" si="5"/>
        <v>#VALUE!</v>
      </c>
      <c r="AE25" s="55" t="e">
        <f t="shared" si="6"/>
        <v>#VALUE!</v>
      </c>
      <c r="AF25" s="55" t="e">
        <f t="shared" si="7"/>
        <v>#VALUE!</v>
      </c>
      <c r="AG25" s="55" t="e">
        <f t="shared" si="8"/>
        <v>#VALUE!</v>
      </c>
      <c r="AH25" s="55" t="e">
        <f t="shared" si="9"/>
        <v>#VALUE!</v>
      </c>
      <c r="AI25" s="55" t="e">
        <f t="shared" si="10"/>
        <v>#VALUE!</v>
      </c>
      <c r="AJ25" s="55" t="e">
        <f t="shared" si="11"/>
        <v>#VALUE!</v>
      </c>
      <c r="AK25" s="54" t="e">
        <f t="shared" si="12"/>
        <v>#VALUE!</v>
      </c>
      <c r="AL25" s="55" t="e">
        <f t="shared" si="13"/>
        <v>#VALUE!</v>
      </c>
      <c r="AM25" s="55" t="e">
        <f t="shared" si="14"/>
        <v>#VALUE!</v>
      </c>
      <c r="AN25" s="55" t="e">
        <f t="shared" si="15"/>
        <v>#VALUE!</v>
      </c>
      <c r="AO25" s="55" t="e">
        <f t="shared" si="16"/>
        <v>#VALUE!</v>
      </c>
      <c r="AP25" s="55" t="e">
        <f t="shared" si="17"/>
        <v>#VALUE!</v>
      </c>
      <c r="AQ25" s="55" t="e">
        <f t="shared" si="18"/>
        <v>#VALUE!</v>
      </c>
      <c r="AR25" s="55" t="e">
        <f t="shared" si="19"/>
        <v>#VALUE!</v>
      </c>
      <c r="AS25" s="55" t="e">
        <f t="shared" si="20"/>
        <v>#VALUE!</v>
      </c>
      <c r="AT25" s="55" t="e">
        <f t="shared" si="21"/>
        <v>#VALUE!</v>
      </c>
      <c r="AU25" s="55" t="e">
        <f t="shared" si="22"/>
        <v>#VALUE!</v>
      </c>
      <c r="AV25" s="54" t="e">
        <f t="shared" si="23"/>
        <v>#VALUE!</v>
      </c>
      <c r="AW25" s="55" t="e">
        <f t="shared" si="24"/>
        <v>#VALUE!</v>
      </c>
    </row>
    <row r="26" spans="1:49" x14ac:dyDescent="0.25">
      <c r="A26" s="14" t="s">
        <v>31</v>
      </c>
      <c r="B26" s="25" t="e">
        <f t="shared" ref="B26:Y26" si="44">B105-B64</f>
        <v>#VALUE!</v>
      </c>
      <c r="C26" s="26" t="e">
        <f t="shared" si="44"/>
        <v>#VALUE!</v>
      </c>
      <c r="D26" s="26" t="e">
        <f t="shared" si="44"/>
        <v>#VALUE!</v>
      </c>
      <c r="E26" s="26" t="e">
        <f t="shared" si="44"/>
        <v>#VALUE!</v>
      </c>
      <c r="F26" s="26" t="e">
        <f t="shared" si="44"/>
        <v>#VALUE!</v>
      </c>
      <c r="G26" s="26" t="e">
        <f t="shared" si="44"/>
        <v>#VALUE!</v>
      </c>
      <c r="H26" s="26" t="e">
        <f t="shared" si="44"/>
        <v>#VALUE!</v>
      </c>
      <c r="I26" s="26" t="e">
        <f t="shared" si="44"/>
        <v>#VALUE!</v>
      </c>
      <c r="J26" s="26" t="e">
        <f t="shared" si="44"/>
        <v>#VALUE!</v>
      </c>
      <c r="K26" s="27" t="e">
        <f t="shared" si="44"/>
        <v>#VALUE!</v>
      </c>
      <c r="L26" s="26" t="e">
        <f t="shared" si="44"/>
        <v>#VALUE!</v>
      </c>
      <c r="M26" s="26" t="e">
        <f t="shared" si="44"/>
        <v>#VALUE!</v>
      </c>
      <c r="N26" s="26" t="e">
        <f t="shared" si="44"/>
        <v>#VALUE!</v>
      </c>
      <c r="O26" s="26" t="e">
        <f t="shared" si="44"/>
        <v>#VALUE!</v>
      </c>
      <c r="P26" s="26" t="e">
        <f t="shared" si="44"/>
        <v>#VALUE!</v>
      </c>
      <c r="Q26" s="26" t="e">
        <f t="shared" si="44"/>
        <v>#VALUE!</v>
      </c>
      <c r="R26" s="26" t="e">
        <f t="shared" si="44"/>
        <v>#VALUE!</v>
      </c>
      <c r="S26" s="26" t="e">
        <f t="shared" si="44"/>
        <v>#VALUE!</v>
      </c>
      <c r="T26" s="26" t="e">
        <f t="shared" si="44"/>
        <v>#VALUE!</v>
      </c>
      <c r="U26" s="26" t="e">
        <f t="shared" si="44"/>
        <v>#VALUE!</v>
      </c>
      <c r="V26" s="27" t="e">
        <f t="shared" si="44"/>
        <v>#VALUE!</v>
      </c>
      <c r="W26" s="28" t="e">
        <f t="shared" si="44"/>
        <v>#VALUE!</v>
      </c>
      <c r="X26" s="29" t="e">
        <f t="shared" si="44"/>
        <v>#VALUE!</v>
      </c>
      <c r="Y26" s="29" t="e">
        <f t="shared" si="44"/>
        <v>#VALUE!</v>
      </c>
      <c r="AA26" s="14" t="s">
        <v>31</v>
      </c>
      <c r="AB26" s="56" t="e">
        <f t="shared" si="3"/>
        <v>#VALUE!</v>
      </c>
      <c r="AC26" s="55" t="e">
        <f t="shared" si="4"/>
        <v>#VALUE!</v>
      </c>
      <c r="AD26" s="55" t="e">
        <f t="shared" si="5"/>
        <v>#VALUE!</v>
      </c>
      <c r="AE26" s="55" t="e">
        <f t="shared" si="6"/>
        <v>#VALUE!</v>
      </c>
      <c r="AF26" s="55" t="e">
        <f t="shared" si="7"/>
        <v>#VALUE!</v>
      </c>
      <c r="AG26" s="55" t="e">
        <f t="shared" si="8"/>
        <v>#VALUE!</v>
      </c>
      <c r="AH26" s="55" t="e">
        <f t="shared" si="9"/>
        <v>#VALUE!</v>
      </c>
      <c r="AI26" s="55" t="e">
        <f t="shared" si="10"/>
        <v>#VALUE!</v>
      </c>
      <c r="AJ26" s="55" t="e">
        <f t="shared" si="11"/>
        <v>#VALUE!</v>
      </c>
      <c r="AK26" s="54" t="e">
        <f t="shared" si="12"/>
        <v>#VALUE!</v>
      </c>
      <c r="AL26" s="55" t="e">
        <f t="shared" si="13"/>
        <v>#VALUE!</v>
      </c>
      <c r="AM26" s="55" t="e">
        <f t="shared" si="14"/>
        <v>#VALUE!</v>
      </c>
      <c r="AN26" s="55" t="e">
        <f t="shared" si="15"/>
        <v>#VALUE!</v>
      </c>
      <c r="AO26" s="55" t="e">
        <f t="shared" si="16"/>
        <v>#VALUE!</v>
      </c>
      <c r="AP26" s="55" t="e">
        <f t="shared" si="17"/>
        <v>#VALUE!</v>
      </c>
      <c r="AQ26" s="55" t="e">
        <f t="shared" si="18"/>
        <v>#VALUE!</v>
      </c>
      <c r="AR26" s="55" t="e">
        <f t="shared" si="19"/>
        <v>#VALUE!</v>
      </c>
      <c r="AS26" s="55" t="e">
        <f t="shared" si="20"/>
        <v>#VALUE!</v>
      </c>
      <c r="AT26" s="55" t="e">
        <f t="shared" si="21"/>
        <v>#VALUE!</v>
      </c>
      <c r="AU26" s="55" t="e">
        <f t="shared" si="22"/>
        <v>#VALUE!</v>
      </c>
      <c r="AV26" s="54" t="e">
        <f t="shared" si="23"/>
        <v>#VALUE!</v>
      </c>
      <c r="AW26" s="55" t="e">
        <f t="shared" si="24"/>
        <v>#VALUE!</v>
      </c>
    </row>
    <row r="27" spans="1:49" x14ac:dyDescent="0.25">
      <c r="A27" s="14" t="s">
        <v>32</v>
      </c>
      <c r="B27" s="57" t="e">
        <f t="shared" ref="B27:Y27" si="45">B106-B65</f>
        <v>#VALUE!</v>
      </c>
      <c r="C27" s="58" t="e">
        <f t="shared" si="45"/>
        <v>#VALUE!</v>
      </c>
      <c r="D27" s="58" t="e">
        <f t="shared" si="45"/>
        <v>#VALUE!</v>
      </c>
      <c r="E27" s="58" t="e">
        <f t="shared" si="45"/>
        <v>#VALUE!</v>
      </c>
      <c r="F27" s="58" t="e">
        <f t="shared" si="45"/>
        <v>#VALUE!</v>
      </c>
      <c r="G27" s="58" t="e">
        <f t="shared" si="45"/>
        <v>#VALUE!</v>
      </c>
      <c r="H27" s="58" t="e">
        <f t="shared" si="45"/>
        <v>#VALUE!</v>
      </c>
      <c r="I27" s="58" t="e">
        <f t="shared" si="45"/>
        <v>#VALUE!</v>
      </c>
      <c r="J27" s="58" t="e">
        <f t="shared" si="45"/>
        <v>#VALUE!</v>
      </c>
      <c r="K27" s="59" t="e">
        <f t="shared" si="45"/>
        <v>#VALUE!</v>
      </c>
      <c r="L27" s="58" t="e">
        <f t="shared" si="45"/>
        <v>#VALUE!</v>
      </c>
      <c r="M27" s="58" t="e">
        <f t="shared" si="45"/>
        <v>#VALUE!</v>
      </c>
      <c r="N27" s="58" t="e">
        <f t="shared" si="45"/>
        <v>#VALUE!</v>
      </c>
      <c r="O27" s="58" t="e">
        <f t="shared" si="45"/>
        <v>#VALUE!</v>
      </c>
      <c r="P27" s="58" t="e">
        <f t="shared" si="45"/>
        <v>#VALUE!</v>
      </c>
      <c r="Q27" s="58" t="e">
        <f t="shared" si="45"/>
        <v>#VALUE!</v>
      </c>
      <c r="R27" s="58" t="e">
        <f t="shared" si="45"/>
        <v>#VALUE!</v>
      </c>
      <c r="S27" s="58" t="e">
        <f t="shared" si="45"/>
        <v>#VALUE!</v>
      </c>
      <c r="T27" s="58" t="e">
        <f t="shared" si="45"/>
        <v>#VALUE!</v>
      </c>
      <c r="U27" s="58" t="e">
        <f t="shared" si="45"/>
        <v>#VALUE!</v>
      </c>
      <c r="V27" s="59" t="e">
        <f t="shared" si="45"/>
        <v>#VALUE!</v>
      </c>
      <c r="W27" s="60" t="e">
        <f t="shared" si="45"/>
        <v>#VALUE!</v>
      </c>
      <c r="X27" s="61" t="e">
        <f t="shared" si="45"/>
        <v>#VALUE!</v>
      </c>
      <c r="Y27" s="61" t="e">
        <f t="shared" si="45"/>
        <v>#VALUE!</v>
      </c>
      <c r="AA27" s="14" t="s">
        <v>32</v>
      </c>
      <c r="AB27" s="56" t="e">
        <f t="shared" si="3"/>
        <v>#VALUE!</v>
      </c>
      <c r="AC27" s="55" t="e">
        <f t="shared" si="4"/>
        <v>#VALUE!</v>
      </c>
      <c r="AD27" s="55" t="e">
        <f t="shared" si="5"/>
        <v>#VALUE!</v>
      </c>
      <c r="AE27" s="55" t="e">
        <f t="shared" si="6"/>
        <v>#VALUE!</v>
      </c>
      <c r="AF27" s="55" t="e">
        <f t="shared" si="7"/>
        <v>#VALUE!</v>
      </c>
      <c r="AG27" s="55" t="e">
        <f t="shared" si="8"/>
        <v>#VALUE!</v>
      </c>
      <c r="AH27" s="55" t="e">
        <f t="shared" si="9"/>
        <v>#VALUE!</v>
      </c>
      <c r="AI27" s="55" t="e">
        <f t="shared" si="10"/>
        <v>#VALUE!</v>
      </c>
      <c r="AJ27" s="55" t="e">
        <f t="shared" si="11"/>
        <v>#VALUE!</v>
      </c>
      <c r="AK27" s="54" t="e">
        <f t="shared" si="12"/>
        <v>#VALUE!</v>
      </c>
      <c r="AL27" s="55" t="e">
        <f t="shared" si="13"/>
        <v>#VALUE!</v>
      </c>
      <c r="AM27" s="55" t="e">
        <f t="shared" si="14"/>
        <v>#VALUE!</v>
      </c>
      <c r="AN27" s="55" t="e">
        <f t="shared" si="15"/>
        <v>#VALUE!</v>
      </c>
      <c r="AO27" s="55" t="e">
        <f t="shared" si="16"/>
        <v>#VALUE!</v>
      </c>
      <c r="AP27" s="55" t="e">
        <f t="shared" si="17"/>
        <v>#VALUE!</v>
      </c>
      <c r="AQ27" s="55" t="e">
        <f t="shared" si="18"/>
        <v>#VALUE!</v>
      </c>
      <c r="AR27" s="55" t="e">
        <f t="shared" si="19"/>
        <v>#VALUE!</v>
      </c>
      <c r="AS27" s="55" t="e">
        <f t="shared" si="20"/>
        <v>#VALUE!</v>
      </c>
      <c r="AT27" s="55" t="e">
        <f t="shared" si="21"/>
        <v>#VALUE!</v>
      </c>
      <c r="AU27" s="55" t="e">
        <f t="shared" si="22"/>
        <v>#VALUE!</v>
      </c>
      <c r="AV27" s="54" t="e">
        <f t="shared" si="23"/>
        <v>#VALUE!</v>
      </c>
      <c r="AW27" s="55" t="e">
        <f t="shared" si="24"/>
        <v>#VALUE!</v>
      </c>
    </row>
    <row r="28" spans="1:49" x14ac:dyDescent="0.25">
      <c r="A28" s="14" t="s">
        <v>33</v>
      </c>
      <c r="B28" s="25" t="e">
        <f t="shared" ref="B28:Y28" si="46">B107-B66</f>
        <v>#VALUE!</v>
      </c>
      <c r="C28" s="26" t="e">
        <f t="shared" si="46"/>
        <v>#VALUE!</v>
      </c>
      <c r="D28" s="26" t="e">
        <f t="shared" si="46"/>
        <v>#VALUE!</v>
      </c>
      <c r="E28" s="26" t="e">
        <f t="shared" si="46"/>
        <v>#VALUE!</v>
      </c>
      <c r="F28" s="26" t="e">
        <f t="shared" si="46"/>
        <v>#VALUE!</v>
      </c>
      <c r="G28" s="26" t="e">
        <f t="shared" si="46"/>
        <v>#VALUE!</v>
      </c>
      <c r="H28" s="26" t="e">
        <f t="shared" si="46"/>
        <v>#VALUE!</v>
      </c>
      <c r="I28" s="26" t="e">
        <f t="shared" si="46"/>
        <v>#VALUE!</v>
      </c>
      <c r="J28" s="26" t="e">
        <f t="shared" si="46"/>
        <v>#VALUE!</v>
      </c>
      <c r="K28" s="27" t="e">
        <f t="shared" si="46"/>
        <v>#VALUE!</v>
      </c>
      <c r="L28" s="26" t="e">
        <f t="shared" si="46"/>
        <v>#VALUE!</v>
      </c>
      <c r="M28" s="26" t="e">
        <f t="shared" si="46"/>
        <v>#VALUE!</v>
      </c>
      <c r="N28" s="26" t="e">
        <f t="shared" si="46"/>
        <v>#VALUE!</v>
      </c>
      <c r="O28" s="26" t="e">
        <f t="shared" si="46"/>
        <v>#VALUE!</v>
      </c>
      <c r="P28" s="26" t="e">
        <f t="shared" si="46"/>
        <v>#VALUE!</v>
      </c>
      <c r="Q28" s="26" t="e">
        <f t="shared" si="46"/>
        <v>#VALUE!</v>
      </c>
      <c r="R28" s="26" t="e">
        <f t="shared" si="46"/>
        <v>#VALUE!</v>
      </c>
      <c r="S28" s="26" t="e">
        <f t="shared" si="46"/>
        <v>#VALUE!</v>
      </c>
      <c r="T28" s="26" t="e">
        <f t="shared" si="46"/>
        <v>#VALUE!</v>
      </c>
      <c r="U28" s="26" t="e">
        <f t="shared" si="46"/>
        <v>#VALUE!</v>
      </c>
      <c r="V28" s="27" t="e">
        <f t="shared" si="46"/>
        <v>#VALUE!</v>
      </c>
      <c r="W28" s="28" t="e">
        <f t="shared" si="46"/>
        <v>#VALUE!</v>
      </c>
      <c r="X28" s="29" t="e">
        <f t="shared" si="46"/>
        <v>#VALUE!</v>
      </c>
      <c r="Y28" s="29" t="e">
        <f t="shared" si="46"/>
        <v>#VALUE!</v>
      </c>
      <c r="AA28" s="14" t="s">
        <v>33</v>
      </c>
      <c r="AB28" s="56" t="e">
        <f t="shared" si="3"/>
        <v>#VALUE!</v>
      </c>
      <c r="AC28" s="55" t="e">
        <f t="shared" si="4"/>
        <v>#VALUE!</v>
      </c>
      <c r="AD28" s="55" t="e">
        <f t="shared" si="5"/>
        <v>#VALUE!</v>
      </c>
      <c r="AE28" s="55" t="e">
        <f t="shared" si="6"/>
        <v>#VALUE!</v>
      </c>
      <c r="AF28" s="55" t="e">
        <f t="shared" si="7"/>
        <v>#VALUE!</v>
      </c>
      <c r="AG28" s="55" t="e">
        <f t="shared" si="8"/>
        <v>#VALUE!</v>
      </c>
      <c r="AH28" s="55" t="e">
        <f t="shared" si="9"/>
        <v>#VALUE!</v>
      </c>
      <c r="AI28" s="55" t="e">
        <f t="shared" si="10"/>
        <v>#VALUE!</v>
      </c>
      <c r="AJ28" s="55" t="e">
        <f t="shared" si="11"/>
        <v>#VALUE!</v>
      </c>
      <c r="AK28" s="54" t="e">
        <f t="shared" si="12"/>
        <v>#VALUE!</v>
      </c>
      <c r="AL28" s="55" t="e">
        <f t="shared" si="13"/>
        <v>#VALUE!</v>
      </c>
      <c r="AM28" s="55" t="e">
        <f t="shared" si="14"/>
        <v>#VALUE!</v>
      </c>
      <c r="AN28" s="55" t="e">
        <f t="shared" si="15"/>
        <v>#VALUE!</v>
      </c>
      <c r="AO28" s="55" t="e">
        <f t="shared" si="16"/>
        <v>#VALUE!</v>
      </c>
      <c r="AP28" s="55" t="e">
        <f t="shared" si="17"/>
        <v>#VALUE!</v>
      </c>
      <c r="AQ28" s="55" t="e">
        <f t="shared" si="18"/>
        <v>#VALUE!</v>
      </c>
      <c r="AR28" s="55" t="e">
        <f t="shared" si="19"/>
        <v>#VALUE!</v>
      </c>
      <c r="AS28" s="55" t="e">
        <f t="shared" si="20"/>
        <v>#VALUE!</v>
      </c>
      <c r="AT28" s="55" t="e">
        <f t="shared" si="21"/>
        <v>#VALUE!</v>
      </c>
      <c r="AU28" s="55" t="e">
        <f t="shared" si="22"/>
        <v>#VALUE!</v>
      </c>
      <c r="AV28" s="54" t="e">
        <f t="shared" si="23"/>
        <v>#VALUE!</v>
      </c>
      <c r="AW28" s="55" t="e">
        <f t="shared" si="24"/>
        <v>#VALUE!</v>
      </c>
    </row>
    <row r="29" spans="1:49" x14ac:dyDescent="0.25">
      <c r="A29" s="14" t="s">
        <v>34</v>
      </c>
      <c r="B29" s="57" t="e">
        <f t="shared" ref="B29:Y29" si="47">B108-B67</f>
        <v>#VALUE!</v>
      </c>
      <c r="C29" s="58" t="e">
        <f t="shared" si="47"/>
        <v>#VALUE!</v>
      </c>
      <c r="D29" s="58" t="e">
        <f t="shared" si="47"/>
        <v>#VALUE!</v>
      </c>
      <c r="E29" s="58" t="e">
        <f t="shared" si="47"/>
        <v>#VALUE!</v>
      </c>
      <c r="F29" s="58" t="e">
        <f t="shared" si="47"/>
        <v>#VALUE!</v>
      </c>
      <c r="G29" s="58" t="e">
        <f t="shared" si="47"/>
        <v>#VALUE!</v>
      </c>
      <c r="H29" s="58" t="e">
        <f t="shared" si="47"/>
        <v>#VALUE!</v>
      </c>
      <c r="I29" s="58" t="e">
        <f t="shared" si="47"/>
        <v>#VALUE!</v>
      </c>
      <c r="J29" s="58" t="e">
        <f t="shared" si="47"/>
        <v>#VALUE!</v>
      </c>
      <c r="K29" s="59" t="e">
        <f t="shared" si="47"/>
        <v>#VALUE!</v>
      </c>
      <c r="L29" s="58" t="e">
        <f t="shared" si="47"/>
        <v>#VALUE!</v>
      </c>
      <c r="M29" s="58" t="e">
        <f t="shared" si="47"/>
        <v>#VALUE!</v>
      </c>
      <c r="N29" s="58" t="e">
        <f t="shared" si="47"/>
        <v>#VALUE!</v>
      </c>
      <c r="O29" s="58" t="e">
        <f t="shared" si="47"/>
        <v>#VALUE!</v>
      </c>
      <c r="P29" s="58" t="e">
        <f t="shared" si="47"/>
        <v>#VALUE!</v>
      </c>
      <c r="Q29" s="58" t="e">
        <f t="shared" si="47"/>
        <v>#VALUE!</v>
      </c>
      <c r="R29" s="58" t="e">
        <f t="shared" si="47"/>
        <v>#VALUE!</v>
      </c>
      <c r="S29" s="58" t="e">
        <f t="shared" si="47"/>
        <v>#VALUE!</v>
      </c>
      <c r="T29" s="58" t="e">
        <f t="shared" si="47"/>
        <v>#VALUE!</v>
      </c>
      <c r="U29" s="58" t="e">
        <f t="shared" si="47"/>
        <v>#VALUE!</v>
      </c>
      <c r="V29" s="59" t="e">
        <f t="shared" si="47"/>
        <v>#VALUE!</v>
      </c>
      <c r="W29" s="60" t="e">
        <f t="shared" si="47"/>
        <v>#VALUE!</v>
      </c>
      <c r="X29" s="61" t="e">
        <f t="shared" si="47"/>
        <v>#VALUE!</v>
      </c>
      <c r="Y29" s="61" t="e">
        <f t="shared" si="47"/>
        <v>#VALUE!</v>
      </c>
      <c r="AA29" s="14" t="s">
        <v>34</v>
      </c>
      <c r="AB29" s="56" t="e">
        <f t="shared" si="3"/>
        <v>#VALUE!</v>
      </c>
      <c r="AC29" s="55" t="e">
        <f t="shared" si="4"/>
        <v>#VALUE!</v>
      </c>
      <c r="AD29" s="55" t="e">
        <f t="shared" si="5"/>
        <v>#VALUE!</v>
      </c>
      <c r="AE29" s="55" t="e">
        <f t="shared" si="6"/>
        <v>#VALUE!</v>
      </c>
      <c r="AF29" s="55" t="e">
        <f t="shared" si="7"/>
        <v>#VALUE!</v>
      </c>
      <c r="AG29" s="55" t="e">
        <f t="shared" si="8"/>
        <v>#VALUE!</v>
      </c>
      <c r="AH29" s="55" t="e">
        <f t="shared" si="9"/>
        <v>#VALUE!</v>
      </c>
      <c r="AI29" s="55" t="e">
        <f t="shared" si="10"/>
        <v>#VALUE!</v>
      </c>
      <c r="AJ29" s="55" t="e">
        <f t="shared" si="11"/>
        <v>#VALUE!</v>
      </c>
      <c r="AK29" s="54" t="e">
        <f t="shared" si="12"/>
        <v>#VALUE!</v>
      </c>
      <c r="AL29" s="55" t="e">
        <f t="shared" si="13"/>
        <v>#VALUE!</v>
      </c>
      <c r="AM29" s="55" t="e">
        <f t="shared" si="14"/>
        <v>#VALUE!</v>
      </c>
      <c r="AN29" s="55" t="e">
        <f t="shared" si="15"/>
        <v>#VALUE!</v>
      </c>
      <c r="AO29" s="55" t="e">
        <f t="shared" si="16"/>
        <v>#VALUE!</v>
      </c>
      <c r="AP29" s="55" t="e">
        <f t="shared" si="17"/>
        <v>#VALUE!</v>
      </c>
      <c r="AQ29" s="55" t="e">
        <f t="shared" si="18"/>
        <v>#VALUE!</v>
      </c>
      <c r="AR29" s="55" t="e">
        <f t="shared" si="19"/>
        <v>#VALUE!</v>
      </c>
      <c r="AS29" s="55" t="e">
        <f t="shared" si="20"/>
        <v>#VALUE!</v>
      </c>
      <c r="AT29" s="55" t="e">
        <f t="shared" si="21"/>
        <v>#VALUE!</v>
      </c>
      <c r="AU29" s="55" t="e">
        <f t="shared" si="22"/>
        <v>#VALUE!</v>
      </c>
      <c r="AV29" s="54" t="e">
        <f t="shared" si="23"/>
        <v>#VALUE!</v>
      </c>
      <c r="AW29" s="55" t="e">
        <f t="shared" si="24"/>
        <v>#VALUE!</v>
      </c>
    </row>
    <row r="30" spans="1:49" x14ac:dyDescent="0.25">
      <c r="A30" s="14" t="s">
        <v>35</v>
      </c>
      <c r="B30" s="25" t="e">
        <f t="shared" ref="B30:Y30" si="48">B109-B68</f>
        <v>#VALUE!</v>
      </c>
      <c r="C30" s="26" t="e">
        <f t="shared" si="48"/>
        <v>#VALUE!</v>
      </c>
      <c r="D30" s="26" t="e">
        <f t="shared" si="48"/>
        <v>#VALUE!</v>
      </c>
      <c r="E30" s="26" t="e">
        <f t="shared" si="48"/>
        <v>#VALUE!</v>
      </c>
      <c r="F30" s="26" t="e">
        <f t="shared" si="48"/>
        <v>#VALUE!</v>
      </c>
      <c r="G30" s="26" t="e">
        <f t="shared" si="48"/>
        <v>#VALUE!</v>
      </c>
      <c r="H30" s="26" t="e">
        <f t="shared" si="48"/>
        <v>#VALUE!</v>
      </c>
      <c r="I30" s="26" t="e">
        <f t="shared" si="48"/>
        <v>#VALUE!</v>
      </c>
      <c r="J30" s="26" t="e">
        <f t="shared" si="48"/>
        <v>#VALUE!</v>
      </c>
      <c r="K30" s="27" t="e">
        <f t="shared" si="48"/>
        <v>#VALUE!</v>
      </c>
      <c r="L30" s="26" t="e">
        <f t="shared" si="48"/>
        <v>#VALUE!</v>
      </c>
      <c r="M30" s="26" t="e">
        <f t="shared" si="48"/>
        <v>#VALUE!</v>
      </c>
      <c r="N30" s="26" t="e">
        <f t="shared" si="48"/>
        <v>#VALUE!</v>
      </c>
      <c r="O30" s="26" t="e">
        <f t="shared" si="48"/>
        <v>#VALUE!</v>
      </c>
      <c r="P30" s="26" t="e">
        <f t="shared" si="48"/>
        <v>#VALUE!</v>
      </c>
      <c r="Q30" s="26" t="e">
        <f t="shared" si="48"/>
        <v>#VALUE!</v>
      </c>
      <c r="R30" s="26" t="e">
        <f t="shared" si="48"/>
        <v>#VALUE!</v>
      </c>
      <c r="S30" s="26" t="e">
        <f t="shared" si="48"/>
        <v>#VALUE!</v>
      </c>
      <c r="T30" s="26" t="e">
        <f t="shared" si="48"/>
        <v>#VALUE!</v>
      </c>
      <c r="U30" s="26" t="e">
        <f t="shared" si="48"/>
        <v>#VALUE!</v>
      </c>
      <c r="V30" s="27" t="e">
        <f t="shared" si="48"/>
        <v>#VALUE!</v>
      </c>
      <c r="W30" s="28" t="e">
        <f t="shared" si="48"/>
        <v>#VALUE!</v>
      </c>
      <c r="X30" s="29" t="e">
        <f t="shared" si="48"/>
        <v>#VALUE!</v>
      </c>
      <c r="Y30" s="29" t="e">
        <f t="shared" si="48"/>
        <v>#VALUE!</v>
      </c>
      <c r="AA30" s="14" t="s">
        <v>35</v>
      </c>
      <c r="AB30" s="56" t="e">
        <f t="shared" si="3"/>
        <v>#VALUE!</v>
      </c>
      <c r="AC30" s="55" t="e">
        <f t="shared" si="4"/>
        <v>#VALUE!</v>
      </c>
      <c r="AD30" s="55" t="e">
        <f t="shared" si="5"/>
        <v>#VALUE!</v>
      </c>
      <c r="AE30" s="55" t="e">
        <f t="shared" si="6"/>
        <v>#VALUE!</v>
      </c>
      <c r="AF30" s="55" t="e">
        <f t="shared" si="7"/>
        <v>#VALUE!</v>
      </c>
      <c r="AG30" s="55" t="e">
        <f t="shared" si="8"/>
        <v>#VALUE!</v>
      </c>
      <c r="AH30" s="55" t="e">
        <f t="shared" si="9"/>
        <v>#VALUE!</v>
      </c>
      <c r="AI30" s="55" t="e">
        <f t="shared" si="10"/>
        <v>#VALUE!</v>
      </c>
      <c r="AJ30" s="55" t="e">
        <f t="shared" si="11"/>
        <v>#VALUE!</v>
      </c>
      <c r="AK30" s="54" t="e">
        <f t="shared" si="12"/>
        <v>#VALUE!</v>
      </c>
      <c r="AL30" s="55" t="e">
        <f t="shared" si="13"/>
        <v>#VALUE!</v>
      </c>
      <c r="AM30" s="55" t="e">
        <f t="shared" si="14"/>
        <v>#VALUE!</v>
      </c>
      <c r="AN30" s="55" t="e">
        <f t="shared" si="15"/>
        <v>#VALUE!</v>
      </c>
      <c r="AO30" s="55" t="e">
        <f t="shared" si="16"/>
        <v>#VALUE!</v>
      </c>
      <c r="AP30" s="55" t="e">
        <f t="shared" si="17"/>
        <v>#VALUE!</v>
      </c>
      <c r="AQ30" s="55" t="e">
        <f t="shared" si="18"/>
        <v>#VALUE!</v>
      </c>
      <c r="AR30" s="55" t="e">
        <f t="shared" si="19"/>
        <v>#VALUE!</v>
      </c>
      <c r="AS30" s="55" t="e">
        <f t="shared" si="20"/>
        <v>#VALUE!</v>
      </c>
      <c r="AT30" s="55" t="e">
        <f t="shared" si="21"/>
        <v>#VALUE!</v>
      </c>
      <c r="AU30" s="55" t="e">
        <f t="shared" si="22"/>
        <v>#VALUE!</v>
      </c>
      <c r="AV30" s="54" t="e">
        <f t="shared" si="23"/>
        <v>#VALUE!</v>
      </c>
      <c r="AW30" s="55" t="e">
        <f t="shared" si="24"/>
        <v>#VALUE!</v>
      </c>
    </row>
    <row r="31" spans="1:49" x14ac:dyDescent="0.25">
      <c r="A31" s="14" t="s">
        <v>36</v>
      </c>
      <c r="B31" s="57" t="e">
        <f t="shared" ref="B31:Y31" si="49">B110-B69</f>
        <v>#VALUE!</v>
      </c>
      <c r="C31" s="58" t="e">
        <f t="shared" si="49"/>
        <v>#VALUE!</v>
      </c>
      <c r="D31" s="58" t="e">
        <f t="shared" si="49"/>
        <v>#VALUE!</v>
      </c>
      <c r="E31" s="58" t="e">
        <f t="shared" si="49"/>
        <v>#VALUE!</v>
      </c>
      <c r="F31" s="58" t="e">
        <f t="shared" si="49"/>
        <v>#VALUE!</v>
      </c>
      <c r="G31" s="58" t="e">
        <f t="shared" si="49"/>
        <v>#VALUE!</v>
      </c>
      <c r="H31" s="58" t="e">
        <f t="shared" si="49"/>
        <v>#VALUE!</v>
      </c>
      <c r="I31" s="58" t="e">
        <f t="shared" si="49"/>
        <v>#VALUE!</v>
      </c>
      <c r="J31" s="58" t="e">
        <f t="shared" si="49"/>
        <v>#VALUE!</v>
      </c>
      <c r="K31" s="59" t="e">
        <f t="shared" si="49"/>
        <v>#VALUE!</v>
      </c>
      <c r="L31" s="58" t="e">
        <f t="shared" si="49"/>
        <v>#VALUE!</v>
      </c>
      <c r="M31" s="58" t="e">
        <f t="shared" si="49"/>
        <v>#VALUE!</v>
      </c>
      <c r="N31" s="58" t="e">
        <f t="shared" si="49"/>
        <v>#VALUE!</v>
      </c>
      <c r="O31" s="58" t="e">
        <f t="shared" si="49"/>
        <v>#VALUE!</v>
      </c>
      <c r="P31" s="58" t="e">
        <f t="shared" si="49"/>
        <v>#VALUE!</v>
      </c>
      <c r="Q31" s="58" t="e">
        <f t="shared" si="49"/>
        <v>#VALUE!</v>
      </c>
      <c r="R31" s="58" t="e">
        <f t="shared" si="49"/>
        <v>#VALUE!</v>
      </c>
      <c r="S31" s="58" t="e">
        <f t="shared" si="49"/>
        <v>#VALUE!</v>
      </c>
      <c r="T31" s="58" t="e">
        <f t="shared" si="49"/>
        <v>#VALUE!</v>
      </c>
      <c r="U31" s="58" t="e">
        <f t="shared" si="49"/>
        <v>#VALUE!</v>
      </c>
      <c r="V31" s="59" t="e">
        <f t="shared" si="49"/>
        <v>#VALUE!</v>
      </c>
      <c r="W31" s="60" t="e">
        <f t="shared" si="49"/>
        <v>#VALUE!</v>
      </c>
      <c r="X31" s="61" t="e">
        <f t="shared" si="49"/>
        <v>#VALUE!</v>
      </c>
      <c r="Y31" s="61" t="e">
        <f t="shared" si="49"/>
        <v>#VALUE!</v>
      </c>
      <c r="AA31" s="14" t="s">
        <v>36</v>
      </c>
      <c r="AB31" s="56" t="e">
        <f t="shared" si="3"/>
        <v>#VALUE!</v>
      </c>
      <c r="AC31" s="55" t="e">
        <f t="shared" si="4"/>
        <v>#VALUE!</v>
      </c>
      <c r="AD31" s="55" t="e">
        <f t="shared" si="5"/>
        <v>#VALUE!</v>
      </c>
      <c r="AE31" s="55" t="e">
        <f t="shared" si="6"/>
        <v>#VALUE!</v>
      </c>
      <c r="AF31" s="55" t="e">
        <f t="shared" si="7"/>
        <v>#VALUE!</v>
      </c>
      <c r="AG31" s="55" t="e">
        <f t="shared" si="8"/>
        <v>#VALUE!</v>
      </c>
      <c r="AH31" s="55" t="e">
        <f t="shared" si="9"/>
        <v>#VALUE!</v>
      </c>
      <c r="AI31" s="55" t="e">
        <f t="shared" si="10"/>
        <v>#VALUE!</v>
      </c>
      <c r="AJ31" s="55" t="e">
        <f t="shared" si="11"/>
        <v>#VALUE!</v>
      </c>
      <c r="AK31" s="54" t="e">
        <f t="shared" si="12"/>
        <v>#VALUE!</v>
      </c>
      <c r="AL31" s="55" t="e">
        <f t="shared" si="13"/>
        <v>#VALUE!</v>
      </c>
      <c r="AM31" s="55" t="e">
        <f t="shared" si="14"/>
        <v>#VALUE!</v>
      </c>
      <c r="AN31" s="55" t="e">
        <f t="shared" si="15"/>
        <v>#VALUE!</v>
      </c>
      <c r="AO31" s="55" t="e">
        <f t="shared" si="16"/>
        <v>#VALUE!</v>
      </c>
      <c r="AP31" s="55" t="e">
        <f t="shared" si="17"/>
        <v>#VALUE!</v>
      </c>
      <c r="AQ31" s="55" t="e">
        <f t="shared" si="18"/>
        <v>#VALUE!</v>
      </c>
      <c r="AR31" s="55" t="e">
        <f t="shared" si="19"/>
        <v>#VALUE!</v>
      </c>
      <c r="AS31" s="55" t="e">
        <f t="shared" si="20"/>
        <v>#VALUE!</v>
      </c>
      <c r="AT31" s="55" t="e">
        <f t="shared" si="21"/>
        <v>#VALUE!</v>
      </c>
      <c r="AU31" s="55" t="e">
        <f t="shared" si="22"/>
        <v>#VALUE!</v>
      </c>
      <c r="AV31" s="54" t="e">
        <f t="shared" si="23"/>
        <v>#VALUE!</v>
      </c>
      <c r="AW31" s="55" t="e">
        <f t="shared" si="24"/>
        <v>#VALUE!</v>
      </c>
    </row>
    <row r="32" spans="1:49" x14ac:dyDescent="0.25">
      <c r="A32" s="14" t="s">
        <v>37</v>
      </c>
      <c r="B32" s="25" t="e">
        <f t="shared" ref="B32:Y32" si="50">B111-B70</f>
        <v>#VALUE!</v>
      </c>
      <c r="C32" s="26" t="e">
        <f t="shared" si="50"/>
        <v>#VALUE!</v>
      </c>
      <c r="D32" s="26" t="e">
        <f t="shared" si="50"/>
        <v>#VALUE!</v>
      </c>
      <c r="E32" s="26" t="e">
        <f t="shared" si="50"/>
        <v>#VALUE!</v>
      </c>
      <c r="F32" s="26" t="e">
        <f t="shared" si="50"/>
        <v>#VALUE!</v>
      </c>
      <c r="G32" s="26" t="e">
        <f t="shared" si="50"/>
        <v>#VALUE!</v>
      </c>
      <c r="H32" s="26" t="e">
        <f t="shared" si="50"/>
        <v>#VALUE!</v>
      </c>
      <c r="I32" s="26" t="e">
        <f t="shared" si="50"/>
        <v>#VALUE!</v>
      </c>
      <c r="J32" s="26" t="e">
        <f t="shared" si="50"/>
        <v>#VALUE!</v>
      </c>
      <c r="K32" s="27" t="e">
        <f t="shared" si="50"/>
        <v>#VALUE!</v>
      </c>
      <c r="L32" s="26" t="e">
        <f t="shared" si="50"/>
        <v>#VALUE!</v>
      </c>
      <c r="M32" s="26" t="e">
        <f t="shared" si="50"/>
        <v>#VALUE!</v>
      </c>
      <c r="N32" s="26" t="e">
        <f t="shared" si="50"/>
        <v>#VALUE!</v>
      </c>
      <c r="O32" s="26" t="e">
        <f t="shared" si="50"/>
        <v>#VALUE!</v>
      </c>
      <c r="P32" s="26" t="e">
        <f t="shared" si="50"/>
        <v>#VALUE!</v>
      </c>
      <c r="Q32" s="26" t="e">
        <f t="shared" si="50"/>
        <v>#VALUE!</v>
      </c>
      <c r="R32" s="26" t="e">
        <f t="shared" si="50"/>
        <v>#VALUE!</v>
      </c>
      <c r="S32" s="26" t="e">
        <f t="shared" si="50"/>
        <v>#VALUE!</v>
      </c>
      <c r="T32" s="26" t="e">
        <f t="shared" si="50"/>
        <v>#VALUE!</v>
      </c>
      <c r="U32" s="26" t="e">
        <f t="shared" si="50"/>
        <v>#VALUE!</v>
      </c>
      <c r="V32" s="27" t="e">
        <f t="shared" si="50"/>
        <v>#VALUE!</v>
      </c>
      <c r="W32" s="28" t="e">
        <f t="shared" si="50"/>
        <v>#VALUE!</v>
      </c>
      <c r="X32" s="29" t="e">
        <f t="shared" si="50"/>
        <v>#VALUE!</v>
      </c>
      <c r="Y32" s="29" t="e">
        <f t="shared" si="50"/>
        <v>#VALUE!</v>
      </c>
      <c r="AA32" s="14" t="s">
        <v>37</v>
      </c>
      <c r="AB32" s="56" t="e">
        <f t="shared" si="3"/>
        <v>#VALUE!</v>
      </c>
      <c r="AC32" s="55" t="e">
        <f t="shared" si="4"/>
        <v>#VALUE!</v>
      </c>
      <c r="AD32" s="55" t="e">
        <f t="shared" si="5"/>
        <v>#VALUE!</v>
      </c>
      <c r="AE32" s="55" t="e">
        <f t="shared" si="6"/>
        <v>#VALUE!</v>
      </c>
      <c r="AF32" s="55" t="e">
        <f t="shared" si="7"/>
        <v>#VALUE!</v>
      </c>
      <c r="AG32" s="55" t="e">
        <f t="shared" si="8"/>
        <v>#VALUE!</v>
      </c>
      <c r="AH32" s="55" t="e">
        <f t="shared" si="9"/>
        <v>#VALUE!</v>
      </c>
      <c r="AI32" s="55" t="e">
        <f t="shared" si="10"/>
        <v>#VALUE!</v>
      </c>
      <c r="AJ32" s="55" t="e">
        <f t="shared" si="11"/>
        <v>#VALUE!</v>
      </c>
      <c r="AK32" s="54" t="e">
        <f t="shared" si="12"/>
        <v>#VALUE!</v>
      </c>
      <c r="AL32" s="55" t="e">
        <f t="shared" si="13"/>
        <v>#VALUE!</v>
      </c>
      <c r="AM32" s="55" t="e">
        <f t="shared" si="14"/>
        <v>#VALUE!</v>
      </c>
      <c r="AN32" s="55" t="e">
        <f t="shared" si="15"/>
        <v>#VALUE!</v>
      </c>
      <c r="AO32" s="55" t="e">
        <f t="shared" si="16"/>
        <v>#VALUE!</v>
      </c>
      <c r="AP32" s="55" t="e">
        <f t="shared" si="17"/>
        <v>#VALUE!</v>
      </c>
      <c r="AQ32" s="55" t="e">
        <f t="shared" si="18"/>
        <v>#VALUE!</v>
      </c>
      <c r="AR32" s="55" t="e">
        <f t="shared" si="19"/>
        <v>#VALUE!</v>
      </c>
      <c r="AS32" s="55" t="e">
        <f t="shared" si="20"/>
        <v>#VALUE!</v>
      </c>
      <c r="AT32" s="55" t="e">
        <f t="shared" si="21"/>
        <v>#VALUE!</v>
      </c>
      <c r="AU32" s="55" t="e">
        <f t="shared" si="22"/>
        <v>#VALUE!</v>
      </c>
      <c r="AV32" s="54" t="e">
        <f t="shared" si="23"/>
        <v>#VALUE!</v>
      </c>
      <c r="AW32" s="55" t="e">
        <f t="shared" si="24"/>
        <v>#VALUE!</v>
      </c>
    </row>
    <row r="33" spans="1:49" x14ac:dyDescent="0.25">
      <c r="A33" s="14" t="s">
        <v>38</v>
      </c>
      <c r="B33" s="57" t="e">
        <f t="shared" ref="B33:Y33" si="51">B112-B71</f>
        <v>#VALUE!</v>
      </c>
      <c r="C33" s="58" t="e">
        <f t="shared" si="51"/>
        <v>#VALUE!</v>
      </c>
      <c r="D33" s="58" t="e">
        <f t="shared" si="51"/>
        <v>#VALUE!</v>
      </c>
      <c r="E33" s="58" t="e">
        <f t="shared" si="51"/>
        <v>#VALUE!</v>
      </c>
      <c r="F33" s="58" t="e">
        <f t="shared" si="51"/>
        <v>#VALUE!</v>
      </c>
      <c r="G33" s="58" t="e">
        <f t="shared" si="51"/>
        <v>#VALUE!</v>
      </c>
      <c r="H33" s="58" t="e">
        <f t="shared" si="51"/>
        <v>#VALUE!</v>
      </c>
      <c r="I33" s="58" t="e">
        <f t="shared" si="51"/>
        <v>#VALUE!</v>
      </c>
      <c r="J33" s="58" t="e">
        <f t="shared" si="51"/>
        <v>#VALUE!</v>
      </c>
      <c r="K33" s="59" t="e">
        <f t="shared" si="51"/>
        <v>#VALUE!</v>
      </c>
      <c r="L33" s="58" t="e">
        <f t="shared" si="51"/>
        <v>#VALUE!</v>
      </c>
      <c r="M33" s="58" t="e">
        <f t="shared" si="51"/>
        <v>#VALUE!</v>
      </c>
      <c r="N33" s="58" t="e">
        <f t="shared" si="51"/>
        <v>#VALUE!</v>
      </c>
      <c r="O33" s="58" t="e">
        <f t="shared" si="51"/>
        <v>#VALUE!</v>
      </c>
      <c r="P33" s="58" t="e">
        <f t="shared" si="51"/>
        <v>#VALUE!</v>
      </c>
      <c r="Q33" s="58" t="e">
        <f t="shared" si="51"/>
        <v>#VALUE!</v>
      </c>
      <c r="R33" s="58" t="e">
        <f t="shared" si="51"/>
        <v>#VALUE!</v>
      </c>
      <c r="S33" s="58" t="e">
        <f t="shared" si="51"/>
        <v>#VALUE!</v>
      </c>
      <c r="T33" s="58" t="e">
        <f t="shared" si="51"/>
        <v>#VALUE!</v>
      </c>
      <c r="U33" s="58" t="e">
        <f t="shared" si="51"/>
        <v>#VALUE!</v>
      </c>
      <c r="V33" s="59" t="e">
        <f t="shared" si="51"/>
        <v>#VALUE!</v>
      </c>
      <c r="W33" s="60" t="e">
        <f t="shared" si="51"/>
        <v>#VALUE!</v>
      </c>
      <c r="X33" s="61" t="e">
        <f t="shared" si="51"/>
        <v>#VALUE!</v>
      </c>
      <c r="Y33" s="61" t="e">
        <f t="shared" si="51"/>
        <v>#VALUE!</v>
      </c>
      <c r="AA33" s="14" t="s">
        <v>38</v>
      </c>
      <c r="AB33" s="56" t="e">
        <f t="shared" si="3"/>
        <v>#VALUE!</v>
      </c>
      <c r="AC33" s="55" t="e">
        <f t="shared" si="4"/>
        <v>#VALUE!</v>
      </c>
      <c r="AD33" s="55" t="e">
        <f t="shared" si="5"/>
        <v>#VALUE!</v>
      </c>
      <c r="AE33" s="55" t="e">
        <f t="shared" si="6"/>
        <v>#VALUE!</v>
      </c>
      <c r="AF33" s="55" t="e">
        <f t="shared" si="7"/>
        <v>#VALUE!</v>
      </c>
      <c r="AG33" s="55" t="e">
        <f t="shared" si="8"/>
        <v>#VALUE!</v>
      </c>
      <c r="AH33" s="55" t="e">
        <f t="shared" si="9"/>
        <v>#VALUE!</v>
      </c>
      <c r="AI33" s="55" t="e">
        <f t="shared" si="10"/>
        <v>#VALUE!</v>
      </c>
      <c r="AJ33" s="55" t="e">
        <f t="shared" si="11"/>
        <v>#VALUE!</v>
      </c>
      <c r="AK33" s="54" t="e">
        <f t="shared" si="12"/>
        <v>#VALUE!</v>
      </c>
      <c r="AL33" s="55" t="e">
        <f t="shared" si="13"/>
        <v>#VALUE!</v>
      </c>
      <c r="AM33" s="55" t="e">
        <f t="shared" si="14"/>
        <v>#VALUE!</v>
      </c>
      <c r="AN33" s="55" t="e">
        <f t="shared" si="15"/>
        <v>#VALUE!</v>
      </c>
      <c r="AO33" s="55" t="e">
        <f t="shared" si="16"/>
        <v>#VALUE!</v>
      </c>
      <c r="AP33" s="55" t="e">
        <f t="shared" si="17"/>
        <v>#VALUE!</v>
      </c>
      <c r="AQ33" s="55" t="e">
        <f t="shared" si="18"/>
        <v>#VALUE!</v>
      </c>
      <c r="AR33" s="55" t="e">
        <f t="shared" si="19"/>
        <v>#VALUE!</v>
      </c>
      <c r="AS33" s="55" t="e">
        <f t="shared" si="20"/>
        <v>#VALUE!</v>
      </c>
      <c r="AT33" s="55" t="e">
        <f t="shared" si="21"/>
        <v>#VALUE!</v>
      </c>
      <c r="AU33" s="55" t="e">
        <f t="shared" si="22"/>
        <v>#VALUE!</v>
      </c>
      <c r="AV33" s="54" t="e">
        <f t="shared" si="23"/>
        <v>#VALUE!</v>
      </c>
      <c r="AW33" s="55" t="e">
        <f t="shared" si="24"/>
        <v>#VALUE!</v>
      </c>
    </row>
    <row r="34" spans="1:49" x14ac:dyDescent="0.25">
      <c r="A34" s="14" t="s">
        <v>39</v>
      </c>
      <c r="B34" s="25" t="e">
        <f t="shared" ref="B34:Y34" si="52">B113-B72</f>
        <v>#VALUE!</v>
      </c>
      <c r="C34" s="26" t="e">
        <f t="shared" si="52"/>
        <v>#VALUE!</v>
      </c>
      <c r="D34" s="26" t="e">
        <f t="shared" si="52"/>
        <v>#VALUE!</v>
      </c>
      <c r="E34" s="26" t="e">
        <f t="shared" si="52"/>
        <v>#VALUE!</v>
      </c>
      <c r="F34" s="26" t="e">
        <f t="shared" si="52"/>
        <v>#VALUE!</v>
      </c>
      <c r="G34" s="26" t="e">
        <f t="shared" si="52"/>
        <v>#VALUE!</v>
      </c>
      <c r="H34" s="26" t="e">
        <f t="shared" si="52"/>
        <v>#VALUE!</v>
      </c>
      <c r="I34" s="26" t="e">
        <f t="shared" si="52"/>
        <v>#VALUE!</v>
      </c>
      <c r="J34" s="26" t="e">
        <f t="shared" si="52"/>
        <v>#VALUE!</v>
      </c>
      <c r="K34" s="27" t="e">
        <f t="shared" si="52"/>
        <v>#VALUE!</v>
      </c>
      <c r="L34" s="26" t="e">
        <f t="shared" si="52"/>
        <v>#VALUE!</v>
      </c>
      <c r="M34" s="26" t="e">
        <f t="shared" si="52"/>
        <v>#VALUE!</v>
      </c>
      <c r="N34" s="26" t="e">
        <f t="shared" si="52"/>
        <v>#VALUE!</v>
      </c>
      <c r="O34" s="26" t="e">
        <f t="shared" si="52"/>
        <v>#VALUE!</v>
      </c>
      <c r="P34" s="26" t="e">
        <f t="shared" si="52"/>
        <v>#VALUE!</v>
      </c>
      <c r="Q34" s="26" t="e">
        <f t="shared" si="52"/>
        <v>#VALUE!</v>
      </c>
      <c r="R34" s="26" t="e">
        <f t="shared" si="52"/>
        <v>#VALUE!</v>
      </c>
      <c r="S34" s="26" t="e">
        <f t="shared" si="52"/>
        <v>#VALUE!</v>
      </c>
      <c r="T34" s="26" t="e">
        <f t="shared" si="52"/>
        <v>#VALUE!</v>
      </c>
      <c r="U34" s="26" t="e">
        <f t="shared" si="52"/>
        <v>#VALUE!</v>
      </c>
      <c r="V34" s="27" t="e">
        <f t="shared" si="52"/>
        <v>#VALUE!</v>
      </c>
      <c r="W34" s="28" t="e">
        <f t="shared" si="52"/>
        <v>#VALUE!</v>
      </c>
      <c r="X34" s="29" t="e">
        <f t="shared" si="52"/>
        <v>#VALUE!</v>
      </c>
      <c r="Y34" s="29" t="e">
        <f t="shared" si="52"/>
        <v>#VALUE!</v>
      </c>
      <c r="AA34" s="14" t="s">
        <v>39</v>
      </c>
      <c r="AB34" s="56" t="e">
        <f t="shared" si="3"/>
        <v>#VALUE!</v>
      </c>
      <c r="AC34" s="55" t="e">
        <f t="shared" si="4"/>
        <v>#VALUE!</v>
      </c>
      <c r="AD34" s="55" t="e">
        <f t="shared" si="5"/>
        <v>#VALUE!</v>
      </c>
      <c r="AE34" s="55" t="e">
        <f t="shared" si="6"/>
        <v>#VALUE!</v>
      </c>
      <c r="AF34" s="55" t="e">
        <f t="shared" si="7"/>
        <v>#VALUE!</v>
      </c>
      <c r="AG34" s="55" t="e">
        <f t="shared" si="8"/>
        <v>#VALUE!</v>
      </c>
      <c r="AH34" s="55" t="e">
        <f t="shared" si="9"/>
        <v>#VALUE!</v>
      </c>
      <c r="AI34" s="55" t="e">
        <f t="shared" si="10"/>
        <v>#VALUE!</v>
      </c>
      <c r="AJ34" s="55" t="e">
        <f t="shared" si="11"/>
        <v>#VALUE!</v>
      </c>
      <c r="AK34" s="54" t="e">
        <f t="shared" si="12"/>
        <v>#VALUE!</v>
      </c>
      <c r="AL34" s="55" t="e">
        <f t="shared" si="13"/>
        <v>#VALUE!</v>
      </c>
      <c r="AM34" s="55" t="e">
        <f t="shared" si="14"/>
        <v>#VALUE!</v>
      </c>
      <c r="AN34" s="55" t="e">
        <f t="shared" si="15"/>
        <v>#VALUE!</v>
      </c>
      <c r="AO34" s="55" t="e">
        <f t="shared" si="16"/>
        <v>#VALUE!</v>
      </c>
      <c r="AP34" s="55" t="e">
        <f t="shared" si="17"/>
        <v>#VALUE!</v>
      </c>
      <c r="AQ34" s="55" t="e">
        <f t="shared" si="18"/>
        <v>#VALUE!</v>
      </c>
      <c r="AR34" s="55" t="e">
        <f t="shared" si="19"/>
        <v>#VALUE!</v>
      </c>
      <c r="AS34" s="55" t="e">
        <f t="shared" si="20"/>
        <v>#VALUE!</v>
      </c>
      <c r="AT34" s="55" t="e">
        <f t="shared" si="21"/>
        <v>#VALUE!</v>
      </c>
      <c r="AU34" s="55" t="e">
        <f t="shared" si="22"/>
        <v>#VALUE!</v>
      </c>
      <c r="AV34" s="54" t="e">
        <f t="shared" si="23"/>
        <v>#VALUE!</v>
      </c>
      <c r="AW34" s="55" t="e">
        <f t="shared" si="24"/>
        <v>#VALUE!</v>
      </c>
    </row>
    <row r="37" spans="1:49" x14ac:dyDescent="0.25">
      <c r="A37" s="50" t="s">
        <v>137</v>
      </c>
    </row>
    <row r="38" spans="1:49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3"/>
    </row>
    <row r="39" spans="1:49" x14ac:dyDescent="0.25">
      <c r="A39" s="44"/>
      <c r="B39" s="45"/>
      <c r="C39" s="45"/>
      <c r="D39" s="45"/>
      <c r="E39" s="45" t="s">
        <v>67</v>
      </c>
      <c r="F39" s="45" t="s">
        <v>75</v>
      </c>
      <c r="G39" s="45" t="s">
        <v>92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 t="s">
        <v>97</v>
      </c>
      <c r="Y39" s="46"/>
    </row>
    <row r="40" spans="1:49" x14ac:dyDescent="0.25">
      <c r="A40" s="47"/>
      <c r="B40" s="48"/>
      <c r="C40" s="48" t="s">
        <v>77</v>
      </c>
      <c r="D40" s="48"/>
      <c r="E40" s="48" t="s">
        <v>79</v>
      </c>
      <c r="F40" s="48" t="s">
        <v>80</v>
      </c>
      <c r="G40" s="48" t="s">
        <v>81</v>
      </c>
      <c r="H40" s="48"/>
      <c r="I40" s="48"/>
      <c r="J40" s="48" t="s">
        <v>84</v>
      </c>
      <c r="K40" s="48"/>
      <c r="L40" s="48" t="s">
        <v>93</v>
      </c>
      <c r="M40" s="48"/>
      <c r="N40" s="48" t="s">
        <v>42</v>
      </c>
      <c r="O40" s="48" t="s">
        <v>43</v>
      </c>
      <c r="P40" s="48" t="s">
        <v>85</v>
      </c>
      <c r="Q40" s="48" t="s">
        <v>135</v>
      </c>
      <c r="R40" s="48" t="s">
        <v>66</v>
      </c>
      <c r="S40" s="48" t="s">
        <v>47</v>
      </c>
      <c r="T40" s="48" t="s">
        <v>76</v>
      </c>
      <c r="U40" s="48"/>
      <c r="V40" s="48"/>
      <c r="W40" s="48"/>
      <c r="X40" s="48" t="s">
        <v>94</v>
      </c>
      <c r="Y40" s="49" t="s">
        <v>97</v>
      </c>
    </row>
    <row r="41" spans="1:49" ht="73.5" customHeight="1" x14ac:dyDescent="0.25">
      <c r="A41" s="30" t="s">
        <v>0</v>
      </c>
      <c r="B41" s="31" t="s">
        <v>56</v>
      </c>
      <c r="C41" s="32" t="s">
        <v>57</v>
      </c>
      <c r="D41" s="32" t="s">
        <v>58</v>
      </c>
      <c r="E41" s="33" t="s">
        <v>1</v>
      </c>
      <c r="F41" s="33" t="s">
        <v>2</v>
      </c>
      <c r="G41" s="33" t="s">
        <v>3</v>
      </c>
      <c r="H41" s="34" t="s">
        <v>132</v>
      </c>
      <c r="I41" s="33" t="s">
        <v>5</v>
      </c>
      <c r="J41" s="33" t="s">
        <v>4</v>
      </c>
      <c r="K41" s="35" t="s">
        <v>41</v>
      </c>
      <c r="L41" s="36" t="s">
        <v>133</v>
      </c>
      <c r="M41" s="36" t="s">
        <v>134</v>
      </c>
      <c r="N41" s="37" t="s">
        <v>42</v>
      </c>
      <c r="O41" s="37" t="s">
        <v>43</v>
      </c>
      <c r="P41" s="37" t="s">
        <v>44</v>
      </c>
      <c r="Q41" s="37" t="s">
        <v>45</v>
      </c>
      <c r="R41" s="37" t="s">
        <v>46</v>
      </c>
      <c r="S41" s="37" t="s">
        <v>47</v>
      </c>
      <c r="T41" s="37" t="s">
        <v>48</v>
      </c>
      <c r="U41" s="37" t="s">
        <v>54</v>
      </c>
      <c r="V41" s="38" t="s">
        <v>40</v>
      </c>
      <c r="W41" s="39" t="s">
        <v>6</v>
      </c>
      <c r="X41" s="40" t="s">
        <v>7</v>
      </c>
      <c r="Y41" s="38" t="s">
        <v>136</v>
      </c>
    </row>
    <row r="42" spans="1:49" x14ac:dyDescent="0.25">
      <c r="A42" s="13"/>
      <c r="B42" s="3" t="s">
        <v>8</v>
      </c>
      <c r="C42" s="4" t="s">
        <v>9</v>
      </c>
      <c r="D42" s="5" t="s">
        <v>9</v>
      </c>
      <c r="E42" s="5" t="s">
        <v>9</v>
      </c>
      <c r="F42" s="4" t="s">
        <v>9</v>
      </c>
      <c r="G42" s="5" t="s">
        <v>9</v>
      </c>
      <c r="H42" s="4"/>
      <c r="I42" s="4" t="s">
        <v>9</v>
      </c>
      <c r="J42" s="5" t="s">
        <v>9</v>
      </c>
      <c r="K42" s="6" t="s">
        <v>8</v>
      </c>
      <c r="L42" s="4" t="s">
        <v>9</v>
      </c>
      <c r="M42" s="5" t="s">
        <v>9</v>
      </c>
      <c r="N42" s="7" t="s">
        <v>9</v>
      </c>
      <c r="O42" s="8" t="s">
        <v>9</v>
      </c>
      <c r="P42" s="8" t="s">
        <v>9</v>
      </c>
      <c r="Q42" s="7" t="s">
        <v>9</v>
      </c>
      <c r="R42" s="8" t="s">
        <v>9</v>
      </c>
      <c r="S42" s="8" t="s">
        <v>9</v>
      </c>
      <c r="T42" s="8" t="s">
        <v>9</v>
      </c>
      <c r="U42" s="8" t="s">
        <v>9</v>
      </c>
      <c r="V42" s="9" t="s">
        <v>8</v>
      </c>
      <c r="W42" s="10" t="s">
        <v>9</v>
      </c>
      <c r="X42" s="9" t="s">
        <v>8</v>
      </c>
      <c r="Y42" s="11"/>
    </row>
    <row r="43" spans="1:49" x14ac:dyDescent="0.25">
      <c r="A43" s="14" t="s">
        <v>10</v>
      </c>
      <c r="B43" s="57">
        <f>SUM(C43:D43)</f>
        <v>0.11229547613699981</v>
      </c>
      <c r="C43" s="58">
        <f>(SUMPRODUCT(('Modell Erzeugung'!$C$2:$C$35='Abgleich Generation'!$A43)*('Modell Erzeugung'!$D$1:$AZ$1='Abgleich Generation'!C$40)*'Modell Erzeugung'!$D$2:$AZ$35)+SUMPRODUCT(('Modell Erzeugung'!$C$2:$C$35='Abgleich Generation'!$A43)*('Modell Erzeugung'!$D$1:$AZ$1='Abgleich Generation'!C$39)*'Modell Erzeugung'!$D$2:$AZ$35)+SUMPRODUCT(('Modell Erzeugung'!$C$2:$C$35='Abgleich Generation'!$A43)*('Modell Erzeugung'!$D$1:$AZ$1='Abgleich Generation'!C$38)*'Modell Erzeugung'!$D$2:$AZ$35))/1000000</f>
        <v>0</v>
      </c>
      <c r="D43" s="58">
        <f>SUM(E43:J43)</f>
        <v>0.11229547613699981</v>
      </c>
      <c r="E43" s="58">
        <f>(SUMPRODUCT(('Modell Erzeugung'!$C$2:$C$35='Abgleich Generation'!$A43)*('Modell Erzeugung'!$D$1:$AZ$1='Abgleich Generation'!E$40)*'Modell Erzeugung'!$D$2:$AZ$35)+SUMPRODUCT(('Modell Erzeugung'!$C$2:$C$35='Abgleich Generation'!$A43)*('Modell Erzeugung'!$D$1:$AZ$1='Abgleich Generation'!E$39)*'Modell Erzeugung'!$D$2:$AZ$35)+SUMPRODUCT(('Modell Erzeugung'!$C$2:$C$35='Abgleich Generation'!$A43)*('Modell Erzeugung'!$D$1:$AZ$1='Abgleich Generation'!E$38)*'Modell Erzeugung'!$D$2:$AZ$35))/1000000</f>
        <v>0</v>
      </c>
      <c r="F43" s="58">
        <f>(SUMPRODUCT(('Modell Erzeugung'!$C$2:$C$35='Abgleich Generation'!$A43)*('Modell Erzeugung'!$D$1:$AZ$1='Abgleich Generation'!F$40)*'Modell Erzeugung'!$D$2:$AZ$35)+SUMPRODUCT(('Modell Erzeugung'!$C$2:$C$35='Abgleich Generation'!$A43)*('Modell Erzeugung'!$D$1:$AZ$1='Abgleich Generation'!F$39)*'Modell Erzeugung'!$D$2:$AZ$35)+SUMPRODUCT(('Modell Erzeugung'!$C$2:$C$35='Abgleich Generation'!$A43)*('Modell Erzeugung'!$D$1:$AZ$1='Abgleich Generation'!F$38)*'Modell Erzeugung'!$D$2:$AZ$35))/1000000</f>
        <v>8.1308142102999803E-2</v>
      </c>
      <c r="G43" s="58">
        <f>(SUMPRODUCT(('Modell Erzeugung'!$C$2:$C$35='Abgleich Generation'!$A43)*('Modell Erzeugung'!$D$1:$AZ$1='Abgleich Generation'!G$40)*'Modell Erzeugung'!$D$2:$AZ$35)+SUMPRODUCT(('Modell Erzeugung'!$C$2:$C$35='Abgleich Generation'!$A43)*('Modell Erzeugung'!$D$1:$AZ$1='Abgleich Generation'!G$39)*'Modell Erzeugung'!$D$2:$AZ$35)+SUMPRODUCT(('Modell Erzeugung'!$C$2:$C$35='Abgleich Generation'!$A43)*('Modell Erzeugung'!$D$1:$AZ$1='Abgleich Generation'!G$38)*'Modell Erzeugung'!$D$2:$AZ$35))/1000000</f>
        <v>0</v>
      </c>
      <c r="H43" s="58">
        <f>(SUMPRODUCT(('Modell Erzeugung'!$C$2:$C$35='Abgleich Generation'!$A43)*('Modell Erzeugung'!$D$1:$AZ$1='Abgleich Generation'!H$40)*'Modell Erzeugung'!$D$2:$AZ$35)+SUMPRODUCT(('Modell Erzeugung'!$C$2:$C$35='Abgleich Generation'!$A43)*('Modell Erzeugung'!$D$1:$AZ$1='Abgleich Generation'!H$39)*'Modell Erzeugung'!$D$2:$AZ$35)+SUMPRODUCT(('Modell Erzeugung'!$C$2:$C$35='Abgleich Generation'!$A43)*('Modell Erzeugung'!$D$1:$AZ$1='Abgleich Generation'!H$38)*'Modell Erzeugung'!$D$2:$AZ$35))/1000000</f>
        <v>0</v>
      </c>
      <c r="I43" s="58">
        <f>(SUMPRODUCT(('Modell Erzeugung'!$C$2:$C$35='Abgleich Generation'!$A43)*('Modell Erzeugung'!$D$1:$AZ$1='Abgleich Generation'!I$40)*'Modell Erzeugung'!$D$2:$AZ$35)+SUMPRODUCT(('Modell Erzeugung'!$C$2:$C$35='Abgleich Generation'!$A43)*('Modell Erzeugung'!$D$1:$AZ$1='Abgleich Generation'!I$39)*'Modell Erzeugung'!$D$2:$AZ$35)+SUMPRODUCT(('Modell Erzeugung'!$C$2:$C$35='Abgleich Generation'!$A43)*('Modell Erzeugung'!$D$1:$AZ$1='Abgleich Generation'!I$38)*'Modell Erzeugung'!$D$2:$AZ$35))/1000000</f>
        <v>0</v>
      </c>
      <c r="J43" s="58">
        <f>(SUMPRODUCT(('Modell Erzeugung'!$C$2:$C$35='Abgleich Generation'!$A43)*('Modell Erzeugung'!$D$1:$AZ$1='Abgleich Generation'!J$40)*'Modell Erzeugung'!$D$2:$AZ$35)+SUMPRODUCT(('Modell Erzeugung'!$C$2:$C$35='Abgleich Generation'!$A43)*('Modell Erzeugung'!$D$1:$AZ$1='Abgleich Generation'!J$39)*'Modell Erzeugung'!$D$2:$AZ$35)+SUMPRODUCT(('Modell Erzeugung'!$C$2:$C$35='Abgleich Generation'!$A43)*('Modell Erzeugung'!$D$1:$AZ$1='Abgleich Generation'!J$38)*'Modell Erzeugung'!$D$2:$AZ$35))/1000000</f>
        <v>3.0987334033999999E-2</v>
      </c>
      <c r="K43" s="59">
        <f>SUM(L43:U43)</f>
        <v>4.38014585717701</v>
      </c>
      <c r="L43" s="58">
        <f>(SUMPRODUCT(('Modell Erzeugung'!$C$2:$C$35='Abgleich Generation'!$A43)*('Modell Erzeugung'!$D$1:$AZ$1='Abgleich Generation'!L$40)*'Modell Erzeugung'!$D$2:$AZ$35)+SUMPRODUCT(('Modell Erzeugung'!$C$2:$C$35='Abgleich Generation'!$A43)*('Modell Erzeugung'!$D$1:$AZ$1='Abgleich Generation'!L$39)*'Modell Erzeugung'!$D$2:$AZ$35)+SUMPRODUCT(('Modell Erzeugung'!$C$2:$C$35='Abgleich Generation'!$A43)*('Modell Erzeugung'!$D$1:$AZ$1='Abgleich Generation'!L$38)*'Modell Erzeugung'!$D$2:$AZ$35))/1000000</f>
        <v>4.2370658571770097</v>
      </c>
      <c r="M43" s="58">
        <f>(SUMPRODUCT(('Modell Erzeugung'!$C$2:$C$35='Abgleich Generation'!$A43)*('Modell Erzeugung'!$D$1:$AZ$1='Abgleich Generation'!M$40)*'Modell Erzeugung'!$D$2:$AZ$35)+SUMPRODUCT(('Modell Erzeugung'!$C$2:$C$35='Abgleich Generation'!$A43)*('Modell Erzeugung'!$D$1:$AZ$1='Abgleich Generation'!M$39)*'Modell Erzeugung'!$D$2:$AZ$35)+SUMPRODUCT(('Modell Erzeugung'!$C$2:$C$35='Abgleich Generation'!$A43)*('Modell Erzeugung'!$D$1:$AZ$1='Abgleich Generation'!M$38)*'Modell Erzeugung'!$D$2:$AZ$35))/1000000</f>
        <v>0</v>
      </c>
      <c r="N43" s="58">
        <f>(SUMPRODUCT(('Modell Erzeugung'!$C$2:$C$35='Abgleich Generation'!$A43)*('Modell Erzeugung'!$D$1:$AZ$1='Abgleich Generation'!N$40)*'Modell Erzeugung'!$D$2:$AZ$35)+SUMPRODUCT(('Modell Erzeugung'!$C$2:$C$35='Abgleich Generation'!$A43)*('Modell Erzeugung'!$D$1:$AZ$1='Abgleich Generation'!N$39)*'Modell Erzeugung'!$D$2:$AZ$35)+SUMPRODUCT(('Modell Erzeugung'!$C$2:$C$35='Abgleich Generation'!$A43)*('Modell Erzeugung'!$D$1:$AZ$1='Abgleich Generation'!N$38)*'Modell Erzeugung'!$D$2:$AZ$35))/1000000</f>
        <v>0</v>
      </c>
      <c r="O43" s="58">
        <f>(SUMPRODUCT(('Modell Erzeugung'!$C$2:$C$35='Abgleich Generation'!$A43)*('Modell Erzeugung'!$D$1:$AZ$1='Abgleich Generation'!O$40)*'Modell Erzeugung'!$D$2:$AZ$35)+SUMPRODUCT(('Modell Erzeugung'!$C$2:$C$35='Abgleich Generation'!$A43)*('Modell Erzeugung'!$D$1:$AZ$1='Abgleich Generation'!O$39)*'Modell Erzeugung'!$D$2:$AZ$35)+SUMPRODUCT(('Modell Erzeugung'!$C$2:$C$35='Abgleich Generation'!$A43)*('Modell Erzeugung'!$D$1:$AZ$1='Abgleich Generation'!O$38)*'Modell Erzeugung'!$D$2:$AZ$35))/1000000</f>
        <v>0</v>
      </c>
      <c r="P43" s="58">
        <f>(SUMPRODUCT(('Modell Erzeugung'!$C$2:$C$35='Abgleich Generation'!$A43)*('Modell Erzeugung'!$D$1:$AZ$1='Abgleich Generation'!P$40)*'Modell Erzeugung'!$D$2:$AZ$35)+SUMPRODUCT(('Modell Erzeugung'!$C$2:$C$35='Abgleich Generation'!$A43)*('Modell Erzeugung'!$D$1:$AZ$1='Abgleich Generation'!P$39)*'Modell Erzeugung'!$D$2:$AZ$35)+SUMPRODUCT(('Modell Erzeugung'!$C$2:$C$35='Abgleich Generation'!$A43)*('Modell Erzeugung'!$D$1:$AZ$1='Abgleich Generation'!P$38)*'Modell Erzeugung'!$D$2:$AZ$35))/1000000</f>
        <v>0</v>
      </c>
      <c r="Q43" s="58">
        <f>(SUMPRODUCT(('Modell Erzeugung'!$C$2:$C$35='Abgleich Generation'!$A43)*('Modell Erzeugung'!$D$1:$AZ$1='Abgleich Generation'!Q$40)*'Modell Erzeugung'!$D$2:$AZ$35)+SUMPRODUCT(('Modell Erzeugung'!$C$2:$C$35='Abgleich Generation'!$A43)*('Modell Erzeugung'!$D$1:$AZ$1='Abgleich Generation'!Q$39)*'Modell Erzeugung'!$D$2:$AZ$35)+SUMPRODUCT(('Modell Erzeugung'!$C$2:$C$35='Abgleich Generation'!$A43)*('Modell Erzeugung'!$D$1:$AZ$1='Abgleich Generation'!Q$38)*'Modell Erzeugung'!$D$2:$AZ$35))/1000000</f>
        <v>0</v>
      </c>
      <c r="R43" s="58">
        <f>(SUMPRODUCT(('Modell Erzeugung'!$C$2:$C$35='Abgleich Generation'!$A43)*('Modell Erzeugung'!$D$1:$AZ$1='Abgleich Generation'!R$40)*'Modell Erzeugung'!$D$2:$AZ$35)+SUMPRODUCT(('Modell Erzeugung'!$C$2:$C$35='Abgleich Generation'!$A43)*('Modell Erzeugung'!$D$1:$AZ$1='Abgleich Generation'!R$39)*'Modell Erzeugung'!$D$2:$AZ$35)+SUMPRODUCT(('Modell Erzeugung'!$C$2:$C$35='Abgleich Generation'!$A43)*('Modell Erzeugung'!$D$1:$AZ$1='Abgleich Generation'!R$38)*'Modell Erzeugung'!$D$2:$AZ$35))/1000000</f>
        <v>0.14308000000000001</v>
      </c>
      <c r="S43" s="58">
        <f>(SUMPRODUCT(('Modell Erzeugung'!$C$2:$C$35='Abgleich Generation'!$A43)*('Modell Erzeugung'!$D$1:$AZ$1='Abgleich Generation'!S$40)*'Modell Erzeugung'!$D$2:$AZ$35)+SUMPRODUCT(('Modell Erzeugung'!$C$2:$C$35='Abgleich Generation'!$A43)*('Modell Erzeugung'!$D$1:$AZ$1='Abgleich Generation'!S$39)*'Modell Erzeugung'!$D$2:$AZ$35)+SUMPRODUCT(('Modell Erzeugung'!$C$2:$C$35='Abgleich Generation'!$A43)*('Modell Erzeugung'!$D$1:$AZ$1='Abgleich Generation'!S$38)*'Modell Erzeugung'!$D$2:$AZ$35))/1000000</f>
        <v>0</v>
      </c>
      <c r="T43" s="58">
        <f>(SUMPRODUCT(('Modell Erzeugung'!$C$2:$C$35='Abgleich Generation'!$A43)*('Modell Erzeugung'!$D$1:$AZ$1='Abgleich Generation'!T$40)*'Modell Erzeugung'!$D$2:$AZ$35)+SUMPRODUCT(('Modell Erzeugung'!$C$2:$C$35='Abgleich Generation'!$A43)*('Modell Erzeugung'!$D$1:$AZ$1='Abgleich Generation'!T$39)*'Modell Erzeugung'!$D$2:$AZ$35)+SUMPRODUCT(('Modell Erzeugung'!$C$2:$C$35='Abgleich Generation'!$A43)*('Modell Erzeugung'!$D$1:$AZ$1='Abgleich Generation'!T$38)*'Modell Erzeugung'!$D$2:$AZ$35))/1000000</f>
        <v>0</v>
      </c>
      <c r="U43" s="58">
        <f>(SUMPRODUCT(('Modell Erzeugung'!$C$2:$C$35='Abgleich Generation'!$A43)*('Modell Erzeugung'!$D$1:$AZ$1='Abgleich Generation'!U$40)*'Modell Erzeugung'!$D$2:$AZ$35)+SUMPRODUCT(('Modell Erzeugung'!$C$2:$C$35='Abgleich Generation'!$A43)*('Modell Erzeugung'!$D$1:$AZ$1='Abgleich Generation'!U$39)*'Modell Erzeugung'!$D$2:$AZ$35)+SUMPRODUCT(('Modell Erzeugung'!$C$2:$C$35='Abgleich Generation'!$A43)*('Modell Erzeugung'!$D$1:$AZ$1='Abgleich Generation'!U$38)*'Modell Erzeugung'!$D$2:$AZ$35))/1000000</f>
        <v>0</v>
      </c>
      <c r="V43" s="59">
        <f>K43+B43</f>
        <v>4.4924413333140096</v>
      </c>
      <c r="W43" s="60"/>
      <c r="X43" s="61">
        <f>V43+Y43</f>
        <v>7.0964984434620098</v>
      </c>
      <c r="Y43" s="61">
        <f>(SUMPRODUCT(('Modell Erzeugung'!$C$2:$C$35='Abgleich Generation'!$A43)*('Modell Erzeugung'!$D$1:$AZ$1='Abgleich Generation'!Y$40)*'Modell Erzeugung'!$D$2:$AZ$35)+SUMPRODUCT(('Modell Erzeugung'!$C$2:$C$35='Abgleich Generation'!$A43)*('Modell Erzeugung'!$D$1:$AZ$1='Abgleich Generation'!Y$39)*'Modell Erzeugung'!$D$2:$AZ$35))/1000000</f>
        <v>2.6040571101480001</v>
      </c>
    </row>
    <row r="44" spans="1:49" x14ac:dyDescent="0.25">
      <c r="A44" s="14" t="s">
        <v>11</v>
      </c>
      <c r="B44" s="25">
        <f t="shared" ref="B44:B72" si="53">SUM(C44:D44)</f>
        <v>10.343463542842001</v>
      </c>
      <c r="C44" s="26">
        <f>(SUMPRODUCT(('Modell Erzeugung'!$C$2:$C$35='Abgleich Generation'!$A44)*('Modell Erzeugung'!$D$1:$AZ$1='Abgleich Generation'!C$40)*'Modell Erzeugung'!$D$2:$AZ$35)+SUMPRODUCT(('Modell Erzeugung'!$C$2:$C$35='Abgleich Generation'!$A44)*('Modell Erzeugung'!$D$1:$AZ$1='Abgleich Generation'!C$39)*'Modell Erzeugung'!$D$2:$AZ$35)+SUMPRODUCT(('Modell Erzeugung'!$C$2:$C$35='Abgleich Generation'!$A44)*('Modell Erzeugung'!$D$1:$AZ$1='Abgleich Generation'!C$38)*'Modell Erzeugung'!$D$2:$AZ$35))/1000000</f>
        <v>0</v>
      </c>
      <c r="D44" s="26">
        <f t="shared" ref="D44:D72" si="54">SUM(E44:J44)</f>
        <v>10.343463542842001</v>
      </c>
      <c r="E44" s="26">
        <f>(SUMPRODUCT(('Modell Erzeugung'!$C$2:$C$35='Abgleich Generation'!$A44)*('Modell Erzeugung'!$D$1:$AZ$1='Abgleich Generation'!E$40)*'Modell Erzeugung'!$D$2:$AZ$35)+SUMPRODUCT(('Modell Erzeugung'!$C$2:$C$35='Abgleich Generation'!$A44)*('Modell Erzeugung'!$D$1:$AZ$1='Abgleich Generation'!E$39)*'Modell Erzeugung'!$D$2:$AZ$35)+SUMPRODUCT(('Modell Erzeugung'!$C$2:$C$35='Abgleich Generation'!$A44)*('Modell Erzeugung'!$D$1:$AZ$1='Abgleich Generation'!E$38)*'Modell Erzeugung'!$D$2:$AZ$35))/1000000</f>
        <v>0</v>
      </c>
      <c r="F44" s="26">
        <f>(SUMPRODUCT(('Modell Erzeugung'!$C$2:$C$35='Abgleich Generation'!$A44)*('Modell Erzeugung'!$D$1:$AZ$1='Abgleich Generation'!F$40)*'Modell Erzeugung'!$D$2:$AZ$35)+SUMPRODUCT(('Modell Erzeugung'!$C$2:$C$35='Abgleich Generation'!$A44)*('Modell Erzeugung'!$D$1:$AZ$1='Abgleich Generation'!F$39)*'Modell Erzeugung'!$D$2:$AZ$35)+SUMPRODUCT(('Modell Erzeugung'!$C$2:$C$35='Abgleich Generation'!$A44)*('Modell Erzeugung'!$D$1:$AZ$1='Abgleich Generation'!F$38)*'Modell Erzeugung'!$D$2:$AZ$35))/1000000</f>
        <v>8.0766389437269908</v>
      </c>
      <c r="G44" s="26">
        <f>(SUMPRODUCT(('Modell Erzeugung'!$C$2:$C$35='Abgleich Generation'!$A44)*('Modell Erzeugung'!$D$1:$AZ$1='Abgleich Generation'!G$40)*'Modell Erzeugung'!$D$2:$AZ$35)+SUMPRODUCT(('Modell Erzeugung'!$C$2:$C$35='Abgleich Generation'!$A44)*('Modell Erzeugung'!$D$1:$AZ$1='Abgleich Generation'!G$39)*'Modell Erzeugung'!$D$2:$AZ$35)+SUMPRODUCT(('Modell Erzeugung'!$C$2:$C$35='Abgleich Generation'!$A44)*('Modell Erzeugung'!$D$1:$AZ$1='Abgleich Generation'!G$38)*'Modell Erzeugung'!$D$2:$AZ$35))/1000000</f>
        <v>2.2667349411150099</v>
      </c>
      <c r="H44" s="26">
        <f>(SUMPRODUCT(('Modell Erzeugung'!$C$2:$C$35='Abgleich Generation'!$A44)*('Modell Erzeugung'!$D$1:$AZ$1='Abgleich Generation'!H$40)*'Modell Erzeugung'!$D$2:$AZ$35)+SUMPRODUCT(('Modell Erzeugung'!$C$2:$C$35='Abgleich Generation'!$A44)*('Modell Erzeugung'!$D$1:$AZ$1='Abgleich Generation'!H$39)*'Modell Erzeugung'!$D$2:$AZ$35)+SUMPRODUCT(('Modell Erzeugung'!$C$2:$C$35='Abgleich Generation'!$A44)*('Modell Erzeugung'!$D$1:$AZ$1='Abgleich Generation'!H$38)*'Modell Erzeugung'!$D$2:$AZ$35))/1000000</f>
        <v>0</v>
      </c>
      <c r="I44" s="26">
        <f>(SUMPRODUCT(('Modell Erzeugung'!$C$2:$C$35='Abgleich Generation'!$A44)*('Modell Erzeugung'!$D$1:$AZ$1='Abgleich Generation'!I$40)*'Modell Erzeugung'!$D$2:$AZ$35)+SUMPRODUCT(('Modell Erzeugung'!$C$2:$C$35='Abgleich Generation'!$A44)*('Modell Erzeugung'!$D$1:$AZ$1='Abgleich Generation'!I$39)*'Modell Erzeugung'!$D$2:$AZ$35)+SUMPRODUCT(('Modell Erzeugung'!$C$2:$C$35='Abgleich Generation'!$A44)*('Modell Erzeugung'!$D$1:$AZ$1='Abgleich Generation'!I$38)*'Modell Erzeugung'!$D$2:$AZ$35))/1000000</f>
        <v>0</v>
      </c>
      <c r="J44" s="26">
        <f>(SUMPRODUCT(('Modell Erzeugung'!$C$2:$C$35='Abgleich Generation'!$A44)*('Modell Erzeugung'!$D$1:$AZ$1='Abgleich Generation'!J$40)*'Modell Erzeugung'!$D$2:$AZ$35)+SUMPRODUCT(('Modell Erzeugung'!$C$2:$C$35='Abgleich Generation'!$A44)*('Modell Erzeugung'!$D$1:$AZ$1='Abgleich Generation'!J$39)*'Modell Erzeugung'!$D$2:$AZ$35)+SUMPRODUCT(('Modell Erzeugung'!$C$2:$C$35='Abgleich Generation'!$A44)*('Modell Erzeugung'!$D$1:$AZ$1='Abgleich Generation'!J$38)*'Modell Erzeugung'!$D$2:$AZ$35))/1000000</f>
        <v>8.9658000000000001E-5</v>
      </c>
      <c r="K44" s="27">
        <f>SUM(L44:U44)</f>
        <v>56.422126175928</v>
      </c>
      <c r="L44" s="26">
        <f>(SUMPRODUCT(('Modell Erzeugung'!$C$2:$C$35='Abgleich Generation'!$A44)*('Modell Erzeugung'!$D$1:$AZ$1='Abgleich Generation'!L$40)*'Modell Erzeugung'!$D$2:$AZ$35)+SUMPRODUCT(('Modell Erzeugung'!$C$2:$C$35='Abgleich Generation'!$A44)*('Modell Erzeugung'!$D$1:$AZ$1='Abgleich Generation'!L$39)*'Modell Erzeugung'!$D$2:$AZ$35)+SUMPRODUCT(('Modell Erzeugung'!$C$2:$C$35='Abgleich Generation'!$A44)*('Modell Erzeugung'!$D$1:$AZ$1='Abgleich Generation'!L$38)*'Modell Erzeugung'!$D$2:$AZ$35))/1000000</f>
        <v>46.639630524704998</v>
      </c>
      <c r="M44" s="26">
        <f>(SUMPRODUCT(('Modell Erzeugung'!$C$2:$C$35='Abgleich Generation'!$A44)*('Modell Erzeugung'!$D$1:$AZ$1='Abgleich Generation'!M$40)*'Modell Erzeugung'!$D$2:$AZ$35)+SUMPRODUCT(('Modell Erzeugung'!$C$2:$C$35='Abgleich Generation'!$A44)*('Modell Erzeugung'!$D$1:$AZ$1='Abgleich Generation'!M$39)*'Modell Erzeugung'!$D$2:$AZ$35)+SUMPRODUCT(('Modell Erzeugung'!$C$2:$C$35='Abgleich Generation'!$A44)*('Modell Erzeugung'!$D$1:$AZ$1='Abgleich Generation'!M$38)*'Modell Erzeugung'!$D$2:$AZ$35))/1000000</f>
        <v>0</v>
      </c>
      <c r="N44" s="26">
        <f>(SUMPRODUCT(('Modell Erzeugung'!$C$2:$C$35='Abgleich Generation'!$A44)*('Modell Erzeugung'!$D$1:$AZ$1='Abgleich Generation'!N$40)*'Modell Erzeugung'!$D$2:$AZ$35)+SUMPRODUCT(('Modell Erzeugung'!$C$2:$C$35='Abgleich Generation'!$A44)*('Modell Erzeugung'!$D$1:$AZ$1='Abgleich Generation'!N$39)*'Modell Erzeugung'!$D$2:$AZ$35)+SUMPRODUCT(('Modell Erzeugung'!$C$2:$C$35='Abgleich Generation'!$A44)*('Modell Erzeugung'!$D$1:$AZ$1='Abgleich Generation'!N$38)*'Modell Erzeugung'!$D$2:$AZ$35))/1000000</f>
        <v>0</v>
      </c>
      <c r="O44" s="26">
        <f>(SUMPRODUCT(('Modell Erzeugung'!$C$2:$C$35='Abgleich Generation'!$A44)*('Modell Erzeugung'!$D$1:$AZ$1='Abgleich Generation'!O$40)*'Modell Erzeugung'!$D$2:$AZ$35)+SUMPRODUCT(('Modell Erzeugung'!$C$2:$C$35='Abgleich Generation'!$A44)*('Modell Erzeugung'!$D$1:$AZ$1='Abgleich Generation'!O$39)*'Modell Erzeugung'!$D$2:$AZ$35)+SUMPRODUCT(('Modell Erzeugung'!$C$2:$C$35='Abgleich Generation'!$A44)*('Modell Erzeugung'!$D$1:$AZ$1='Abgleich Generation'!O$38)*'Modell Erzeugung'!$D$2:$AZ$35))/1000000</f>
        <v>4.1368585658540002</v>
      </c>
      <c r="P44" s="26">
        <f>(SUMPRODUCT(('Modell Erzeugung'!$C$2:$C$35='Abgleich Generation'!$A44)*('Modell Erzeugung'!$D$1:$AZ$1='Abgleich Generation'!P$40)*'Modell Erzeugung'!$D$2:$AZ$35)+SUMPRODUCT(('Modell Erzeugung'!$C$2:$C$35='Abgleich Generation'!$A44)*('Modell Erzeugung'!$D$1:$AZ$1='Abgleich Generation'!P$39)*'Modell Erzeugung'!$D$2:$AZ$35)+SUMPRODUCT(('Modell Erzeugung'!$C$2:$C$35='Abgleich Generation'!$A44)*('Modell Erzeugung'!$D$1:$AZ$1='Abgleich Generation'!P$38)*'Modell Erzeugung'!$D$2:$AZ$35))/1000000</f>
        <v>1.153412374969</v>
      </c>
      <c r="Q44" s="26">
        <f>(SUMPRODUCT(('Modell Erzeugung'!$C$2:$C$35='Abgleich Generation'!$A44)*('Modell Erzeugung'!$D$1:$AZ$1='Abgleich Generation'!Q$40)*'Modell Erzeugung'!$D$2:$AZ$35)+SUMPRODUCT(('Modell Erzeugung'!$C$2:$C$35='Abgleich Generation'!$A44)*('Modell Erzeugung'!$D$1:$AZ$1='Abgleich Generation'!Q$39)*'Modell Erzeugung'!$D$2:$AZ$35)+SUMPRODUCT(('Modell Erzeugung'!$C$2:$C$35='Abgleich Generation'!$A44)*('Modell Erzeugung'!$D$1:$AZ$1='Abgleich Generation'!Q$38)*'Modell Erzeugung'!$D$2:$AZ$35))/1000000</f>
        <v>0</v>
      </c>
      <c r="R44" s="26">
        <f>(SUMPRODUCT(('Modell Erzeugung'!$C$2:$C$35='Abgleich Generation'!$A44)*('Modell Erzeugung'!$D$1:$AZ$1='Abgleich Generation'!R$40)*'Modell Erzeugung'!$D$2:$AZ$35)+SUMPRODUCT(('Modell Erzeugung'!$C$2:$C$35='Abgleich Generation'!$A44)*('Modell Erzeugung'!$D$1:$AZ$1='Abgleich Generation'!R$39)*'Modell Erzeugung'!$D$2:$AZ$35)+SUMPRODUCT(('Modell Erzeugung'!$C$2:$C$35='Abgleich Generation'!$A44)*('Modell Erzeugung'!$D$1:$AZ$1='Abgleich Generation'!R$38)*'Modell Erzeugung'!$D$2:$AZ$35))/1000000</f>
        <v>4.4922247104000004</v>
      </c>
      <c r="S44" s="26">
        <f>(SUMPRODUCT(('Modell Erzeugung'!$C$2:$C$35='Abgleich Generation'!$A44)*('Modell Erzeugung'!$D$1:$AZ$1='Abgleich Generation'!S$40)*'Modell Erzeugung'!$D$2:$AZ$35)+SUMPRODUCT(('Modell Erzeugung'!$C$2:$C$35='Abgleich Generation'!$A44)*('Modell Erzeugung'!$D$1:$AZ$1='Abgleich Generation'!S$39)*'Modell Erzeugung'!$D$2:$AZ$35)+SUMPRODUCT(('Modell Erzeugung'!$C$2:$C$35='Abgleich Generation'!$A44)*('Modell Erzeugung'!$D$1:$AZ$1='Abgleich Generation'!S$38)*'Modell Erzeugung'!$D$2:$AZ$35))/1000000</f>
        <v>0</v>
      </c>
      <c r="T44" s="26">
        <f>(SUMPRODUCT(('Modell Erzeugung'!$C$2:$C$35='Abgleich Generation'!$A44)*('Modell Erzeugung'!$D$1:$AZ$1='Abgleich Generation'!T$40)*'Modell Erzeugung'!$D$2:$AZ$35)+SUMPRODUCT(('Modell Erzeugung'!$C$2:$C$35='Abgleich Generation'!$A44)*('Modell Erzeugung'!$D$1:$AZ$1='Abgleich Generation'!T$39)*'Modell Erzeugung'!$D$2:$AZ$35)+SUMPRODUCT(('Modell Erzeugung'!$C$2:$C$35='Abgleich Generation'!$A44)*('Modell Erzeugung'!$D$1:$AZ$1='Abgleich Generation'!T$38)*'Modell Erzeugung'!$D$2:$AZ$35))/1000000</f>
        <v>0</v>
      </c>
      <c r="U44" s="26">
        <f>(SUMPRODUCT(('Modell Erzeugung'!$C$2:$C$35='Abgleich Generation'!$A44)*('Modell Erzeugung'!$D$1:$AZ$1='Abgleich Generation'!U$40)*'Modell Erzeugung'!$D$2:$AZ$35)+SUMPRODUCT(('Modell Erzeugung'!$C$2:$C$35='Abgleich Generation'!$A44)*('Modell Erzeugung'!$D$1:$AZ$1='Abgleich Generation'!U$39)*'Modell Erzeugung'!$D$2:$AZ$35)+SUMPRODUCT(('Modell Erzeugung'!$C$2:$C$35='Abgleich Generation'!$A44)*('Modell Erzeugung'!$D$1:$AZ$1='Abgleich Generation'!U$38)*'Modell Erzeugung'!$D$2:$AZ$35))/1000000</f>
        <v>0</v>
      </c>
      <c r="V44" s="27">
        <f>K44+B44</f>
        <v>66.765589718770002</v>
      </c>
      <c r="W44" s="28"/>
      <c r="X44" s="29">
        <f t="shared" ref="X44:X72" si="55">V44+Y44</f>
        <v>74.430237845169486</v>
      </c>
      <c r="Y44" s="29">
        <f>(SUMPRODUCT(('Modell Erzeugung'!$C$2:$C$35='Abgleich Generation'!$A44)*('Modell Erzeugung'!$D$1:$AZ$1='Abgleich Generation'!Y$40)*'Modell Erzeugung'!$D$2:$AZ$35)+SUMPRODUCT(('Modell Erzeugung'!$C$2:$C$35='Abgleich Generation'!$A44)*('Modell Erzeugung'!$D$1:$AZ$1='Abgleich Generation'!Y$39)*'Modell Erzeugung'!$D$2:$AZ$35))/1000000</f>
        <v>7.6646481263994799</v>
      </c>
    </row>
    <row r="45" spans="1:49" x14ac:dyDescent="0.25">
      <c r="A45" s="14" t="s">
        <v>12</v>
      </c>
      <c r="B45" s="57">
        <f t="shared" si="53"/>
        <v>8.7759978048929792</v>
      </c>
      <c r="C45" s="58">
        <f>(SUMPRODUCT(('Modell Erzeugung'!$C$2:$C$35='Abgleich Generation'!$A45)*('Modell Erzeugung'!$D$1:$AZ$1='Abgleich Generation'!C$40)*'Modell Erzeugung'!$D$2:$AZ$35)+SUMPRODUCT(('Modell Erzeugung'!$C$2:$C$35='Abgleich Generation'!$A45)*('Modell Erzeugung'!$D$1:$AZ$1='Abgleich Generation'!C$39)*'Modell Erzeugung'!$D$2:$AZ$35)+SUMPRODUCT(('Modell Erzeugung'!$C$2:$C$35='Abgleich Generation'!$A45)*('Modell Erzeugung'!$D$1:$AZ$1='Abgleich Generation'!C$38)*'Modell Erzeugung'!$D$2:$AZ$35))/1000000</f>
        <v>0</v>
      </c>
      <c r="D45" s="58">
        <f t="shared" si="54"/>
        <v>8.7759978048929792</v>
      </c>
      <c r="E45" s="58">
        <f>(SUMPRODUCT(('Modell Erzeugung'!$C$2:$C$35='Abgleich Generation'!$A45)*('Modell Erzeugung'!$D$1:$AZ$1='Abgleich Generation'!E$40)*'Modell Erzeugung'!$D$2:$AZ$35)+SUMPRODUCT(('Modell Erzeugung'!$C$2:$C$35='Abgleich Generation'!$A45)*('Modell Erzeugung'!$D$1:$AZ$1='Abgleich Generation'!E$39)*'Modell Erzeugung'!$D$2:$AZ$35)+SUMPRODUCT(('Modell Erzeugung'!$C$2:$C$35='Abgleich Generation'!$A45)*('Modell Erzeugung'!$D$1:$AZ$1='Abgleich Generation'!E$38)*'Modell Erzeugung'!$D$2:$AZ$35))/1000000</f>
        <v>8.7759978048929792</v>
      </c>
      <c r="F45" s="58">
        <f>(SUMPRODUCT(('Modell Erzeugung'!$C$2:$C$35='Abgleich Generation'!$A45)*('Modell Erzeugung'!$D$1:$AZ$1='Abgleich Generation'!F$40)*'Modell Erzeugung'!$D$2:$AZ$35)+SUMPRODUCT(('Modell Erzeugung'!$C$2:$C$35='Abgleich Generation'!$A45)*('Modell Erzeugung'!$D$1:$AZ$1='Abgleich Generation'!F$39)*'Modell Erzeugung'!$D$2:$AZ$35)+SUMPRODUCT(('Modell Erzeugung'!$C$2:$C$35='Abgleich Generation'!$A45)*('Modell Erzeugung'!$D$1:$AZ$1='Abgleich Generation'!F$38)*'Modell Erzeugung'!$D$2:$AZ$35))/1000000</f>
        <v>0</v>
      </c>
      <c r="G45" s="58">
        <f>(SUMPRODUCT(('Modell Erzeugung'!$C$2:$C$35='Abgleich Generation'!$A45)*('Modell Erzeugung'!$D$1:$AZ$1='Abgleich Generation'!G$40)*'Modell Erzeugung'!$D$2:$AZ$35)+SUMPRODUCT(('Modell Erzeugung'!$C$2:$C$35='Abgleich Generation'!$A45)*('Modell Erzeugung'!$D$1:$AZ$1='Abgleich Generation'!G$39)*'Modell Erzeugung'!$D$2:$AZ$35)+SUMPRODUCT(('Modell Erzeugung'!$C$2:$C$35='Abgleich Generation'!$A45)*('Modell Erzeugung'!$D$1:$AZ$1='Abgleich Generation'!G$38)*'Modell Erzeugung'!$D$2:$AZ$35))/1000000</f>
        <v>0</v>
      </c>
      <c r="H45" s="58">
        <f>(SUMPRODUCT(('Modell Erzeugung'!$C$2:$C$35='Abgleich Generation'!$A45)*('Modell Erzeugung'!$D$1:$AZ$1='Abgleich Generation'!H$40)*'Modell Erzeugung'!$D$2:$AZ$35)+SUMPRODUCT(('Modell Erzeugung'!$C$2:$C$35='Abgleich Generation'!$A45)*('Modell Erzeugung'!$D$1:$AZ$1='Abgleich Generation'!H$39)*'Modell Erzeugung'!$D$2:$AZ$35)+SUMPRODUCT(('Modell Erzeugung'!$C$2:$C$35='Abgleich Generation'!$A45)*('Modell Erzeugung'!$D$1:$AZ$1='Abgleich Generation'!H$38)*'Modell Erzeugung'!$D$2:$AZ$35))/1000000</f>
        <v>0</v>
      </c>
      <c r="I45" s="58">
        <f>(SUMPRODUCT(('Modell Erzeugung'!$C$2:$C$35='Abgleich Generation'!$A45)*('Modell Erzeugung'!$D$1:$AZ$1='Abgleich Generation'!I$40)*'Modell Erzeugung'!$D$2:$AZ$35)+SUMPRODUCT(('Modell Erzeugung'!$C$2:$C$35='Abgleich Generation'!$A45)*('Modell Erzeugung'!$D$1:$AZ$1='Abgleich Generation'!I$39)*'Modell Erzeugung'!$D$2:$AZ$35)+SUMPRODUCT(('Modell Erzeugung'!$C$2:$C$35='Abgleich Generation'!$A45)*('Modell Erzeugung'!$D$1:$AZ$1='Abgleich Generation'!I$38)*'Modell Erzeugung'!$D$2:$AZ$35))/1000000</f>
        <v>0</v>
      </c>
      <c r="J45" s="58">
        <f>(SUMPRODUCT(('Modell Erzeugung'!$C$2:$C$35='Abgleich Generation'!$A45)*('Modell Erzeugung'!$D$1:$AZ$1='Abgleich Generation'!J$40)*'Modell Erzeugung'!$D$2:$AZ$35)+SUMPRODUCT(('Modell Erzeugung'!$C$2:$C$35='Abgleich Generation'!$A45)*('Modell Erzeugung'!$D$1:$AZ$1='Abgleich Generation'!J$39)*'Modell Erzeugung'!$D$2:$AZ$35)+SUMPRODUCT(('Modell Erzeugung'!$C$2:$C$35='Abgleich Generation'!$A45)*('Modell Erzeugung'!$D$1:$AZ$1='Abgleich Generation'!J$38)*'Modell Erzeugung'!$D$2:$AZ$35))/1000000</f>
        <v>0</v>
      </c>
      <c r="K45" s="59">
        <f t="shared" ref="K45:K58" si="56">SUM(L45:U45)</f>
        <v>10.852529795104001</v>
      </c>
      <c r="L45" s="58">
        <f>(SUMPRODUCT(('Modell Erzeugung'!$C$2:$C$35='Abgleich Generation'!$A45)*('Modell Erzeugung'!$D$1:$AZ$1='Abgleich Generation'!L$40)*'Modell Erzeugung'!$D$2:$AZ$35)+SUMPRODUCT(('Modell Erzeugung'!$C$2:$C$35='Abgleich Generation'!$A45)*('Modell Erzeugung'!$D$1:$AZ$1='Abgleich Generation'!L$39)*'Modell Erzeugung'!$D$2:$AZ$35)+SUMPRODUCT(('Modell Erzeugung'!$C$2:$C$35='Abgleich Generation'!$A45)*('Modell Erzeugung'!$D$1:$AZ$1='Abgleich Generation'!L$38)*'Modell Erzeugung'!$D$2:$AZ$35))/1000000</f>
        <v>10.503289552009999</v>
      </c>
      <c r="M45" s="58">
        <f>(SUMPRODUCT(('Modell Erzeugung'!$C$2:$C$35='Abgleich Generation'!$A45)*('Modell Erzeugung'!$D$1:$AZ$1='Abgleich Generation'!M$40)*'Modell Erzeugung'!$D$2:$AZ$35)+SUMPRODUCT(('Modell Erzeugung'!$C$2:$C$35='Abgleich Generation'!$A45)*('Modell Erzeugung'!$D$1:$AZ$1='Abgleich Generation'!M$39)*'Modell Erzeugung'!$D$2:$AZ$35)+SUMPRODUCT(('Modell Erzeugung'!$C$2:$C$35='Abgleich Generation'!$A45)*('Modell Erzeugung'!$D$1:$AZ$1='Abgleich Generation'!M$38)*'Modell Erzeugung'!$D$2:$AZ$35))/1000000</f>
        <v>0</v>
      </c>
      <c r="N45" s="58">
        <f>(SUMPRODUCT(('Modell Erzeugung'!$C$2:$C$35='Abgleich Generation'!$A45)*('Modell Erzeugung'!$D$1:$AZ$1='Abgleich Generation'!N$40)*'Modell Erzeugung'!$D$2:$AZ$35)+SUMPRODUCT(('Modell Erzeugung'!$C$2:$C$35='Abgleich Generation'!$A45)*('Modell Erzeugung'!$D$1:$AZ$1='Abgleich Generation'!N$39)*'Modell Erzeugung'!$D$2:$AZ$35)+SUMPRODUCT(('Modell Erzeugung'!$C$2:$C$35='Abgleich Generation'!$A45)*('Modell Erzeugung'!$D$1:$AZ$1='Abgleich Generation'!N$38)*'Modell Erzeugung'!$D$2:$AZ$35))/1000000</f>
        <v>0</v>
      </c>
      <c r="O45" s="58">
        <f>(SUMPRODUCT(('Modell Erzeugung'!$C$2:$C$35='Abgleich Generation'!$A45)*('Modell Erzeugung'!$D$1:$AZ$1='Abgleich Generation'!O$40)*'Modell Erzeugung'!$D$2:$AZ$35)+SUMPRODUCT(('Modell Erzeugung'!$C$2:$C$35='Abgleich Generation'!$A45)*('Modell Erzeugung'!$D$1:$AZ$1='Abgleich Generation'!O$39)*'Modell Erzeugung'!$D$2:$AZ$35)+SUMPRODUCT(('Modell Erzeugung'!$C$2:$C$35='Abgleich Generation'!$A45)*('Modell Erzeugung'!$D$1:$AZ$1='Abgleich Generation'!O$38)*'Modell Erzeugung'!$D$2:$AZ$35))/1000000</f>
        <v>0.33453478923800001</v>
      </c>
      <c r="P45" s="58">
        <f>(SUMPRODUCT(('Modell Erzeugung'!$C$2:$C$35='Abgleich Generation'!$A45)*('Modell Erzeugung'!$D$1:$AZ$1='Abgleich Generation'!P$40)*'Modell Erzeugung'!$D$2:$AZ$35)+SUMPRODUCT(('Modell Erzeugung'!$C$2:$C$35='Abgleich Generation'!$A45)*('Modell Erzeugung'!$D$1:$AZ$1='Abgleich Generation'!P$39)*'Modell Erzeugung'!$D$2:$AZ$35)+SUMPRODUCT(('Modell Erzeugung'!$C$2:$C$35='Abgleich Generation'!$A45)*('Modell Erzeugung'!$D$1:$AZ$1='Abgleich Generation'!P$38)*'Modell Erzeugung'!$D$2:$AZ$35))/1000000</f>
        <v>7.2727274459999996E-3</v>
      </c>
      <c r="Q45" s="58">
        <f>(SUMPRODUCT(('Modell Erzeugung'!$C$2:$C$35='Abgleich Generation'!$A45)*('Modell Erzeugung'!$D$1:$AZ$1='Abgleich Generation'!Q$40)*'Modell Erzeugung'!$D$2:$AZ$35)+SUMPRODUCT(('Modell Erzeugung'!$C$2:$C$35='Abgleich Generation'!$A45)*('Modell Erzeugung'!$D$1:$AZ$1='Abgleich Generation'!Q$39)*'Modell Erzeugung'!$D$2:$AZ$35)+SUMPRODUCT(('Modell Erzeugung'!$C$2:$C$35='Abgleich Generation'!$A45)*('Modell Erzeugung'!$D$1:$AZ$1='Abgleich Generation'!Q$38)*'Modell Erzeugung'!$D$2:$AZ$35))/1000000</f>
        <v>0</v>
      </c>
      <c r="R45" s="58">
        <f>(SUMPRODUCT(('Modell Erzeugung'!$C$2:$C$35='Abgleich Generation'!$A45)*('Modell Erzeugung'!$D$1:$AZ$1='Abgleich Generation'!R$40)*'Modell Erzeugung'!$D$2:$AZ$35)+SUMPRODUCT(('Modell Erzeugung'!$C$2:$C$35='Abgleich Generation'!$A45)*('Modell Erzeugung'!$D$1:$AZ$1='Abgleich Generation'!R$39)*'Modell Erzeugung'!$D$2:$AZ$35)+SUMPRODUCT(('Modell Erzeugung'!$C$2:$C$35='Abgleich Generation'!$A45)*('Modell Erzeugung'!$D$1:$AZ$1='Abgleich Generation'!R$38)*'Modell Erzeugung'!$D$2:$AZ$35))/1000000</f>
        <v>7.4327264100000102E-3</v>
      </c>
      <c r="S45" s="58">
        <f>(SUMPRODUCT(('Modell Erzeugung'!$C$2:$C$35='Abgleich Generation'!$A45)*('Modell Erzeugung'!$D$1:$AZ$1='Abgleich Generation'!S$40)*'Modell Erzeugung'!$D$2:$AZ$35)+SUMPRODUCT(('Modell Erzeugung'!$C$2:$C$35='Abgleich Generation'!$A45)*('Modell Erzeugung'!$D$1:$AZ$1='Abgleich Generation'!S$39)*'Modell Erzeugung'!$D$2:$AZ$35)+SUMPRODUCT(('Modell Erzeugung'!$C$2:$C$35='Abgleich Generation'!$A45)*('Modell Erzeugung'!$D$1:$AZ$1='Abgleich Generation'!S$38)*'Modell Erzeugung'!$D$2:$AZ$35))/1000000</f>
        <v>0</v>
      </c>
      <c r="T45" s="58">
        <f>(SUMPRODUCT(('Modell Erzeugung'!$C$2:$C$35='Abgleich Generation'!$A45)*('Modell Erzeugung'!$D$1:$AZ$1='Abgleich Generation'!T$40)*'Modell Erzeugung'!$D$2:$AZ$35)+SUMPRODUCT(('Modell Erzeugung'!$C$2:$C$35='Abgleich Generation'!$A45)*('Modell Erzeugung'!$D$1:$AZ$1='Abgleich Generation'!T$39)*'Modell Erzeugung'!$D$2:$AZ$35)+SUMPRODUCT(('Modell Erzeugung'!$C$2:$C$35='Abgleich Generation'!$A45)*('Modell Erzeugung'!$D$1:$AZ$1='Abgleich Generation'!T$38)*'Modell Erzeugung'!$D$2:$AZ$35))/1000000</f>
        <v>0</v>
      </c>
      <c r="U45" s="58">
        <f>(SUMPRODUCT(('Modell Erzeugung'!$C$2:$C$35='Abgleich Generation'!$A45)*('Modell Erzeugung'!$D$1:$AZ$1='Abgleich Generation'!U$40)*'Modell Erzeugung'!$D$2:$AZ$35)+SUMPRODUCT(('Modell Erzeugung'!$C$2:$C$35='Abgleich Generation'!$A45)*('Modell Erzeugung'!$D$1:$AZ$1='Abgleich Generation'!U$39)*'Modell Erzeugung'!$D$2:$AZ$35)+SUMPRODUCT(('Modell Erzeugung'!$C$2:$C$35='Abgleich Generation'!$A45)*('Modell Erzeugung'!$D$1:$AZ$1='Abgleich Generation'!U$38)*'Modell Erzeugung'!$D$2:$AZ$35))/1000000</f>
        <v>0</v>
      </c>
      <c r="V45" s="59">
        <f t="shared" ref="V45:V58" si="57">K45+B45</f>
        <v>19.628527599996978</v>
      </c>
      <c r="W45" s="60"/>
      <c r="X45" s="61">
        <f t="shared" si="55"/>
        <v>13.585695657131978</v>
      </c>
      <c r="Y45" s="61">
        <f>(SUMPRODUCT(('Modell Erzeugung'!$C$2:$C$35='Abgleich Generation'!$A45)*('Modell Erzeugung'!$D$1:$AZ$1='Abgleich Generation'!Y$40)*'Modell Erzeugung'!$D$2:$AZ$35)+SUMPRODUCT(('Modell Erzeugung'!$C$2:$C$35='Abgleich Generation'!$A45)*('Modell Erzeugung'!$D$1:$AZ$1='Abgleich Generation'!Y$39)*'Modell Erzeugung'!$D$2:$AZ$35))/1000000</f>
        <v>-6.0428319428649999</v>
      </c>
    </row>
    <row r="46" spans="1:49" x14ac:dyDescent="0.25">
      <c r="A46" s="14" t="s">
        <v>13</v>
      </c>
      <c r="B46" s="25">
        <f t="shared" si="53"/>
        <v>49.387122055205097</v>
      </c>
      <c r="C46" s="26">
        <f>(SUMPRODUCT(('Modell Erzeugung'!$C$2:$C$35='Abgleich Generation'!$A46)*('Modell Erzeugung'!$D$1:$AZ$1='Abgleich Generation'!C$40)*'Modell Erzeugung'!$D$2:$AZ$35)+SUMPRODUCT(('Modell Erzeugung'!$C$2:$C$35='Abgleich Generation'!$A46)*('Modell Erzeugung'!$D$1:$AZ$1='Abgleich Generation'!C$39)*'Modell Erzeugung'!$D$2:$AZ$35)+SUMPRODUCT(('Modell Erzeugung'!$C$2:$C$35='Abgleich Generation'!$A46)*('Modell Erzeugung'!$D$1:$AZ$1='Abgleich Generation'!C$38)*'Modell Erzeugung'!$D$2:$AZ$35))/1000000</f>
        <v>22.296744</v>
      </c>
      <c r="D46" s="26">
        <f t="shared" si="54"/>
        <v>27.090378055205097</v>
      </c>
      <c r="E46" s="26">
        <f>(SUMPRODUCT(('Modell Erzeugung'!$C$2:$C$35='Abgleich Generation'!$A46)*('Modell Erzeugung'!$D$1:$AZ$1='Abgleich Generation'!E$40)*'Modell Erzeugung'!$D$2:$AZ$35)+SUMPRODUCT(('Modell Erzeugung'!$C$2:$C$35='Abgleich Generation'!$A46)*('Modell Erzeugung'!$D$1:$AZ$1='Abgleich Generation'!E$39)*'Modell Erzeugung'!$D$2:$AZ$35)+SUMPRODUCT(('Modell Erzeugung'!$C$2:$C$35='Abgleich Generation'!$A46)*('Modell Erzeugung'!$D$1:$AZ$1='Abgleich Generation'!E$38)*'Modell Erzeugung'!$D$2:$AZ$35))/1000000</f>
        <v>0</v>
      </c>
      <c r="F46" s="26">
        <f>(SUMPRODUCT(('Modell Erzeugung'!$C$2:$C$35='Abgleich Generation'!$A46)*('Modell Erzeugung'!$D$1:$AZ$1='Abgleich Generation'!F$40)*'Modell Erzeugung'!$D$2:$AZ$35)+SUMPRODUCT(('Modell Erzeugung'!$C$2:$C$35='Abgleich Generation'!$A46)*('Modell Erzeugung'!$D$1:$AZ$1='Abgleich Generation'!F$39)*'Modell Erzeugung'!$D$2:$AZ$35)+SUMPRODUCT(('Modell Erzeugung'!$C$2:$C$35='Abgleich Generation'!$A46)*('Modell Erzeugung'!$D$1:$AZ$1='Abgleich Generation'!F$38)*'Modell Erzeugung'!$D$2:$AZ$35))/1000000</f>
        <v>27.022711111138097</v>
      </c>
      <c r="G46" s="26">
        <f>(SUMPRODUCT(('Modell Erzeugung'!$C$2:$C$35='Abgleich Generation'!$A46)*('Modell Erzeugung'!$D$1:$AZ$1='Abgleich Generation'!G$40)*'Modell Erzeugung'!$D$2:$AZ$35)+SUMPRODUCT(('Modell Erzeugung'!$C$2:$C$35='Abgleich Generation'!$A46)*('Modell Erzeugung'!$D$1:$AZ$1='Abgleich Generation'!G$39)*'Modell Erzeugung'!$D$2:$AZ$35)+SUMPRODUCT(('Modell Erzeugung'!$C$2:$C$35='Abgleich Generation'!$A46)*('Modell Erzeugung'!$D$1:$AZ$1='Abgleich Generation'!G$38)*'Modell Erzeugung'!$D$2:$AZ$35))/1000000</f>
        <v>0</v>
      </c>
      <c r="H46" s="26">
        <f>(SUMPRODUCT(('Modell Erzeugung'!$C$2:$C$35='Abgleich Generation'!$A46)*('Modell Erzeugung'!$D$1:$AZ$1='Abgleich Generation'!H$40)*'Modell Erzeugung'!$D$2:$AZ$35)+SUMPRODUCT(('Modell Erzeugung'!$C$2:$C$35='Abgleich Generation'!$A46)*('Modell Erzeugung'!$D$1:$AZ$1='Abgleich Generation'!H$39)*'Modell Erzeugung'!$D$2:$AZ$35)+SUMPRODUCT(('Modell Erzeugung'!$C$2:$C$35='Abgleich Generation'!$A46)*('Modell Erzeugung'!$D$1:$AZ$1='Abgleich Generation'!H$38)*'Modell Erzeugung'!$D$2:$AZ$35))/1000000</f>
        <v>0</v>
      </c>
      <c r="I46" s="26">
        <f>(SUMPRODUCT(('Modell Erzeugung'!$C$2:$C$35='Abgleich Generation'!$A46)*('Modell Erzeugung'!$D$1:$AZ$1='Abgleich Generation'!I$40)*'Modell Erzeugung'!$D$2:$AZ$35)+SUMPRODUCT(('Modell Erzeugung'!$C$2:$C$35='Abgleich Generation'!$A46)*('Modell Erzeugung'!$D$1:$AZ$1='Abgleich Generation'!I$39)*'Modell Erzeugung'!$D$2:$AZ$35)+SUMPRODUCT(('Modell Erzeugung'!$C$2:$C$35='Abgleich Generation'!$A46)*('Modell Erzeugung'!$D$1:$AZ$1='Abgleich Generation'!I$38)*'Modell Erzeugung'!$D$2:$AZ$35))/1000000</f>
        <v>0</v>
      </c>
      <c r="J46" s="26">
        <f>(SUMPRODUCT(('Modell Erzeugung'!$C$2:$C$35='Abgleich Generation'!$A46)*('Modell Erzeugung'!$D$1:$AZ$1='Abgleich Generation'!J$40)*'Modell Erzeugung'!$D$2:$AZ$35)+SUMPRODUCT(('Modell Erzeugung'!$C$2:$C$35='Abgleich Generation'!$A46)*('Modell Erzeugung'!$D$1:$AZ$1='Abgleich Generation'!J$39)*'Modell Erzeugung'!$D$2:$AZ$35)+SUMPRODUCT(('Modell Erzeugung'!$C$2:$C$35='Abgleich Generation'!$A46)*('Modell Erzeugung'!$D$1:$AZ$1='Abgleich Generation'!J$38)*'Modell Erzeugung'!$D$2:$AZ$35))/1000000</f>
        <v>6.7666944066999898E-2</v>
      </c>
      <c r="K46" s="27">
        <f t="shared" si="56"/>
        <v>14.817532515273999</v>
      </c>
      <c r="L46" s="26">
        <f>(SUMPRODUCT(('Modell Erzeugung'!$C$2:$C$35='Abgleich Generation'!$A46)*('Modell Erzeugung'!$D$1:$AZ$1='Abgleich Generation'!L$40)*'Modell Erzeugung'!$D$2:$AZ$35)+SUMPRODUCT(('Modell Erzeugung'!$C$2:$C$35='Abgleich Generation'!$A46)*('Modell Erzeugung'!$D$1:$AZ$1='Abgleich Generation'!L$39)*'Modell Erzeugung'!$D$2:$AZ$35)+SUMPRODUCT(('Modell Erzeugung'!$C$2:$C$35='Abgleich Generation'!$A46)*('Modell Erzeugung'!$D$1:$AZ$1='Abgleich Generation'!L$38)*'Modell Erzeugung'!$D$2:$AZ$35))/1000000</f>
        <v>0.84988848669499995</v>
      </c>
      <c r="M46" s="26">
        <f>(SUMPRODUCT(('Modell Erzeugung'!$C$2:$C$35='Abgleich Generation'!$A46)*('Modell Erzeugung'!$D$1:$AZ$1='Abgleich Generation'!M$40)*'Modell Erzeugung'!$D$2:$AZ$35)+SUMPRODUCT(('Modell Erzeugung'!$C$2:$C$35='Abgleich Generation'!$A46)*('Modell Erzeugung'!$D$1:$AZ$1='Abgleich Generation'!M$39)*'Modell Erzeugung'!$D$2:$AZ$35)+SUMPRODUCT(('Modell Erzeugung'!$C$2:$C$35='Abgleich Generation'!$A46)*('Modell Erzeugung'!$D$1:$AZ$1='Abgleich Generation'!M$38)*'Modell Erzeugung'!$D$2:$AZ$35))/1000000</f>
        <v>0</v>
      </c>
      <c r="N46" s="26">
        <f>(SUMPRODUCT(('Modell Erzeugung'!$C$2:$C$35='Abgleich Generation'!$A46)*('Modell Erzeugung'!$D$1:$AZ$1='Abgleich Generation'!N$40)*'Modell Erzeugung'!$D$2:$AZ$35)+SUMPRODUCT(('Modell Erzeugung'!$C$2:$C$35='Abgleich Generation'!$A46)*('Modell Erzeugung'!$D$1:$AZ$1='Abgleich Generation'!N$39)*'Modell Erzeugung'!$D$2:$AZ$35)+SUMPRODUCT(('Modell Erzeugung'!$C$2:$C$35='Abgleich Generation'!$A46)*('Modell Erzeugung'!$D$1:$AZ$1='Abgleich Generation'!N$38)*'Modell Erzeugung'!$D$2:$AZ$35))/1000000</f>
        <v>2.6838609368899999</v>
      </c>
      <c r="O46" s="26">
        <f>(SUMPRODUCT(('Modell Erzeugung'!$C$2:$C$35='Abgleich Generation'!$A46)*('Modell Erzeugung'!$D$1:$AZ$1='Abgleich Generation'!O$40)*'Modell Erzeugung'!$D$2:$AZ$35)+SUMPRODUCT(('Modell Erzeugung'!$C$2:$C$35='Abgleich Generation'!$A46)*('Modell Erzeugung'!$D$1:$AZ$1='Abgleich Generation'!O$39)*'Modell Erzeugung'!$D$2:$AZ$35)+SUMPRODUCT(('Modell Erzeugung'!$C$2:$C$35='Abgleich Generation'!$A46)*('Modell Erzeugung'!$D$1:$AZ$1='Abgleich Generation'!O$38)*'Modell Erzeugung'!$D$2:$AZ$35))/1000000</f>
        <v>3.9826537128790003</v>
      </c>
      <c r="P46" s="26">
        <f>(SUMPRODUCT(('Modell Erzeugung'!$C$2:$C$35='Abgleich Generation'!$A46)*('Modell Erzeugung'!$D$1:$AZ$1='Abgleich Generation'!P$40)*'Modell Erzeugung'!$D$2:$AZ$35)+SUMPRODUCT(('Modell Erzeugung'!$C$2:$C$35='Abgleich Generation'!$A46)*('Modell Erzeugung'!$D$1:$AZ$1='Abgleich Generation'!P$39)*'Modell Erzeugung'!$D$2:$AZ$35)+SUMPRODUCT(('Modell Erzeugung'!$C$2:$C$35='Abgleich Generation'!$A46)*('Modell Erzeugung'!$D$1:$AZ$1='Abgleich Generation'!P$38)*'Modell Erzeugung'!$D$2:$AZ$35))/1000000</f>
        <v>2.70212937881</v>
      </c>
      <c r="Q46" s="26">
        <f>(SUMPRODUCT(('Modell Erzeugung'!$C$2:$C$35='Abgleich Generation'!$A46)*('Modell Erzeugung'!$D$1:$AZ$1='Abgleich Generation'!Q$40)*'Modell Erzeugung'!$D$2:$AZ$35)+SUMPRODUCT(('Modell Erzeugung'!$C$2:$C$35='Abgleich Generation'!$A46)*('Modell Erzeugung'!$D$1:$AZ$1='Abgleich Generation'!Q$39)*'Modell Erzeugung'!$D$2:$AZ$35)+SUMPRODUCT(('Modell Erzeugung'!$C$2:$C$35='Abgleich Generation'!$A46)*('Modell Erzeugung'!$D$1:$AZ$1='Abgleich Generation'!Q$38)*'Modell Erzeugung'!$D$2:$AZ$35))/1000000</f>
        <v>0</v>
      </c>
      <c r="R46" s="26">
        <f>(SUMPRODUCT(('Modell Erzeugung'!$C$2:$C$35='Abgleich Generation'!$A46)*('Modell Erzeugung'!$D$1:$AZ$1='Abgleich Generation'!R$40)*'Modell Erzeugung'!$D$2:$AZ$35)+SUMPRODUCT(('Modell Erzeugung'!$C$2:$C$35='Abgleich Generation'!$A46)*('Modell Erzeugung'!$D$1:$AZ$1='Abgleich Generation'!R$39)*'Modell Erzeugung'!$D$2:$AZ$35)+SUMPRODUCT(('Modell Erzeugung'!$C$2:$C$35='Abgleich Generation'!$A46)*('Modell Erzeugung'!$D$1:$AZ$1='Abgleich Generation'!R$38)*'Modell Erzeugung'!$D$2:$AZ$35))/1000000</f>
        <v>4.5990000000000002</v>
      </c>
      <c r="S46" s="26">
        <f>(SUMPRODUCT(('Modell Erzeugung'!$C$2:$C$35='Abgleich Generation'!$A46)*('Modell Erzeugung'!$D$1:$AZ$1='Abgleich Generation'!S$40)*'Modell Erzeugung'!$D$2:$AZ$35)+SUMPRODUCT(('Modell Erzeugung'!$C$2:$C$35='Abgleich Generation'!$A46)*('Modell Erzeugung'!$D$1:$AZ$1='Abgleich Generation'!S$39)*'Modell Erzeugung'!$D$2:$AZ$35)+SUMPRODUCT(('Modell Erzeugung'!$C$2:$C$35='Abgleich Generation'!$A46)*('Modell Erzeugung'!$D$1:$AZ$1='Abgleich Generation'!S$38)*'Modell Erzeugung'!$D$2:$AZ$35))/1000000</f>
        <v>0</v>
      </c>
      <c r="T46" s="26">
        <f>(SUMPRODUCT(('Modell Erzeugung'!$C$2:$C$35='Abgleich Generation'!$A46)*('Modell Erzeugung'!$D$1:$AZ$1='Abgleich Generation'!T$40)*'Modell Erzeugung'!$D$2:$AZ$35)+SUMPRODUCT(('Modell Erzeugung'!$C$2:$C$35='Abgleich Generation'!$A46)*('Modell Erzeugung'!$D$1:$AZ$1='Abgleich Generation'!T$39)*'Modell Erzeugung'!$D$2:$AZ$35)+SUMPRODUCT(('Modell Erzeugung'!$C$2:$C$35='Abgleich Generation'!$A46)*('Modell Erzeugung'!$D$1:$AZ$1='Abgleich Generation'!T$38)*'Modell Erzeugung'!$D$2:$AZ$35))/1000000</f>
        <v>0</v>
      </c>
      <c r="U46" s="26">
        <f>(SUMPRODUCT(('Modell Erzeugung'!$C$2:$C$35='Abgleich Generation'!$A46)*('Modell Erzeugung'!$D$1:$AZ$1='Abgleich Generation'!U$40)*'Modell Erzeugung'!$D$2:$AZ$35)+SUMPRODUCT(('Modell Erzeugung'!$C$2:$C$35='Abgleich Generation'!$A46)*('Modell Erzeugung'!$D$1:$AZ$1='Abgleich Generation'!U$39)*'Modell Erzeugung'!$D$2:$AZ$35)+SUMPRODUCT(('Modell Erzeugung'!$C$2:$C$35='Abgleich Generation'!$A46)*('Modell Erzeugung'!$D$1:$AZ$1='Abgleich Generation'!U$38)*'Modell Erzeugung'!$D$2:$AZ$35))/1000000</f>
        <v>0</v>
      </c>
      <c r="V46" s="27">
        <f t="shared" si="57"/>
        <v>64.204654570479093</v>
      </c>
      <c r="W46" s="28"/>
      <c r="X46" s="29">
        <f t="shared" si="55"/>
        <v>83.716433850743798</v>
      </c>
      <c r="Y46" s="29">
        <f>(SUMPRODUCT(('Modell Erzeugung'!$C$2:$C$35='Abgleich Generation'!$A46)*('Modell Erzeugung'!$D$1:$AZ$1='Abgleich Generation'!Y$40)*'Modell Erzeugung'!$D$2:$AZ$35)+SUMPRODUCT(('Modell Erzeugung'!$C$2:$C$35='Abgleich Generation'!$A46)*('Modell Erzeugung'!$D$1:$AZ$1='Abgleich Generation'!Y$39)*'Modell Erzeugung'!$D$2:$AZ$35))/1000000</f>
        <v>19.511779280264701</v>
      </c>
    </row>
    <row r="47" spans="1:49" x14ac:dyDescent="0.25">
      <c r="A47" s="14" t="s">
        <v>14</v>
      </c>
      <c r="B47" s="57">
        <f t="shared" si="53"/>
        <v>33.104051958590894</v>
      </c>
      <c r="C47" s="58">
        <f>(SUMPRODUCT(('Modell Erzeugung'!$C$2:$C$35='Abgleich Generation'!$A47)*('Modell Erzeugung'!$D$1:$AZ$1='Abgleich Generation'!C$40)*'Modell Erzeugung'!$D$2:$AZ$35)+SUMPRODUCT(('Modell Erzeugung'!$C$2:$C$35='Abgleich Generation'!$A47)*('Modell Erzeugung'!$D$1:$AZ$1='Abgleich Generation'!C$39)*'Modell Erzeugung'!$D$2:$AZ$35)+SUMPRODUCT(('Modell Erzeugung'!$C$2:$C$35='Abgleich Generation'!$A47)*('Modell Erzeugung'!$D$1:$AZ$1='Abgleich Generation'!C$38)*'Modell Erzeugung'!$D$2:$AZ$35))/1000000</f>
        <v>15.2574842532589</v>
      </c>
      <c r="D47" s="58">
        <f t="shared" si="54"/>
        <v>17.846567705331996</v>
      </c>
      <c r="E47" s="58">
        <f>(SUMPRODUCT(('Modell Erzeugung'!$C$2:$C$35='Abgleich Generation'!$A47)*('Modell Erzeugung'!$D$1:$AZ$1='Abgleich Generation'!E$40)*'Modell Erzeugung'!$D$2:$AZ$35)+SUMPRODUCT(('Modell Erzeugung'!$C$2:$C$35='Abgleich Generation'!$A47)*('Modell Erzeugung'!$D$1:$AZ$1='Abgleich Generation'!E$39)*'Modell Erzeugung'!$D$2:$AZ$35)+SUMPRODUCT(('Modell Erzeugung'!$C$2:$C$35='Abgleich Generation'!$A47)*('Modell Erzeugung'!$D$1:$AZ$1='Abgleich Generation'!E$38)*'Modell Erzeugung'!$D$2:$AZ$35))/1000000</f>
        <v>15.085779237718999</v>
      </c>
      <c r="F47" s="58">
        <f>(SUMPRODUCT(('Modell Erzeugung'!$C$2:$C$35='Abgleich Generation'!$A47)*('Modell Erzeugung'!$D$1:$AZ$1='Abgleich Generation'!F$40)*'Modell Erzeugung'!$D$2:$AZ$35)+SUMPRODUCT(('Modell Erzeugung'!$C$2:$C$35='Abgleich Generation'!$A47)*('Modell Erzeugung'!$D$1:$AZ$1='Abgleich Generation'!F$39)*'Modell Erzeugung'!$D$2:$AZ$35)+SUMPRODUCT(('Modell Erzeugung'!$C$2:$C$35='Abgleich Generation'!$A47)*('Modell Erzeugung'!$D$1:$AZ$1='Abgleich Generation'!F$38)*'Modell Erzeugung'!$D$2:$AZ$35))/1000000</f>
        <v>0.88796437802199801</v>
      </c>
      <c r="G47" s="58">
        <f>(SUMPRODUCT(('Modell Erzeugung'!$C$2:$C$35='Abgleich Generation'!$A47)*('Modell Erzeugung'!$D$1:$AZ$1='Abgleich Generation'!G$40)*'Modell Erzeugung'!$D$2:$AZ$35)+SUMPRODUCT(('Modell Erzeugung'!$C$2:$C$35='Abgleich Generation'!$A47)*('Modell Erzeugung'!$D$1:$AZ$1='Abgleich Generation'!G$39)*'Modell Erzeugung'!$D$2:$AZ$35)+SUMPRODUCT(('Modell Erzeugung'!$C$2:$C$35='Abgleich Generation'!$A47)*('Modell Erzeugung'!$D$1:$AZ$1='Abgleich Generation'!G$38)*'Modell Erzeugung'!$D$2:$AZ$35))/1000000</f>
        <v>1.872824089591</v>
      </c>
      <c r="H47" s="58">
        <f>(SUMPRODUCT(('Modell Erzeugung'!$C$2:$C$35='Abgleich Generation'!$A47)*('Modell Erzeugung'!$D$1:$AZ$1='Abgleich Generation'!H$40)*'Modell Erzeugung'!$D$2:$AZ$35)+SUMPRODUCT(('Modell Erzeugung'!$C$2:$C$35='Abgleich Generation'!$A47)*('Modell Erzeugung'!$D$1:$AZ$1='Abgleich Generation'!H$39)*'Modell Erzeugung'!$D$2:$AZ$35)+SUMPRODUCT(('Modell Erzeugung'!$C$2:$C$35='Abgleich Generation'!$A47)*('Modell Erzeugung'!$D$1:$AZ$1='Abgleich Generation'!H$38)*'Modell Erzeugung'!$D$2:$AZ$35))/1000000</f>
        <v>0</v>
      </c>
      <c r="I47" s="58">
        <f>(SUMPRODUCT(('Modell Erzeugung'!$C$2:$C$35='Abgleich Generation'!$A47)*('Modell Erzeugung'!$D$1:$AZ$1='Abgleich Generation'!I$40)*'Modell Erzeugung'!$D$2:$AZ$35)+SUMPRODUCT(('Modell Erzeugung'!$C$2:$C$35='Abgleich Generation'!$A47)*('Modell Erzeugung'!$D$1:$AZ$1='Abgleich Generation'!I$39)*'Modell Erzeugung'!$D$2:$AZ$35)+SUMPRODUCT(('Modell Erzeugung'!$C$2:$C$35='Abgleich Generation'!$A47)*('Modell Erzeugung'!$D$1:$AZ$1='Abgleich Generation'!I$38)*'Modell Erzeugung'!$D$2:$AZ$35))/1000000</f>
        <v>0</v>
      </c>
      <c r="J47" s="58">
        <f>(SUMPRODUCT(('Modell Erzeugung'!$C$2:$C$35='Abgleich Generation'!$A47)*('Modell Erzeugung'!$D$1:$AZ$1='Abgleich Generation'!J$40)*'Modell Erzeugung'!$D$2:$AZ$35)+SUMPRODUCT(('Modell Erzeugung'!$C$2:$C$35='Abgleich Generation'!$A47)*('Modell Erzeugung'!$D$1:$AZ$1='Abgleich Generation'!J$39)*'Modell Erzeugung'!$D$2:$AZ$35)+SUMPRODUCT(('Modell Erzeugung'!$C$2:$C$35='Abgleich Generation'!$A47)*('Modell Erzeugung'!$D$1:$AZ$1='Abgleich Generation'!J$38)*'Modell Erzeugung'!$D$2:$AZ$35))/1000000</f>
        <v>0</v>
      </c>
      <c r="K47" s="59">
        <f t="shared" si="56"/>
        <v>7.9904274035750094</v>
      </c>
      <c r="L47" s="58">
        <f>(SUMPRODUCT(('Modell Erzeugung'!$C$2:$C$35='Abgleich Generation'!$A47)*('Modell Erzeugung'!$D$1:$AZ$1='Abgleich Generation'!L$40)*'Modell Erzeugung'!$D$2:$AZ$35)+SUMPRODUCT(('Modell Erzeugung'!$C$2:$C$35='Abgleich Generation'!$A47)*('Modell Erzeugung'!$D$1:$AZ$1='Abgleich Generation'!L$39)*'Modell Erzeugung'!$D$2:$AZ$35)+SUMPRODUCT(('Modell Erzeugung'!$C$2:$C$35='Abgleich Generation'!$A47)*('Modell Erzeugung'!$D$1:$AZ$1='Abgleich Generation'!L$38)*'Modell Erzeugung'!$D$2:$AZ$35))/1000000</f>
        <v>4.1417505763420097</v>
      </c>
      <c r="M47" s="58">
        <f>(SUMPRODUCT(('Modell Erzeugung'!$C$2:$C$35='Abgleich Generation'!$A47)*('Modell Erzeugung'!$D$1:$AZ$1='Abgleich Generation'!M$40)*'Modell Erzeugung'!$D$2:$AZ$35)+SUMPRODUCT(('Modell Erzeugung'!$C$2:$C$35='Abgleich Generation'!$A47)*('Modell Erzeugung'!$D$1:$AZ$1='Abgleich Generation'!M$39)*'Modell Erzeugung'!$D$2:$AZ$35)+SUMPRODUCT(('Modell Erzeugung'!$C$2:$C$35='Abgleich Generation'!$A47)*('Modell Erzeugung'!$D$1:$AZ$1='Abgleich Generation'!M$38)*'Modell Erzeugung'!$D$2:$AZ$35))/1000000</f>
        <v>0</v>
      </c>
      <c r="N47" s="58">
        <f>(SUMPRODUCT(('Modell Erzeugung'!$C$2:$C$35='Abgleich Generation'!$A47)*('Modell Erzeugung'!$D$1:$AZ$1='Abgleich Generation'!N$40)*'Modell Erzeugung'!$D$2:$AZ$35)+SUMPRODUCT(('Modell Erzeugung'!$C$2:$C$35='Abgleich Generation'!$A47)*('Modell Erzeugung'!$D$1:$AZ$1='Abgleich Generation'!N$39)*'Modell Erzeugung'!$D$2:$AZ$35)+SUMPRODUCT(('Modell Erzeugung'!$C$2:$C$35='Abgleich Generation'!$A47)*('Modell Erzeugung'!$D$1:$AZ$1='Abgleich Generation'!N$38)*'Modell Erzeugung'!$D$2:$AZ$35))/1000000</f>
        <v>0</v>
      </c>
      <c r="O47" s="58">
        <f>(SUMPRODUCT(('Modell Erzeugung'!$C$2:$C$35='Abgleich Generation'!$A47)*('Modell Erzeugung'!$D$1:$AZ$1='Abgleich Generation'!O$40)*'Modell Erzeugung'!$D$2:$AZ$35)+SUMPRODUCT(('Modell Erzeugung'!$C$2:$C$35='Abgleich Generation'!$A47)*('Modell Erzeugung'!$D$1:$AZ$1='Abgleich Generation'!O$39)*'Modell Erzeugung'!$D$2:$AZ$35)+SUMPRODUCT(('Modell Erzeugung'!$C$2:$C$35='Abgleich Generation'!$A47)*('Modell Erzeugung'!$D$1:$AZ$1='Abgleich Generation'!O$38)*'Modell Erzeugung'!$D$2:$AZ$35))/1000000</f>
        <v>1.581576115716</v>
      </c>
      <c r="P47" s="58">
        <f>(SUMPRODUCT(('Modell Erzeugung'!$C$2:$C$35='Abgleich Generation'!$A47)*('Modell Erzeugung'!$D$1:$AZ$1='Abgleich Generation'!P$40)*'Modell Erzeugung'!$D$2:$AZ$35)+SUMPRODUCT(('Modell Erzeugung'!$C$2:$C$35='Abgleich Generation'!$A47)*('Modell Erzeugung'!$D$1:$AZ$1='Abgleich Generation'!P$39)*'Modell Erzeugung'!$D$2:$AZ$35)+SUMPRODUCT(('Modell Erzeugung'!$C$2:$C$35='Abgleich Generation'!$A47)*('Modell Erzeugung'!$D$1:$AZ$1='Abgleich Generation'!P$38)*'Modell Erzeugung'!$D$2:$AZ$35))/1000000</f>
        <v>1.485276372517</v>
      </c>
      <c r="Q47" s="58">
        <f>(SUMPRODUCT(('Modell Erzeugung'!$C$2:$C$35='Abgleich Generation'!$A47)*('Modell Erzeugung'!$D$1:$AZ$1='Abgleich Generation'!Q$40)*'Modell Erzeugung'!$D$2:$AZ$35)+SUMPRODUCT(('Modell Erzeugung'!$C$2:$C$35='Abgleich Generation'!$A47)*('Modell Erzeugung'!$D$1:$AZ$1='Abgleich Generation'!Q$39)*'Modell Erzeugung'!$D$2:$AZ$35)+SUMPRODUCT(('Modell Erzeugung'!$C$2:$C$35='Abgleich Generation'!$A47)*('Modell Erzeugung'!$D$1:$AZ$1='Abgleich Generation'!Q$38)*'Modell Erzeugung'!$D$2:$AZ$35))/1000000</f>
        <v>0</v>
      </c>
      <c r="R47" s="58">
        <f>(SUMPRODUCT(('Modell Erzeugung'!$C$2:$C$35='Abgleich Generation'!$A47)*('Modell Erzeugung'!$D$1:$AZ$1='Abgleich Generation'!R$40)*'Modell Erzeugung'!$D$2:$AZ$35)+SUMPRODUCT(('Modell Erzeugung'!$C$2:$C$35='Abgleich Generation'!$A47)*('Modell Erzeugung'!$D$1:$AZ$1='Abgleich Generation'!R$39)*'Modell Erzeugung'!$D$2:$AZ$35)+SUMPRODUCT(('Modell Erzeugung'!$C$2:$C$35='Abgleich Generation'!$A47)*('Modell Erzeugung'!$D$1:$AZ$1='Abgleich Generation'!R$38)*'Modell Erzeugung'!$D$2:$AZ$35))/1000000</f>
        <v>0.78182433900000003</v>
      </c>
      <c r="S47" s="58">
        <f>(SUMPRODUCT(('Modell Erzeugung'!$C$2:$C$35='Abgleich Generation'!$A47)*('Modell Erzeugung'!$D$1:$AZ$1='Abgleich Generation'!S$40)*'Modell Erzeugung'!$D$2:$AZ$35)+SUMPRODUCT(('Modell Erzeugung'!$C$2:$C$35='Abgleich Generation'!$A47)*('Modell Erzeugung'!$D$1:$AZ$1='Abgleich Generation'!S$39)*'Modell Erzeugung'!$D$2:$AZ$35)+SUMPRODUCT(('Modell Erzeugung'!$C$2:$C$35='Abgleich Generation'!$A47)*('Modell Erzeugung'!$D$1:$AZ$1='Abgleich Generation'!S$38)*'Modell Erzeugung'!$D$2:$AZ$35))/1000000</f>
        <v>0</v>
      </c>
      <c r="T47" s="58">
        <f>(SUMPRODUCT(('Modell Erzeugung'!$C$2:$C$35='Abgleich Generation'!$A47)*('Modell Erzeugung'!$D$1:$AZ$1='Abgleich Generation'!T$40)*'Modell Erzeugung'!$D$2:$AZ$35)+SUMPRODUCT(('Modell Erzeugung'!$C$2:$C$35='Abgleich Generation'!$A47)*('Modell Erzeugung'!$D$1:$AZ$1='Abgleich Generation'!T$39)*'Modell Erzeugung'!$D$2:$AZ$35)+SUMPRODUCT(('Modell Erzeugung'!$C$2:$C$35='Abgleich Generation'!$A47)*('Modell Erzeugung'!$D$1:$AZ$1='Abgleich Generation'!T$38)*'Modell Erzeugung'!$D$2:$AZ$35))/1000000</f>
        <v>0</v>
      </c>
      <c r="U47" s="58">
        <f>(SUMPRODUCT(('Modell Erzeugung'!$C$2:$C$35='Abgleich Generation'!$A47)*('Modell Erzeugung'!$D$1:$AZ$1='Abgleich Generation'!U$40)*'Modell Erzeugung'!$D$2:$AZ$35)+SUMPRODUCT(('Modell Erzeugung'!$C$2:$C$35='Abgleich Generation'!$A47)*('Modell Erzeugung'!$D$1:$AZ$1='Abgleich Generation'!U$39)*'Modell Erzeugung'!$D$2:$AZ$35)+SUMPRODUCT(('Modell Erzeugung'!$C$2:$C$35='Abgleich Generation'!$A47)*('Modell Erzeugung'!$D$1:$AZ$1='Abgleich Generation'!U$38)*'Modell Erzeugung'!$D$2:$AZ$35))/1000000</f>
        <v>0</v>
      </c>
      <c r="V47" s="59">
        <f t="shared" si="57"/>
        <v>41.094479362165906</v>
      </c>
      <c r="W47" s="60"/>
      <c r="X47" s="61">
        <f t="shared" si="55"/>
        <v>34.47542413861909</v>
      </c>
      <c r="Y47" s="61">
        <f>(SUMPRODUCT(('Modell Erzeugung'!$C$2:$C$35='Abgleich Generation'!$A47)*('Modell Erzeugung'!$D$1:$AZ$1='Abgleich Generation'!Y$40)*'Modell Erzeugung'!$D$2:$AZ$35)+SUMPRODUCT(('Modell Erzeugung'!$C$2:$C$35='Abgleich Generation'!$A47)*('Modell Erzeugung'!$D$1:$AZ$1='Abgleich Generation'!Y$39)*'Modell Erzeugung'!$D$2:$AZ$35))/1000000</f>
        <v>-6.6190552235468196</v>
      </c>
    </row>
    <row r="48" spans="1:49" x14ac:dyDescent="0.25">
      <c r="A48" s="14" t="s">
        <v>15</v>
      </c>
      <c r="B48" s="25">
        <f t="shared" si="53"/>
        <v>28.758900286834788</v>
      </c>
      <c r="C48" s="26">
        <f>(SUMPRODUCT(('Modell Erzeugung'!$C$2:$C$35='Abgleich Generation'!$A48)*('Modell Erzeugung'!$D$1:$AZ$1='Abgleich Generation'!C$40)*'Modell Erzeugung'!$D$2:$AZ$35)+SUMPRODUCT(('Modell Erzeugung'!$C$2:$C$35='Abgleich Generation'!$A48)*('Modell Erzeugung'!$D$1:$AZ$1='Abgleich Generation'!C$39)*'Modell Erzeugung'!$D$2:$AZ$35)+SUMPRODUCT(('Modell Erzeugung'!$C$2:$C$35='Abgleich Generation'!$A48)*('Modell Erzeugung'!$D$1:$AZ$1='Abgleich Generation'!C$38)*'Modell Erzeugung'!$D$2:$AZ$35))/1000000</f>
        <v>21.140944799999801</v>
      </c>
      <c r="D48" s="26">
        <f t="shared" si="54"/>
        <v>7.6179554868349886</v>
      </c>
      <c r="E48" s="26">
        <f>(SUMPRODUCT(('Modell Erzeugung'!$C$2:$C$35='Abgleich Generation'!$A48)*('Modell Erzeugung'!$D$1:$AZ$1='Abgleich Generation'!E$40)*'Modell Erzeugung'!$D$2:$AZ$35)+SUMPRODUCT(('Modell Erzeugung'!$C$2:$C$35='Abgleich Generation'!$A48)*('Modell Erzeugung'!$D$1:$AZ$1='Abgleich Generation'!E$39)*'Modell Erzeugung'!$D$2:$AZ$35)+SUMPRODUCT(('Modell Erzeugung'!$C$2:$C$35='Abgleich Generation'!$A48)*('Modell Erzeugung'!$D$1:$AZ$1='Abgleich Generation'!E$38)*'Modell Erzeugung'!$D$2:$AZ$35))/1000000</f>
        <v>0</v>
      </c>
      <c r="F48" s="26">
        <f>(SUMPRODUCT(('Modell Erzeugung'!$C$2:$C$35='Abgleich Generation'!$A48)*('Modell Erzeugung'!$D$1:$AZ$1='Abgleich Generation'!F$40)*'Modell Erzeugung'!$D$2:$AZ$35)+SUMPRODUCT(('Modell Erzeugung'!$C$2:$C$35='Abgleich Generation'!$A48)*('Modell Erzeugung'!$D$1:$AZ$1='Abgleich Generation'!F$39)*'Modell Erzeugung'!$D$2:$AZ$35)+SUMPRODUCT(('Modell Erzeugung'!$C$2:$C$35='Abgleich Generation'!$A48)*('Modell Erzeugung'!$D$1:$AZ$1='Abgleich Generation'!F$38)*'Modell Erzeugung'!$D$2:$AZ$35))/1000000</f>
        <v>7.6179554868349886</v>
      </c>
      <c r="G48" s="26">
        <f>(SUMPRODUCT(('Modell Erzeugung'!$C$2:$C$35='Abgleich Generation'!$A48)*('Modell Erzeugung'!$D$1:$AZ$1='Abgleich Generation'!G$40)*'Modell Erzeugung'!$D$2:$AZ$35)+SUMPRODUCT(('Modell Erzeugung'!$C$2:$C$35='Abgleich Generation'!$A48)*('Modell Erzeugung'!$D$1:$AZ$1='Abgleich Generation'!G$39)*'Modell Erzeugung'!$D$2:$AZ$35)+SUMPRODUCT(('Modell Erzeugung'!$C$2:$C$35='Abgleich Generation'!$A48)*('Modell Erzeugung'!$D$1:$AZ$1='Abgleich Generation'!G$38)*'Modell Erzeugung'!$D$2:$AZ$35))/1000000</f>
        <v>0</v>
      </c>
      <c r="H48" s="26">
        <f>(SUMPRODUCT(('Modell Erzeugung'!$C$2:$C$35='Abgleich Generation'!$A48)*('Modell Erzeugung'!$D$1:$AZ$1='Abgleich Generation'!H$40)*'Modell Erzeugung'!$D$2:$AZ$35)+SUMPRODUCT(('Modell Erzeugung'!$C$2:$C$35='Abgleich Generation'!$A48)*('Modell Erzeugung'!$D$1:$AZ$1='Abgleich Generation'!H$39)*'Modell Erzeugung'!$D$2:$AZ$35)+SUMPRODUCT(('Modell Erzeugung'!$C$2:$C$35='Abgleich Generation'!$A48)*('Modell Erzeugung'!$D$1:$AZ$1='Abgleich Generation'!H$38)*'Modell Erzeugung'!$D$2:$AZ$35))/1000000</f>
        <v>0</v>
      </c>
      <c r="I48" s="26">
        <f>(SUMPRODUCT(('Modell Erzeugung'!$C$2:$C$35='Abgleich Generation'!$A48)*('Modell Erzeugung'!$D$1:$AZ$1='Abgleich Generation'!I$40)*'Modell Erzeugung'!$D$2:$AZ$35)+SUMPRODUCT(('Modell Erzeugung'!$C$2:$C$35='Abgleich Generation'!$A48)*('Modell Erzeugung'!$D$1:$AZ$1='Abgleich Generation'!I$39)*'Modell Erzeugung'!$D$2:$AZ$35)+SUMPRODUCT(('Modell Erzeugung'!$C$2:$C$35='Abgleich Generation'!$A48)*('Modell Erzeugung'!$D$1:$AZ$1='Abgleich Generation'!I$38)*'Modell Erzeugung'!$D$2:$AZ$35))/1000000</f>
        <v>0</v>
      </c>
      <c r="J48" s="26">
        <f>(SUMPRODUCT(('Modell Erzeugung'!$C$2:$C$35='Abgleich Generation'!$A48)*('Modell Erzeugung'!$D$1:$AZ$1='Abgleich Generation'!J$40)*'Modell Erzeugung'!$D$2:$AZ$35)+SUMPRODUCT(('Modell Erzeugung'!$C$2:$C$35='Abgleich Generation'!$A48)*('Modell Erzeugung'!$D$1:$AZ$1='Abgleich Generation'!J$39)*'Modell Erzeugung'!$D$2:$AZ$35)+SUMPRODUCT(('Modell Erzeugung'!$C$2:$C$35='Abgleich Generation'!$A48)*('Modell Erzeugung'!$D$1:$AZ$1='Abgleich Generation'!J$38)*'Modell Erzeugung'!$D$2:$AZ$35))/1000000</f>
        <v>0</v>
      </c>
      <c r="K48" s="27">
        <f t="shared" si="56"/>
        <v>40.665070534252095</v>
      </c>
      <c r="L48" s="26">
        <f>(SUMPRODUCT(('Modell Erzeugung'!$C$2:$C$35='Abgleich Generation'!$A48)*('Modell Erzeugung'!$D$1:$AZ$1='Abgleich Generation'!L$40)*'Modell Erzeugung'!$D$2:$AZ$35)+SUMPRODUCT(('Modell Erzeugung'!$C$2:$C$35='Abgleich Generation'!$A48)*('Modell Erzeugung'!$D$1:$AZ$1='Abgleich Generation'!L$39)*'Modell Erzeugung'!$D$2:$AZ$35)+SUMPRODUCT(('Modell Erzeugung'!$C$2:$C$35='Abgleich Generation'!$A48)*('Modell Erzeugung'!$D$1:$AZ$1='Abgleich Generation'!L$38)*'Modell Erzeugung'!$D$2:$AZ$35))/1000000</f>
        <v>37.081013310175095</v>
      </c>
      <c r="M48" s="26">
        <f>(SUMPRODUCT(('Modell Erzeugung'!$C$2:$C$35='Abgleich Generation'!$A48)*('Modell Erzeugung'!$D$1:$AZ$1='Abgleich Generation'!M$40)*'Modell Erzeugung'!$D$2:$AZ$35)+SUMPRODUCT(('Modell Erzeugung'!$C$2:$C$35='Abgleich Generation'!$A48)*('Modell Erzeugung'!$D$1:$AZ$1='Abgleich Generation'!M$39)*'Modell Erzeugung'!$D$2:$AZ$35)+SUMPRODUCT(('Modell Erzeugung'!$C$2:$C$35='Abgleich Generation'!$A48)*('Modell Erzeugung'!$D$1:$AZ$1='Abgleich Generation'!M$38)*'Modell Erzeugung'!$D$2:$AZ$35))/1000000</f>
        <v>0</v>
      </c>
      <c r="N48" s="26">
        <f>(SUMPRODUCT(('Modell Erzeugung'!$C$2:$C$35='Abgleich Generation'!$A48)*('Modell Erzeugung'!$D$1:$AZ$1='Abgleich Generation'!N$40)*'Modell Erzeugung'!$D$2:$AZ$35)+SUMPRODUCT(('Modell Erzeugung'!$C$2:$C$35='Abgleich Generation'!$A48)*('Modell Erzeugung'!$D$1:$AZ$1='Abgleich Generation'!N$39)*'Modell Erzeugung'!$D$2:$AZ$35)+SUMPRODUCT(('Modell Erzeugung'!$C$2:$C$35='Abgleich Generation'!$A48)*('Modell Erzeugung'!$D$1:$AZ$1='Abgleich Generation'!N$38)*'Modell Erzeugung'!$D$2:$AZ$35))/1000000</f>
        <v>0</v>
      </c>
      <c r="O48" s="26">
        <f>(SUMPRODUCT(('Modell Erzeugung'!$C$2:$C$35='Abgleich Generation'!$A48)*('Modell Erzeugung'!$D$1:$AZ$1='Abgleich Generation'!O$40)*'Modell Erzeugung'!$D$2:$AZ$35)+SUMPRODUCT(('Modell Erzeugung'!$C$2:$C$35='Abgleich Generation'!$A48)*('Modell Erzeugung'!$D$1:$AZ$1='Abgleich Generation'!O$39)*'Modell Erzeugung'!$D$2:$AZ$35)+SUMPRODUCT(('Modell Erzeugung'!$C$2:$C$35='Abgleich Generation'!$A48)*('Modell Erzeugung'!$D$1:$AZ$1='Abgleich Generation'!O$38)*'Modell Erzeugung'!$D$2:$AZ$35))/1000000</f>
        <v>0.117441928386</v>
      </c>
      <c r="P48" s="26">
        <f>(SUMPRODUCT(('Modell Erzeugung'!$C$2:$C$35='Abgleich Generation'!$A48)*('Modell Erzeugung'!$D$1:$AZ$1='Abgleich Generation'!P$40)*'Modell Erzeugung'!$D$2:$AZ$35)+SUMPRODUCT(('Modell Erzeugung'!$C$2:$C$35='Abgleich Generation'!$A48)*('Modell Erzeugung'!$D$1:$AZ$1='Abgleich Generation'!P$39)*'Modell Erzeugung'!$D$2:$AZ$35)+SUMPRODUCT(('Modell Erzeugung'!$C$2:$C$35='Abgleich Generation'!$A48)*('Modell Erzeugung'!$D$1:$AZ$1='Abgleich Generation'!P$38)*'Modell Erzeugung'!$D$2:$AZ$35))/1000000</f>
        <v>1.7715552956910001</v>
      </c>
      <c r="Q48" s="26">
        <f>(SUMPRODUCT(('Modell Erzeugung'!$C$2:$C$35='Abgleich Generation'!$A48)*('Modell Erzeugung'!$D$1:$AZ$1='Abgleich Generation'!Q$40)*'Modell Erzeugung'!$D$2:$AZ$35)+SUMPRODUCT(('Modell Erzeugung'!$C$2:$C$35='Abgleich Generation'!$A48)*('Modell Erzeugung'!$D$1:$AZ$1='Abgleich Generation'!Q$39)*'Modell Erzeugung'!$D$2:$AZ$35)+SUMPRODUCT(('Modell Erzeugung'!$C$2:$C$35='Abgleich Generation'!$A48)*('Modell Erzeugung'!$D$1:$AZ$1='Abgleich Generation'!Q$38)*'Modell Erzeugung'!$D$2:$AZ$35))/1000000</f>
        <v>0</v>
      </c>
      <c r="R48" s="26">
        <f>(SUMPRODUCT(('Modell Erzeugung'!$C$2:$C$35='Abgleich Generation'!$A48)*('Modell Erzeugung'!$D$1:$AZ$1='Abgleich Generation'!R$40)*'Modell Erzeugung'!$D$2:$AZ$35)+SUMPRODUCT(('Modell Erzeugung'!$C$2:$C$35='Abgleich Generation'!$A48)*('Modell Erzeugung'!$D$1:$AZ$1='Abgleich Generation'!R$39)*'Modell Erzeugung'!$D$2:$AZ$35)+SUMPRODUCT(('Modell Erzeugung'!$C$2:$C$35='Abgleich Generation'!$A48)*('Modell Erzeugung'!$D$1:$AZ$1='Abgleich Generation'!R$38)*'Modell Erzeugung'!$D$2:$AZ$35))/1000000</f>
        <v>1.69506</v>
      </c>
      <c r="S48" s="26">
        <f>(SUMPRODUCT(('Modell Erzeugung'!$C$2:$C$35='Abgleich Generation'!$A48)*('Modell Erzeugung'!$D$1:$AZ$1='Abgleich Generation'!S$40)*'Modell Erzeugung'!$D$2:$AZ$35)+SUMPRODUCT(('Modell Erzeugung'!$C$2:$C$35='Abgleich Generation'!$A48)*('Modell Erzeugung'!$D$1:$AZ$1='Abgleich Generation'!S$39)*'Modell Erzeugung'!$D$2:$AZ$35)+SUMPRODUCT(('Modell Erzeugung'!$C$2:$C$35='Abgleich Generation'!$A48)*('Modell Erzeugung'!$D$1:$AZ$1='Abgleich Generation'!S$38)*'Modell Erzeugung'!$D$2:$AZ$35))/1000000</f>
        <v>0</v>
      </c>
      <c r="T48" s="26">
        <f>(SUMPRODUCT(('Modell Erzeugung'!$C$2:$C$35='Abgleich Generation'!$A48)*('Modell Erzeugung'!$D$1:$AZ$1='Abgleich Generation'!T$40)*'Modell Erzeugung'!$D$2:$AZ$35)+SUMPRODUCT(('Modell Erzeugung'!$C$2:$C$35='Abgleich Generation'!$A48)*('Modell Erzeugung'!$D$1:$AZ$1='Abgleich Generation'!T$39)*'Modell Erzeugung'!$D$2:$AZ$35)+SUMPRODUCT(('Modell Erzeugung'!$C$2:$C$35='Abgleich Generation'!$A48)*('Modell Erzeugung'!$D$1:$AZ$1='Abgleich Generation'!T$38)*'Modell Erzeugung'!$D$2:$AZ$35))/1000000</f>
        <v>0</v>
      </c>
      <c r="U48" s="26">
        <f>(SUMPRODUCT(('Modell Erzeugung'!$C$2:$C$35='Abgleich Generation'!$A48)*('Modell Erzeugung'!$D$1:$AZ$1='Abgleich Generation'!U$40)*'Modell Erzeugung'!$D$2:$AZ$35)+SUMPRODUCT(('Modell Erzeugung'!$C$2:$C$35='Abgleich Generation'!$A48)*('Modell Erzeugung'!$D$1:$AZ$1='Abgleich Generation'!U$39)*'Modell Erzeugung'!$D$2:$AZ$35)+SUMPRODUCT(('Modell Erzeugung'!$C$2:$C$35='Abgleich Generation'!$A48)*('Modell Erzeugung'!$D$1:$AZ$1='Abgleich Generation'!U$38)*'Modell Erzeugung'!$D$2:$AZ$35))/1000000</f>
        <v>0</v>
      </c>
      <c r="V48" s="27">
        <f t="shared" si="57"/>
        <v>69.423970821086883</v>
      </c>
      <c r="W48" s="28"/>
      <c r="X48" s="29">
        <f t="shared" si="55"/>
        <v>64.472022416209398</v>
      </c>
      <c r="Y48" s="29">
        <f>(SUMPRODUCT(('Modell Erzeugung'!$C$2:$C$35='Abgleich Generation'!$A48)*('Modell Erzeugung'!$D$1:$AZ$1='Abgleich Generation'!Y$40)*'Modell Erzeugung'!$D$2:$AZ$35)+SUMPRODUCT(('Modell Erzeugung'!$C$2:$C$35='Abgleich Generation'!$A48)*('Modell Erzeugung'!$D$1:$AZ$1='Abgleich Generation'!Y$39)*'Modell Erzeugung'!$D$2:$AZ$35))/1000000</f>
        <v>-4.9519484048774798</v>
      </c>
    </row>
    <row r="49" spans="1:33" x14ac:dyDescent="0.25">
      <c r="A49" s="14" t="s">
        <v>16</v>
      </c>
      <c r="B49" s="57">
        <f t="shared" si="53"/>
        <v>88.292973230262206</v>
      </c>
      <c r="C49" s="58">
        <f>(SUMPRODUCT(('Modell Erzeugung'!$C$2:$C$35='Abgleich Generation'!$A49)*('Modell Erzeugung'!$D$1:$AZ$1='Abgleich Generation'!C$40)*'Modell Erzeugung'!$D$2:$AZ$35)+SUMPRODUCT(('Modell Erzeugung'!$C$2:$C$35='Abgleich Generation'!$A49)*('Modell Erzeugung'!$D$1:$AZ$1='Abgleich Generation'!C$39)*'Modell Erzeugung'!$D$2:$AZ$35)+SUMPRODUCT(('Modell Erzeugung'!$C$2:$C$35='Abgleich Generation'!$A49)*('Modell Erzeugung'!$D$1:$AZ$1='Abgleich Generation'!C$38)*'Modell Erzeugung'!$D$2:$AZ$35))/1000000</f>
        <v>26.694481884112999</v>
      </c>
      <c r="D49" s="58">
        <f t="shared" si="54"/>
        <v>61.59849134614921</v>
      </c>
      <c r="E49" s="58">
        <f>(SUMPRODUCT(('Modell Erzeugung'!$C$2:$C$35='Abgleich Generation'!$A49)*('Modell Erzeugung'!$D$1:$AZ$1='Abgleich Generation'!E$40)*'Modell Erzeugung'!$D$2:$AZ$35)+SUMPRODUCT(('Modell Erzeugung'!$C$2:$C$35='Abgleich Generation'!$A49)*('Modell Erzeugung'!$D$1:$AZ$1='Abgleich Generation'!E$39)*'Modell Erzeugung'!$D$2:$AZ$35)+SUMPRODUCT(('Modell Erzeugung'!$C$2:$C$35='Abgleich Generation'!$A49)*('Modell Erzeugung'!$D$1:$AZ$1='Abgleich Generation'!E$38)*'Modell Erzeugung'!$D$2:$AZ$35))/1000000</f>
        <v>59.723489646674203</v>
      </c>
      <c r="F49" s="58">
        <f>(SUMPRODUCT(('Modell Erzeugung'!$C$2:$C$35='Abgleich Generation'!$A49)*('Modell Erzeugung'!$D$1:$AZ$1='Abgleich Generation'!F$40)*'Modell Erzeugung'!$D$2:$AZ$35)+SUMPRODUCT(('Modell Erzeugung'!$C$2:$C$35='Abgleich Generation'!$A49)*('Modell Erzeugung'!$D$1:$AZ$1='Abgleich Generation'!F$39)*'Modell Erzeugung'!$D$2:$AZ$35)+SUMPRODUCT(('Modell Erzeugung'!$C$2:$C$35='Abgleich Generation'!$A49)*('Modell Erzeugung'!$D$1:$AZ$1='Abgleich Generation'!F$38)*'Modell Erzeugung'!$D$2:$AZ$35))/1000000</f>
        <v>0.85085840359099996</v>
      </c>
      <c r="G49" s="58">
        <f>(SUMPRODUCT(('Modell Erzeugung'!$C$2:$C$35='Abgleich Generation'!$A49)*('Modell Erzeugung'!$D$1:$AZ$1='Abgleich Generation'!G$40)*'Modell Erzeugung'!$D$2:$AZ$35)+SUMPRODUCT(('Modell Erzeugung'!$C$2:$C$35='Abgleich Generation'!$A49)*('Modell Erzeugung'!$D$1:$AZ$1='Abgleich Generation'!G$39)*'Modell Erzeugung'!$D$2:$AZ$35)+SUMPRODUCT(('Modell Erzeugung'!$C$2:$C$35='Abgleich Generation'!$A49)*('Modell Erzeugung'!$D$1:$AZ$1='Abgleich Generation'!G$38)*'Modell Erzeugung'!$D$2:$AZ$35))/1000000</f>
        <v>1.024143295884006</v>
      </c>
      <c r="H49" s="58">
        <f>(SUMPRODUCT(('Modell Erzeugung'!$C$2:$C$35='Abgleich Generation'!$A49)*('Modell Erzeugung'!$D$1:$AZ$1='Abgleich Generation'!H$40)*'Modell Erzeugung'!$D$2:$AZ$35)+SUMPRODUCT(('Modell Erzeugung'!$C$2:$C$35='Abgleich Generation'!$A49)*('Modell Erzeugung'!$D$1:$AZ$1='Abgleich Generation'!H$39)*'Modell Erzeugung'!$D$2:$AZ$35)+SUMPRODUCT(('Modell Erzeugung'!$C$2:$C$35='Abgleich Generation'!$A49)*('Modell Erzeugung'!$D$1:$AZ$1='Abgleich Generation'!H$38)*'Modell Erzeugung'!$D$2:$AZ$35))/1000000</f>
        <v>0</v>
      </c>
      <c r="I49" s="58">
        <f>(SUMPRODUCT(('Modell Erzeugung'!$C$2:$C$35='Abgleich Generation'!$A49)*('Modell Erzeugung'!$D$1:$AZ$1='Abgleich Generation'!I$40)*'Modell Erzeugung'!$D$2:$AZ$35)+SUMPRODUCT(('Modell Erzeugung'!$C$2:$C$35='Abgleich Generation'!$A49)*('Modell Erzeugung'!$D$1:$AZ$1='Abgleich Generation'!I$39)*'Modell Erzeugung'!$D$2:$AZ$35)+SUMPRODUCT(('Modell Erzeugung'!$C$2:$C$35='Abgleich Generation'!$A49)*('Modell Erzeugung'!$D$1:$AZ$1='Abgleich Generation'!I$38)*'Modell Erzeugung'!$D$2:$AZ$35))/1000000</f>
        <v>0</v>
      </c>
      <c r="J49" s="58">
        <f>(SUMPRODUCT(('Modell Erzeugung'!$C$2:$C$35='Abgleich Generation'!$A49)*('Modell Erzeugung'!$D$1:$AZ$1='Abgleich Generation'!J$40)*'Modell Erzeugung'!$D$2:$AZ$35)+SUMPRODUCT(('Modell Erzeugung'!$C$2:$C$35='Abgleich Generation'!$A49)*('Modell Erzeugung'!$D$1:$AZ$1='Abgleich Generation'!J$39)*'Modell Erzeugung'!$D$2:$AZ$35)+SUMPRODUCT(('Modell Erzeugung'!$C$2:$C$35='Abgleich Generation'!$A49)*('Modell Erzeugung'!$D$1:$AZ$1='Abgleich Generation'!J$38)*'Modell Erzeugung'!$D$2:$AZ$35))/1000000</f>
        <v>0</v>
      </c>
      <c r="K49" s="59">
        <f t="shared" si="56"/>
        <v>6.4266377982000105</v>
      </c>
      <c r="L49" s="58">
        <f>(SUMPRODUCT(('Modell Erzeugung'!$C$2:$C$35='Abgleich Generation'!$A49)*('Modell Erzeugung'!$D$1:$AZ$1='Abgleich Generation'!L$40)*'Modell Erzeugung'!$D$2:$AZ$35)+SUMPRODUCT(('Modell Erzeugung'!$C$2:$C$35='Abgleich Generation'!$A49)*('Modell Erzeugung'!$D$1:$AZ$1='Abgleich Generation'!L$39)*'Modell Erzeugung'!$D$2:$AZ$35)+SUMPRODUCT(('Modell Erzeugung'!$C$2:$C$35='Abgleich Generation'!$A49)*('Modell Erzeugung'!$D$1:$AZ$1='Abgleich Generation'!L$38)*'Modell Erzeugung'!$D$2:$AZ$35))/1000000</f>
        <v>2.7847461523640002</v>
      </c>
      <c r="M49" s="58">
        <f>(SUMPRODUCT(('Modell Erzeugung'!$C$2:$C$35='Abgleich Generation'!$A49)*('Modell Erzeugung'!$D$1:$AZ$1='Abgleich Generation'!M$40)*'Modell Erzeugung'!$D$2:$AZ$35)+SUMPRODUCT(('Modell Erzeugung'!$C$2:$C$35='Abgleich Generation'!$A49)*('Modell Erzeugung'!$D$1:$AZ$1='Abgleich Generation'!M$39)*'Modell Erzeugung'!$D$2:$AZ$35)+SUMPRODUCT(('Modell Erzeugung'!$C$2:$C$35='Abgleich Generation'!$A49)*('Modell Erzeugung'!$D$1:$AZ$1='Abgleich Generation'!M$38)*'Modell Erzeugung'!$D$2:$AZ$35))/1000000</f>
        <v>0</v>
      </c>
      <c r="N49" s="58">
        <f>(SUMPRODUCT(('Modell Erzeugung'!$C$2:$C$35='Abgleich Generation'!$A49)*('Modell Erzeugung'!$D$1:$AZ$1='Abgleich Generation'!N$40)*'Modell Erzeugung'!$D$2:$AZ$35)+SUMPRODUCT(('Modell Erzeugung'!$C$2:$C$35='Abgleich Generation'!$A49)*('Modell Erzeugung'!$D$1:$AZ$1='Abgleich Generation'!N$39)*'Modell Erzeugung'!$D$2:$AZ$35)+SUMPRODUCT(('Modell Erzeugung'!$C$2:$C$35='Abgleich Generation'!$A49)*('Modell Erzeugung'!$D$1:$AZ$1='Abgleich Generation'!N$38)*'Modell Erzeugung'!$D$2:$AZ$35))/1000000</f>
        <v>0</v>
      </c>
      <c r="O49" s="58">
        <f>(SUMPRODUCT(('Modell Erzeugung'!$C$2:$C$35='Abgleich Generation'!$A49)*('Modell Erzeugung'!$D$1:$AZ$1='Abgleich Generation'!O$40)*'Modell Erzeugung'!$D$2:$AZ$35)+SUMPRODUCT(('Modell Erzeugung'!$C$2:$C$35='Abgleich Generation'!$A49)*('Modell Erzeugung'!$D$1:$AZ$1='Abgleich Generation'!O$39)*'Modell Erzeugung'!$D$2:$AZ$35)+SUMPRODUCT(('Modell Erzeugung'!$C$2:$C$35='Abgleich Generation'!$A49)*('Modell Erzeugung'!$D$1:$AZ$1='Abgleich Generation'!O$38)*'Modell Erzeugung'!$D$2:$AZ$35))/1000000</f>
        <v>0.48323333285200004</v>
      </c>
      <c r="P49" s="58">
        <f>(SUMPRODUCT(('Modell Erzeugung'!$C$2:$C$35='Abgleich Generation'!$A49)*('Modell Erzeugung'!$D$1:$AZ$1='Abgleich Generation'!P$40)*'Modell Erzeugung'!$D$2:$AZ$35)+SUMPRODUCT(('Modell Erzeugung'!$C$2:$C$35='Abgleich Generation'!$A49)*('Modell Erzeugung'!$D$1:$AZ$1='Abgleich Generation'!P$39)*'Modell Erzeugung'!$D$2:$AZ$35)+SUMPRODUCT(('Modell Erzeugung'!$C$2:$C$35='Abgleich Generation'!$A49)*('Modell Erzeugung'!$D$1:$AZ$1='Abgleich Generation'!P$38)*'Modell Erzeugung'!$D$2:$AZ$35))/1000000</f>
        <v>1.7225367129840001</v>
      </c>
      <c r="Q49" s="58">
        <f>(SUMPRODUCT(('Modell Erzeugung'!$C$2:$C$35='Abgleich Generation'!$A49)*('Modell Erzeugung'!$D$1:$AZ$1='Abgleich Generation'!Q$40)*'Modell Erzeugung'!$D$2:$AZ$35)+SUMPRODUCT(('Modell Erzeugung'!$C$2:$C$35='Abgleich Generation'!$A49)*('Modell Erzeugung'!$D$1:$AZ$1='Abgleich Generation'!Q$39)*'Modell Erzeugung'!$D$2:$AZ$35)+SUMPRODUCT(('Modell Erzeugung'!$C$2:$C$35='Abgleich Generation'!$A49)*('Modell Erzeugung'!$D$1:$AZ$1='Abgleich Generation'!Q$38)*'Modell Erzeugung'!$D$2:$AZ$35))/1000000</f>
        <v>0</v>
      </c>
      <c r="R49" s="58">
        <f>(SUMPRODUCT(('Modell Erzeugung'!$C$2:$C$35='Abgleich Generation'!$A49)*('Modell Erzeugung'!$D$1:$AZ$1='Abgleich Generation'!R$40)*'Modell Erzeugung'!$D$2:$AZ$35)+SUMPRODUCT(('Modell Erzeugung'!$C$2:$C$35='Abgleich Generation'!$A49)*('Modell Erzeugung'!$D$1:$AZ$1='Abgleich Generation'!R$39)*'Modell Erzeugung'!$D$2:$AZ$35)+SUMPRODUCT(('Modell Erzeugung'!$C$2:$C$35='Abgleich Generation'!$A49)*('Modell Erzeugung'!$D$1:$AZ$1='Abgleich Generation'!R$38)*'Modell Erzeugung'!$D$2:$AZ$35))/1000000</f>
        <v>1.4361216000000101</v>
      </c>
      <c r="S49" s="58">
        <f>(SUMPRODUCT(('Modell Erzeugung'!$C$2:$C$35='Abgleich Generation'!$A49)*('Modell Erzeugung'!$D$1:$AZ$1='Abgleich Generation'!S$40)*'Modell Erzeugung'!$D$2:$AZ$35)+SUMPRODUCT(('Modell Erzeugung'!$C$2:$C$35='Abgleich Generation'!$A49)*('Modell Erzeugung'!$D$1:$AZ$1='Abgleich Generation'!S$39)*'Modell Erzeugung'!$D$2:$AZ$35)+SUMPRODUCT(('Modell Erzeugung'!$C$2:$C$35='Abgleich Generation'!$A49)*('Modell Erzeugung'!$D$1:$AZ$1='Abgleich Generation'!S$38)*'Modell Erzeugung'!$D$2:$AZ$35))/1000000</f>
        <v>0</v>
      </c>
      <c r="T49" s="58">
        <f>(SUMPRODUCT(('Modell Erzeugung'!$C$2:$C$35='Abgleich Generation'!$A49)*('Modell Erzeugung'!$D$1:$AZ$1='Abgleich Generation'!T$40)*'Modell Erzeugung'!$D$2:$AZ$35)+SUMPRODUCT(('Modell Erzeugung'!$C$2:$C$35='Abgleich Generation'!$A49)*('Modell Erzeugung'!$D$1:$AZ$1='Abgleich Generation'!T$39)*'Modell Erzeugung'!$D$2:$AZ$35)+SUMPRODUCT(('Modell Erzeugung'!$C$2:$C$35='Abgleich Generation'!$A49)*('Modell Erzeugung'!$D$1:$AZ$1='Abgleich Generation'!T$38)*'Modell Erzeugung'!$D$2:$AZ$35))/1000000</f>
        <v>0</v>
      </c>
      <c r="U49" s="58">
        <f>(SUMPRODUCT(('Modell Erzeugung'!$C$2:$C$35='Abgleich Generation'!$A49)*('Modell Erzeugung'!$D$1:$AZ$1='Abgleich Generation'!U$40)*'Modell Erzeugung'!$D$2:$AZ$35)+SUMPRODUCT(('Modell Erzeugung'!$C$2:$C$35='Abgleich Generation'!$A49)*('Modell Erzeugung'!$D$1:$AZ$1='Abgleich Generation'!U$39)*'Modell Erzeugung'!$D$2:$AZ$35)+SUMPRODUCT(('Modell Erzeugung'!$C$2:$C$35='Abgleich Generation'!$A49)*('Modell Erzeugung'!$D$1:$AZ$1='Abgleich Generation'!U$38)*'Modell Erzeugung'!$D$2:$AZ$35))/1000000</f>
        <v>0</v>
      </c>
      <c r="V49" s="59">
        <f t="shared" si="57"/>
        <v>94.719611028462211</v>
      </c>
      <c r="W49" s="60"/>
      <c r="X49" s="61">
        <f t="shared" si="55"/>
        <v>63.557007508366212</v>
      </c>
      <c r="Y49" s="61">
        <f>(SUMPRODUCT(('Modell Erzeugung'!$C$2:$C$35='Abgleich Generation'!$A49)*('Modell Erzeugung'!$D$1:$AZ$1='Abgleich Generation'!Y$40)*'Modell Erzeugung'!$D$2:$AZ$35)+SUMPRODUCT(('Modell Erzeugung'!$C$2:$C$35='Abgleich Generation'!$A49)*('Modell Erzeugung'!$D$1:$AZ$1='Abgleich Generation'!Y$39)*'Modell Erzeugung'!$D$2:$AZ$35))/1000000</f>
        <v>-31.162603520095999</v>
      </c>
    </row>
    <row r="50" spans="1:33" x14ac:dyDescent="0.25">
      <c r="A50" s="14" t="s">
        <v>17</v>
      </c>
      <c r="B50" s="25">
        <f t="shared" si="53"/>
        <v>362.62674877831483</v>
      </c>
      <c r="C50" s="26">
        <f>(SUMPRODUCT(('Modell Erzeugung'!$C$2:$C$35='Abgleich Generation'!$A50)*('Modell Erzeugung'!$D$1:$AZ$1='Abgleich Generation'!C$40)*'Modell Erzeugung'!$D$2:$AZ$35)+SUMPRODUCT(('Modell Erzeugung'!$C$2:$C$35='Abgleich Generation'!$A50)*('Modell Erzeugung'!$D$1:$AZ$1='Abgleich Generation'!C$39)*'Modell Erzeugung'!$D$2:$AZ$35)+SUMPRODUCT(('Modell Erzeugung'!$C$2:$C$35='Abgleich Generation'!$A50)*('Modell Erzeugung'!$D$1:$AZ$1='Abgleich Generation'!C$38)*'Modell Erzeugung'!$D$2:$AZ$35))/1000000</f>
        <v>71.467205097955798</v>
      </c>
      <c r="D50" s="26">
        <f t="shared" si="54"/>
        <v>291.15954368035904</v>
      </c>
      <c r="E50" s="26">
        <f>(SUMPRODUCT(('Modell Erzeugung'!$C$2:$C$35='Abgleich Generation'!$A50)*('Modell Erzeugung'!$D$1:$AZ$1='Abgleich Generation'!E$40)*'Modell Erzeugung'!$D$2:$AZ$35)+SUMPRODUCT(('Modell Erzeugung'!$C$2:$C$35='Abgleich Generation'!$A50)*('Modell Erzeugung'!$D$1:$AZ$1='Abgleich Generation'!E$39)*'Modell Erzeugung'!$D$2:$AZ$35)+SUMPRODUCT(('Modell Erzeugung'!$C$2:$C$35='Abgleich Generation'!$A50)*('Modell Erzeugung'!$D$1:$AZ$1='Abgleich Generation'!E$38)*'Modell Erzeugung'!$D$2:$AZ$35))/1000000</f>
        <v>145.550662656117</v>
      </c>
      <c r="F50" s="26">
        <f>(SUMPRODUCT(('Modell Erzeugung'!$C$2:$C$35='Abgleich Generation'!$A50)*('Modell Erzeugung'!$D$1:$AZ$1='Abgleich Generation'!F$40)*'Modell Erzeugung'!$D$2:$AZ$35)+SUMPRODUCT(('Modell Erzeugung'!$C$2:$C$35='Abgleich Generation'!$A50)*('Modell Erzeugung'!$D$1:$AZ$1='Abgleich Generation'!F$39)*'Modell Erzeugung'!$D$2:$AZ$35)+SUMPRODUCT(('Modell Erzeugung'!$C$2:$C$35='Abgleich Generation'!$A50)*('Modell Erzeugung'!$D$1:$AZ$1='Abgleich Generation'!F$38)*'Modell Erzeugung'!$D$2:$AZ$35))/1000000</f>
        <v>72.177936679498004</v>
      </c>
      <c r="G50" s="26">
        <f>(SUMPRODUCT(('Modell Erzeugung'!$C$2:$C$35='Abgleich Generation'!$A50)*('Modell Erzeugung'!$D$1:$AZ$1='Abgleich Generation'!G$40)*'Modell Erzeugung'!$D$2:$AZ$35)+SUMPRODUCT(('Modell Erzeugung'!$C$2:$C$35='Abgleich Generation'!$A50)*('Modell Erzeugung'!$D$1:$AZ$1='Abgleich Generation'!G$39)*'Modell Erzeugung'!$D$2:$AZ$35)+SUMPRODUCT(('Modell Erzeugung'!$C$2:$C$35='Abgleich Generation'!$A50)*('Modell Erzeugung'!$D$1:$AZ$1='Abgleich Generation'!G$38)*'Modell Erzeugung'!$D$2:$AZ$35))/1000000</f>
        <v>73.398839656671996</v>
      </c>
      <c r="H50" s="26">
        <f>(SUMPRODUCT(('Modell Erzeugung'!$C$2:$C$35='Abgleich Generation'!$A50)*('Modell Erzeugung'!$D$1:$AZ$1='Abgleich Generation'!H$40)*'Modell Erzeugung'!$D$2:$AZ$35)+SUMPRODUCT(('Modell Erzeugung'!$C$2:$C$35='Abgleich Generation'!$A50)*('Modell Erzeugung'!$D$1:$AZ$1='Abgleich Generation'!H$39)*'Modell Erzeugung'!$D$2:$AZ$35)+SUMPRODUCT(('Modell Erzeugung'!$C$2:$C$35='Abgleich Generation'!$A50)*('Modell Erzeugung'!$D$1:$AZ$1='Abgleich Generation'!H$38)*'Modell Erzeugung'!$D$2:$AZ$35))/1000000</f>
        <v>0</v>
      </c>
      <c r="I50" s="26">
        <f>(SUMPRODUCT(('Modell Erzeugung'!$C$2:$C$35='Abgleich Generation'!$A50)*('Modell Erzeugung'!$D$1:$AZ$1='Abgleich Generation'!I$40)*'Modell Erzeugung'!$D$2:$AZ$35)+SUMPRODUCT(('Modell Erzeugung'!$C$2:$C$35='Abgleich Generation'!$A50)*('Modell Erzeugung'!$D$1:$AZ$1='Abgleich Generation'!I$39)*'Modell Erzeugung'!$D$2:$AZ$35)+SUMPRODUCT(('Modell Erzeugung'!$C$2:$C$35='Abgleich Generation'!$A50)*('Modell Erzeugung'!$D$1:$AZ$1='Abgleich Generation'!I$38)*'Modell Erzeugung'!$D$2:$AZ$35))/1000000</f>
        <v>0</v>
      </c>
      <c r="J50" s="26">
        <f>(SUMPRODUCT(('Modell Erzeugung'!$C$2:$C$35='Abgleich Generation'!$A50)*('Modell Erzeugung'!$D$1:$AZ$1='Abgleich Generation'!J$40)*'Modell Erzeugung'!$D$2:$AZ$35)+SUMPRODUCT(('Modell Erzeugung'!$C$2:$C$35='Abgleich Generation'!$A50)*('Modell Erzeugung'!$D$1:$AZ$1='Abgleich Generation'!J$39)*'Modell Erzeugung'!$D$2:$AZ$35)+SUMPRODUCT(('Modell Erzeugung'!$C$2:$C$35='Abgleich Generation'!$A50)*('Modell Erzeugung'!$D$1:$AZ$1='Abgleich Generation'!J$38)*'Modell Erzeugung'!$D$2:$AZ$35))/1000000</f>
        <v>3.2104688072000002E-2</v>
      </c>
      <c r="K50" s="27">
        <f t="shared" si="56"/>
        <v>206.12450751246598</v>
      </c>
      <c r="L50" s="26">
        <f>(SUMPRODUCT(('Modell Erzeugung'!$C$2:$C$35='Abgleich Generation'!$A50)*('Modell Erzeugung'!$D$1:$AZ$1='Abgleich Generation'!L$40)*'Modell Erzeugung'!$D$2:$AZ$35)+SUMPRODUCT(('Modell Erzeugung'!$C$2:$C$35='Abgleich Generation'!$A50)*('Modell Erzeugung'!$D$1:$AZ$1='Abgleich Generation'!L$39)*'Modell Erzeugung'!$D$2:$AZ$35)+SUMPRODUCT(('Modell Erzeugung'!$C$2:$C$35='Abgleich Generation'!$A50)*('Modell Erzeugung'!$D$1:$AZ$1='Abgleich Generation'!L$38)*'Modell Erzeugung'!$D$2:$AZ$35))/1000000</f>
        <v>24.182164383747001</v>
      </c>
      <c r="M50" s="26">
        <f>(SUMPRODUCT(('Modell Erzeugung'!$C$2:$C$35='Abgleich Generation'!$A50)*('Modell Erzeugung'!$D$1:$AZ$1='Abgleich Generation'!M$40)*'Modell Erzeugung'!$D$2:$AZ$35)+SUMPRODUCT(('Modell Erzeugung'!$C$2:$C$35='Abgleich Generation'!$A50)*('Modell Erzeugung'!$D$1:$AZ$1='Abgleich Generation'!M$39)*'Modell Erzeugung'!$D$2:$AZ$35)+SUMPRODUCT(('Modell Erzeugung'!$C$2:$C$35='Abgleich Generation'!$A50)*('Modell Erzeugung'!$D$1:$AZ$1='Abgleich Generation'!M$38)*'Modell Erzeugung'!$D$2:$AZ$35))/1000000</f>
        <v>0</v>
      </c>
      <c r="N50" s="26">
        <f>(SUMPRODUCT(('Modell Erzeugung'!$C$2:$C$35='Abgleich Generation'!$A50)*('Modell Erzeugung'!$D$1:$AZ$1='Abgleich Generation'!N$40)*'Modell Erzeugung'!$D$2:$AZ$35)+SUMPRODUCT(('Modell Erzeugung'!$C$2:$C$35='Abgleich Generation'!$A50)*('Modell Erzeugung'!$D$1:$AZ$1='Abgleich Generation'!N$39)*'Modell Erzeugung'!$D$2:$AZ$35)+SUMPRODUCT(('Modell Erzeugung'!$C$2:$C$35='Abgleich Generation'!$A50)*('Modell Erzeugung'!$D$1:$AZ$1='Abgleich Generation'!N$38)*'Modell Erzeugung'!$D$2:$AZ$35))/1000000</f>
        <v>19.265310881917998</v>
      </c>
      <c r="O50" s="26">
        <f>(SUMPRODUCT(('Modell Erzeugung'!$C$2:$C$35='Abgleich Generation'!$A50)*('Modell Erzeugung'!$D$1:$AZ$1='Abgleich Generation'!O$40)*'Modell Erzeugung'!$D$2:$AZ$35)+SUMPRODUCT(('Modell Erzeugung'!$C$2:$C$35='Abgleich Generation'!$A50)*('Modell Erzeugung'!$D$1:$AZ$1='Abgleich Generation'!O$39)*'Modell Erzeugung'!$D$2:$AZ$35)+SUMPRODUCT(('Modell Erzeugung'!$C$2:$C$35='Abgleich Generation'!$A50)*('Modell Erzeugung'!$D$1:$AZ$1='Abgleich Generation'!O$38)*'Modell Erzeugung'!$D$2:$AZ$35))/1000000</f>
        <v>84.651949907398006</v>
      </c>
      <c r="P50" s="26">
        <f>(SUMPRODUCT(('Modell Erzeugung'!$C$2:$C$35='Abgleich Generation'!$A50)*('Modell Erzeugung'!$D$1:$AZ$1='Abgleich Generation'!P$40)*'Modell Erzeugung'!$D$2:$AZ$35)+SUMPRODUCT(('Modell Erzeugung'!$C$2:$C$35='Abgleich Generation'!$A50)*('Modell Erzeugung'!$D$1:$AZ$1='Abgleich Generation'!P$39)*'Modell Erzeugung'!$D$2:$AZ$35)+SUMPRODUCT(('Modell Erzeugung'!$C$2:$C$35='Abgleich Generation'!$A50)*('Modell Erzeugung'!$D$1:$AZ$1='Abgleich Generation'!P$38)*'Modell Erzeugung'!$D$2:$AZ$35))/1000000</f>
        <v>34.617638068607</v>
      </c>
      <c r="Q50" s="26">
        <f>(SUMPRODUCT(('Modell Erzeugung'!$C$2:$C$35='Abgleich Generation'!$A50)*('Modell Erzeugung'!$D$1:$AZ$1='Abgleich Generation'!Q$40)*'Modell Erzeugung'!$D$2:$AZ$35)+SUMPRODUCT(('Modell Erzeugung'!$C$2:$C$35='Abgleich Generation'!$A50)*('Modell Erzeugung'!$D$1:$AZ$1='Abgleich Generation'!Q$39)*'Modell Erzeugung'!$D$2:$AZ$35)+SUMPRODUCT(('Modell Erzeugung'!$C$2:$C$35='Abgleich Generation'!$A50)*('Modell Erzeugung'!$D$1:$AZ$1='Abgleich Generation'!Q$38)*'Modell Erzeugung'!$D$2:$AZ$35))/1000000</f>
        <v>0</v>
      </c>
      <c r="R50" s="26">
        <f>(SUMPRODUCT(('Modell Erzeugung'!$C$2:$C$35='Abgleich Generation'!$A50)*('Modell Erzeugung'!$D$1:$AZ$1='Abgleich Generation'!R$40)*'Modell Erzeugung'!$D$2:$AZ$35)+SUMPRODUCT(('Modell Erzeugung'!$C$2:$C$35='Abgleich Generation'!$A50)*('Modell Erzeugung'!$D$1:$AZ$1='Abgleich Generation'!R$39)*'Modell Erzeugung'!$D$2:$AZ$35)+SUMPRODUCT(('Modell Erzeugung'!$C$2:$C$35='Abgleich Generation'!$A50)*('Modell Erzeugung'!$D$1:$AZ$1='Abgleich Generation'!R$38)*'Modell Erzeugung'!$D$2:$AZ$35))/1000000</f>
        <v>43.222444271185999</v>
      </c>
      <c r="S50" s="26">
        <f>(SUMPRODUCT(('Modell Erzeugung'!$C$2:$C$35='Abgleich Generation'!$A50)*('Modell Erzeugung'!$D$1:$AZ$1='Abgleich Generation'!S$40)*'Modell Erzeugung'!$D$2:$AZ$35)+SUMPRODUCT(('Modell Erzeugung'!$C$2:$C$35='Abgleich Generation'!$A50)*('Modell Erzeugung'!$D$1:$AZ$1='Abgleich Generation'!S$39)*'Modell Erzeugung'!$D$2:$AZ$35)+SUMPRODUCT(('Modell Erzeugung'!$C$2:$C$35='Abgleich Generation'!$A50)*('Modell Erzeugung'!$D$1:$AZ$1='Abgleich Generation'!S$38)*'Modell Erzeugung'!$D$2:$AZ$35))/1000000</f>
        <v>0</v>
      </c>
      <c r="T50" s="26">
        <f>(SUMPRODUCT(('Modell Erzeugung'!$C$2:$C$35='Abgleich Generation'!$A50)*('Modell Erzeugung'!$D$1:$AZ$1='Abgleich Generation'!T$40)*'Modell Erzeugung'!$D$2:$AZ$35)+SUMPRODUCT(('Modell Erzeugung'!$C$2:$C$35='Abgleich Generation'!$A50)*('Modell Erzeugung'!$D$1:$AZ$1='Abgleich Generation'!T$39)*'Modell Erzeugung'!$D$2:$AZ$35)+SUMPRODUCT(('Modell Erzeugung'!$C$2:$C$35='Abgleich Generation'!$A50)*('Modell Erzeugung'!$D$1:$AZ$1='Abgleich Generation'!T$38)*'Modell Erzeugung'!$D$2:$AZ$35))/1000000</f>
        <v>0.18499999960999999</v>
      </c>
      <c r="U50" s="26">
        <f>(SUMPRODUCT(('Modell Erzeugung'!$C$2:$C$35='Abgleich Generation'!$A50)*('Modell Erzeugung'!$D$1:$AZ$1='Abgleich Generation'!U$40)*'Modell Erzeugung'!$D$2:$AZ$35)+SUMPRODUCT(('Modell Erzeugung'!$C$2:$C$35='Abgleich Generation'!$A50)*('Modell Erzeugung'!$D$1:$AZ$1='Abgleich Generation'!U$39)*'Modell Erzeugung'!$D$2:$AZ$35)+SUMPRODUCT(('Modell Erzeugung'!$C$2:$C$35='Abgleich Generation'!$A50)*('Modell Erzeugung'!$D$1:$AZ$1='Abgleich Generation'!U$38)*'Modell Erzeugung'!$D$2:$AZ$35))/1000000</f>
        <v>0</v>
      </c>
      <c r="V50" s="27">
        <f t="shared" si="57"/>
        <v>568.75125629078082</v>
      </c>
      <c r="W50" s="28"/>
      <c r="X50" s="29">
        <f t="shared" si="55"/>
        <v>540.45114292606979</v>
      </c>
      <c r="Y50" s="29">
        <f>(SUMPRODUCT(('Modell Erzeugung'!$C$2:$C$35='Abgleich Generation'!$A50)*('Modell Erzeugung'!$D$1:$AZ$1='Abgleich Generation'!Y$40)*'Modell Erzeugung'!$D$2:$AZ$35)+SUMPRODUCT(('Modell Erzeugung'!$C$2:$C$35='Abgleich Generation'!$A50)*('Modell Erzeugung'!$D$1:$AZ$1='Abgleich Generation'!Y$39)*'Modell Erzeugung'!$D$2:$AZ$35))/1000000</f>
        <v>-28.300113364711002</v>
      </c>
    </row>
    <row r="51" spans="1:33" x14ac:dyDescent="0.25">
      <c r="A51" s="14" t="s">
        <v>18</v>
      </c>
      <c r="B51" s="57">
        <f t="shared" si="53"/>
        <v>11.450229490399959</v>
      </c>
      <c r="C51" s="58">
        <f>(SUMPRODUCT(('Modell Erzeugung'!$C$2:$C$35='Abgleich Generation'!$A51)*('Modell Erzeugung'!$D$1:$AZ$1='Abgleich Generation'!C$40)*'Modell Erzeugung'!$D$2:$AZ$35)+SUMPRODUCT(('Modell Erzeugung'!$C$2:$C$35='Abgleich Generation'!$A51)*('Modell Erzeugung'!$D$1:$AZ$1='Abgleich Generation'!C$39)*'Modell Erzeugung'!$D$2:$AZ$35)+SUMPRODUCT(('Modell Erzeugung'!$C$2:$C$35='Abgleich Generation'!$A51)*('Modell Erzeugung'!$D$1:$AZ$1='Abgleich Generation'!C$38)*'Modell Erzeugung'!$D$2:$AZ$35))/1000000</f>
        <v>0</v>
      </c>
      <c r="D51" s="58">
        <f t="shared" si="54"/>
        <v>11.450229490399959</v>
      </c>
      <c r="E51" s="58">
        <f>(SUMPRODUCT(('Modell Erzeugung'!$C$2:$C$35='Abgleich Generation'!$A51)*('Modell Erzeugung'!$D$1:$AZ$1='Abgleich Generation'!E$40)*'Modell Erzeugung'!$D$2:$AZ$35)+SUMPRODUCT(('Modell Erzeugung'!$C$2:$C$35='Abgleich Generation'!$A51)*('Modell Erzeugung'!$D$1:$AZ$1='Abgleich Generation'!E$39)*'Modell Erzeugung'!$D$2:$AZ$35)+SUMPRODUCT(('Modell Erzeugung'!$C$2:$C$35='Abgleich Generation'!$A51)*('Modell Erzeugung'!$D$1:$AZ$1='Abgleich Generation'!E$38)*'Modell Erzeugung'!$D$2:$AZ$35))/1000000</f>
        <v>0</v>
      </c>
      <c r="F51" s="58">
        <f>(SUMPRODUCT(('Modell Erzeugung'!$C$2:$C$35='Abgleich Generation'!$A51)*('Modell Erzeugung'!$D$1:$AZ$1='Abgleich Generation'!F$40)*'Modell Erzeugung'!$D$2:$AZ$35)+SUMPRODUCT(('Modell Erzeugung'!$C$2:$C$35='Abgleich Generation'!$A51)*('Modell Erzeugung'!$D$1:$AZ$1='Abgleich Generation'!F$39)*'Modell Erzeugung'!$D$2:$AZ$35)+SUMPRODUCT(('Modell Erzeugung'!$C$2:$C$35='Abgleich Generation'!$A51)*('Modell Erzeugung'!$D$1:$AZ$1='Abgleich Generation'!F$38)*'Modell Erzeugung'!$D$2:$AZ$35))/1000000</f>
        <v>2.897186054833</v>
      </c>
      <c r="G51" s="58">
        <f>(SUMPRODUCT(('Modell Erzeugung'!$C$2:$C$35='Abgleich Generation'!$A51)*('Modell Erzeugung'!$D$1:$AZ$1='Abgleich Generation'!G$40)*'Modell Erzeugung'!$D$2:$AZ$35)+SUMPRODUCT(('Modell Erzeugung'!$C$2:$C$35='Abgleich Generation'!$A51)*('Modell Erzeugung'!$D$1:$AZ$1='Abgleich Generation'!G$39)*'Modell Erzeugung'!$D$2:$AZ$35)+SUMPRODUCT(('Modell Erzeugung'!$C$2:$C$35='Abgleich Generation'!$A51)*('Modell Erzeugung'!$D$1:$AZ$1='Abgleich Generation'!G$38)*'Modell Erzeugung'!$D$2:$AZ$35))/1000000</f>
        <v>8.5530434355669591</v>
      </c>
      <c r="H51" s="58">
        <f>(SUMPRODUCT(('Modell Erzeugung'!$C$2:$C$35='Abgleich Generation'!$A51)*('Modell Erzeugung'!$D$1:$AZ$1='Abgleich Generation'!H$40)*'Modell Erzeugung'!$D$2:$AZ$35)+SUMPRODUCT(('Modell Erzeugung'!$C$2:$C$35='Abgleich Generation'!$A51)*('Modell Erzeugung'!$D$1:$AZ$1='Abgleich Generation'!H$39)*'Modell Erzeugung'!$D$2:$AZ$35)+SUMPRODUCT(('Modell Erzeugung'!$C$2:$C$35='Abgleich Generation'!$A51)*('Modell Erzeugung'!$D$1:$AZ$1='Abgleich Generation'!H$38)*'Modell Erzeugung'!$D$2:$AZ$35))/1000000</f>
        <v>0</v>
      </c>
      <c r="I51" s="58">
        <f>(SUMPRODUCT(('Modell Erzeugung'!$C$2:$C$35='Abgleich Generation'!$A51)*('Modell Erzeugung'!$D$1:$AZ$1='Abgleich Generation'!I$40)*'Modell Erzeugung'!$D$2:$AZ$35)+SUMPRODUCT(('Modell Erzeugung'!$C$2:$C$35='Abgleich Generation'!$A51)*('Modell Erzeugung'!$D$1:$AZ$1='Abgleich Generation'!I$39)*'Modell Erzeugung'!$D$2:$AZ$35)+SUMPRODUCT(('Modell Erzeugung'!$C$2:$C$35='Abgleich Generation'!$A51)*('Modell Erzeugung'!$D$1:$AZ$1='Abgleich Generation'!I$38)*'Modell Erzeugung'!$D$2:$AZ$35))/1000000</f>
        <v>0</v>
      </c>
      <c r="J51" s="58">
        <f>(SUMPRODUCT(('Modell Erzeugung'!$C$2:$C$35='Abgleich Generation'!$A51)*('Modell Erzeugung'!$D$1:$AZ$1='Abgleich Generation'!J$40)*'Modell Erzeugung'!$D$2:$AZ$35)+SUMPRODUCT(('Modell Erzeugung'!$C$2:$C$35='Abgleich Generation'!$A51)*('Modell Erzeugung'!$D$1:$AZ$1='Abgleich Generation'!J$39)*'Modell Erzeugung'!$D$2:$AZ$35)+SUMPRODUCT(('Modell Erzeugung'!$C$2:$C$35='Abgleich Generation'!$A51)*('Modell Erzeugung'!$D$1:$AZ$1='Abgleich Generation'!J$38)*'Modell Erzeugung'!$D$2:$AZ$35))/1000000</f>
        <v>0</v>
      </c>
      <c r="K51" s="59">
        <f t="shared" si="56"/>
        <v>23.420682571264102</v>
      </c>
      <c r="L51" s="58">
        <f>(SUMPRODUCT(('Modell Erzeugung'!$C$2:$C$35='Abgleich Generation'!$A51)*('Modell Erzeugung'!$D$1:$AZ$1='Abgleich Generation'!L$40)*'Modell Erzeugung'!$D$2:$AZ$35)+SUMPRODUCT(('Modell Erzeugung'!$C$2:$C$35='Abgleich Generation'!$A51)*('Modell Erzeugung'!$D$1:$AZ$1='Abgleich Generation'!L$39)*'Modell Erzeugung'!$D$2:$AZ$35)+SUMPRODUCT(('Modell Erzeugung'!$C$2:$C$35='Abgleich Generation'!$A51)*('Modell Erzeugung'!$D$1:$AZ$1='Abgleich Generation'!L$38)*'Modell Erzeugung'!$D$2:$AZ$35))/1000000</f>
        <v>0</v>
      </c>
      <c r="M51" s="58">
        <f>(SUMPRODUCT(('Modell Erzeugung'!$C$2:$C$35='Abgleich Generation'!$A51)*('Modell Erzeugung'!$D$1:$AZ$1='Abgleich Generation'!M$40)*'Modell Erzeugung'!$D$2:$AZ$35)+SUMPRODUCT(('Modell Erzeugung'!$C$2:$C$35='Abgleich Generation'!$A51)*('Modell Erzeugung'!$D$1:$AZ$1='Abgleich Generation'!M$39)*'Modell Erzeugung'!$D$2:$AZ$35)+SUMPRODUCT(('Modell Erzeugung'!$C$2:$C$35='Abgleich Generation'!$A51)*('Modell Erzeugung'!$D$1:$AZ$1='Abgleich Generation'!M$38)*'Modell Erzeugung'!$D$2:$AZ$35))/1000000</f>
        <v>0</v>
      </c>
      <c r="N51" s="58">
        <f>(SUMPRODUCT(('Modell Erzeugung'!$C$2:$C$35='Abgleich Generation'!$A51)*('Modell Erzeugung'!$D$1:$AZ$1='Abgleich Generation'!N$40)*'Modell Erzeugung'!$D$2:$AZ$35)+SUMPRODUCT(('Modell Erzeugung'!$C$2:$C$35='Abgleich Generation'!$A51)*('Modell Erzeugung'!$D$1:$AZ$1='Abgleich Generation'!N$39)*'Modell Erzeugung'!$D$2:$AZ$35)+SUMPRODUCT(('Modell Erzeugung'!$C$2:$C$35='Abgleich Generation'!$A51)*('Modell Erzeugung'!$D$1:$AZ$1='Abgleich Generation'!N$38)*'Modell Erzeugung'!$D$2:$AZ$35))/1000000</f>
        <v>4.7703996354019997</v>
      </c>
      <c r="O51" s="58">
        <f>(SUMPRODUCT(('Modell Erzeugung'!$C$2:$C$35='Abgleich Generation'!$A51)*('Modell Erzeugung'!$D$1:$AZ$1='Abgleich Generation'!O$40)*'Modell Erzeugung'!$D$2:$AZ$35)+SUMPRODUCT(('Modell Erzeugung'!$C$2:$C$35='Abgleich Generation'!$A51)*('Modell Erzeugung'!$D$1:$AZ$1='Abgleich Generation'!O$39)*'Modell Erzeugung'!$D$2:$AZ$35)+SUMPRODUCT(('Modell Erzeugung'!$C$2:$C$35='Abgleich Generation'!$A51)*('Modell Erzeugung'!$D$1:$AZ$1='Abgleich Generation'!O$38)*'Modell Erzeugung'!$D$2:$AZ$35))/1000000</f>
        <v>8.0443075324619997</v>
      </c>
      <c r="P51" s="58">
        <f>(SUMPRODUCT(('Modell Erzeugung'!$C$2:$C$35='Abgleich Generation'!$A51)*('Modell Erzeugung'!$D$1:$AZ$1='Abgleich Generation'!P$40)*'Modell Erzeugung'!$D$2:$AZ$35)+SUMPRODUCT(('Modell Erzeugung'!$C$2:$C$35='Abgleich Generation'!$A51)*('Modell Erzeugung'!$D$1:$AZ$1='Abgleich Generation'!P$39)*'Modell Erzeugung'!$D$2:$AZ$35)+SUMPRODUCT(('Modell Erzeugung'!$C$2:$C$35='Abgleich Generation'!$A51)*('Modell Erzeugung'!$D$1:$AZ$1='Abgleich Generation'!P$38)*'Modell Erzeugung'!$D$2:$AZ$35))/1000000</f>
        <v>0.3517016114</v>
      </c>
      <c r="Q51" s="58">
        <f>(SUMPRODUCT(('Modell Erzeugung'!$C$2:$C$35='Abgleich Generation'!$A51)*('Modell Erzeugung'!$D$1:$AZ$1='Abgleich Generation'!Q$40)*'Modell Erzeugung'!$D$2:$AZ$35)+SUMPRODUCT(('Modell Erzeugung'!$C$2:$C$35='Abgleich Generation'!$A51)*('Modell Erzeugung'!$D$1:$AZ$1='Abgleich Generation'!Q$39)*'Modell Erzeugung'!$D$2:$AZ$35)+SUMPRODUCT(('Modell Erzeugung'!$C$2:$C$35='Abgleich Generation'!$A51)*('Modell Erzeugung'!$D$1:$AZ$1='Abgleich Generation'!Q$38)*'Modell Erzeugung'!$D$2:$AZ$35))/1000000</f>
        <v>0</v>
      </c>
      <c r="R51" s="58">
        <f>(SUMPRODUCT(('Modell Erzeugung'!$C$2:$C$35='Abgleich Generation'!$A51)*('Modell Erzeugung'!$D$1:$AZ$1='Abgleich Generation'!R$40)*'Modell Erzeugung'!$D$2:$AZ$35)+SUMPRODUCT(('Modell Erzeugung'!$C$2:$C$35='Abgleich Generation'!$A51)*('Modell Erzeugung'!$D$1:$AZ$1='Abgleich Generation'!R$39)*'Modell Erzeugung'!$D$2:$AZ$35)+SUMPRODUCT(('Modell Erzeugung'!$C$2:$C$35='Abgleich Generation'!$A51)*('Modell Erzeugung'!$D$1:$AZ$1='Abgleich Generation'!R$38)*'Modell Erzeugung'!$D$2:$AZ$35))/1000000</f>
        <v>10.254273792000101</v>
      </c>
      <c r="S51" s="58">
        <f>(SUMPRODUCT(('Modell Erzeugung'!$C$2:$C$35='Abgleich Generation'!$A51)*('Modell Erzeugung'!$D$1:$AZ$1='Abgleich Generation'!S$40)*'Modell Erzeugung'!$D$2:$AZ$35)+SUMPRODUCT(('Modell Erzeugung'!$C$2:$C$35='Abgleich Generation'!$A51)*('Modell Erzeugung'!$D$1:$AZ$1='Abgleich Generation'!S$39)*'Modell Erzeugung'!$D$2:$AZ$35)+SUMPRODUCT(('Modell Erzeugung'!$C$2:$C$35='Abgleich Generation'!$A51)*('Modell Erzeugung'!$D$1:$AZ$1='Abgleich Generation'!S$38)*'Modell Erzeugung'!$D$2:$AZ$35))/1000000</f>
        <v>0</v>
      </c>
      <c r="T51" s="58">
        <f>(SUMPRODUCT(('Modell Erzeugung'!$C$2:$C$35='Abgleich Generation'!$A51)*('Modell Erzeugung'!$D$1:$AZ$1='Abgleich Generation'!T$40)*'Modell Erzeugung'!$D$2:$AZ$35)+SUMPRODUCT(('Modell Erzeugung'!$C$2:$C$35='Abgleich Generation'!$A51)*('Modell Erzeugung'!$D$1:$AZ$1='Abgleich Generation'!T$39)*'Modell Erzeugung'!$D$2:$AZ$35)+SUMPRODUCT(('Modell Erzeugung'!$C$2:$C$35='Abgleich Generation'!$A51)*('Modell Erzeugung'!$D$1:$AZ$1='Abgleich Generation'!T$38)*'Modell Erzeugung'!$D$2:$AZ$35))/1000000</f>
        <v>0</v>
      </c>
      <c r="U51" s="58">
        <f>(SUMPRODUCT(('Modell Erzeugung'!$C$2:$C$35='Abgleich Generation'!$A51)*('Modell Erzeugung'!$D$1:$AZ$1='Abgleich Generation'!U$40)*'Modell Erzeugung'!$D$2:$AZ$35)+SUMPRODUCT(('Modell Erzeugung'!$C$2:$C$35='Abgleich Generation'!$A51)*('Modell Erzeugung'!$D$1:$AZ$1='Abgleich Generation'!U$39)*'Modell Erzeugung'!$D$2:$AZ$35)+SUMPRODUCT(('Modell Erzeugung'!$C$2:$C$35='Abgleich Generation'!$A51)*('Modell Erzeugung'!$D$1:$AZ$1='Abgleich Generation'!U$38)*'Modell Erzeugung'!$D$2:$AZ$35))/1000000</f>
        <v>0</v>
      </c>
      <c r="V51" s="59">
        <f t="shared" si="57"/>
        <v>34.870912061664058</v>
      </c>
      <c r="W51" s="60"/>
      <c r="X51" s="61">
        <f t="shared" si="55"/>
        <v>34.985644385977324</v>
      </c>
      <c r="Y51" s="61">
        <f>(SUMPRODUCT(('Modell Erzeugung'!$C$2:$C$35='Abgleich Generation'!$A51)*('Modell Erzeugung'!$D$1:$AZ$1='Abgleich Generation'!Y$40)*'Modell Erzeugung'!$D$2:$AZ$35)+SUMPRODUCT(('Modell Erzeugung'!$C$2:$C$35='Abgleich Generation'!$A51)*('Modell Erzeugung'!$D$1:$AZ$1='Abgleich Generation'!Y$39)*'Modell Erzeugung'!$D$2:$AZ$35))/1000000</f>
        <v>0.11473232431326801</v>
      </c>
    </row>
    <row r="52" spans="1:33" x14ac:dyDescent="0.25">
      <c r="A52" s="14" t="s">
        <v>19</v>
      </c>
      <c r="B52" s="25">
        <f t="shared" si="53"/>
        <v>152.28175372433418</v>
      </c>
      <c r="C52" s="26">
        <f>(SUMPRODUCT(('Modell Erzeugung'!$C$2:$C$35='Abgleich Generation'!$A52)*('Modell Erzeugung'!$D$1:$AZ$1='Abgleich Generation'!C$40)*'Modell Erzeugung'!$D$2:$AZ$35)+SUMPRODUCT(('Modell Erzeugung'!$C$2:$C$35='Abgleich Generation'!$A52)*('Modell Erzeugung'!$D$1:$AZ$1='Abgleich Generation'!C$39)*'Modell Erzeugung'!$D$2:$AZ$35)+SUMPRODUCT(('Modell Erzeugung'!$C$2:$C$35='Abgleich Generation'!$A52)*('Modell Erzeugung'!$D$1:$AZ$1='Abgleich Generation'!C$38)*'Modell Erzeugung'!$D$2:$AZ$35))/1000000</f>
        <v>57.419487314482005</v>
      </c>
      <c r="D52" s="26">
        <f t="shared" si="54"/>
        <v>94.862266409852182</v>
      </c>
      <c r="E52" s="26">
        <f>(SUMPRODUCT(('Modell Erzeugung'!$C$2:$C$35='Abgleich Generation'!$A52)*('Modell Erzeugung'!$D$1:$AZ$1='Abgleich Generation'!E$40)*'Modell Erzeugung'!$D$2:$AZ$35)+SUMPRODUCT(('Modell Erzeugung'!$C$2:$C$35='Abgleich Generation'!$A52)*('Modell Erzeugung'!$D$1:$AZ$1='Abgleich Generation'!E$39)*'Modell Erzeugung'!$D$2:$AZ$35)+SUMPRODUCT(('Modell Erzeugung'!$C$2:$C$35='Abgleich Generation'!$A52)*('Modell Erzeugung'!$D$1:$AZ$1='Abgleich Generation'!E$38)*'Modell Erzeugung'!$D$2:$AZ$35))/1000000</f>
        <v>2.3113591113349896</v>
      </c>
      <c r="F52" s="26">
        <f>(SUMPRODUCT(('Modell Erzeugung'!$C$2:$C$35='Abgleich Generation'!$A52)*('Modell Erzeugung'!$D$1:$AZ$1='Abgleich Generation'!F$40)*'Modell Erzeugung'!$D$2:$AZ$35)+SUMPRODUCT(('Modell Erzeugung'!$C$2:$C$35='Abgleich Generation'!$A52)*('Modell Erzeugung'!$D$1:$AZ$1='Abgleich Generation'!F$39)*'Modell Erzeugung'!$D$2:$AZ$35)+SUMPRODUCT(('Modell Erzeugung'!$C$2:$C$35='Abgleich Generation'!$A52)*('Modell Erzeugung'!$D$1:$AZ$1='Abgleich Generation'!F$38)*'Modell Erzeugung'!$D$2:$AZ$35))/1000000</f>
        <v>52.324114423555002</v>
      </c>
      <c r="G52" s="26">
        <f>(SUMPRODUCT(('Modell Erzeugung'!$C$2:$C$35='Abgleich Generation'!$A52)*('Modell Erzeugung'!$D$1:$AZ$1='Abgleich Generation'!G$40)*'Modell Erzeugung'!$D$2:$AZ$35)+SUMPRODUCT(('Modell Erzeugung'!$C$2:$C$35='Abgleich Generation'!$A52)*('Modell Erzeugung'!$D$1:$AZ$1='Abgleich Generation'!G$39)*'Modell Erzeugung'!$D$2:$AZ$35)+SUMPRODUCT(('Modell Erzeugung'!$C$2:$C$35='Abgleich Generation'!$A52)*('Modell Erzeugung'!$D$1:$AZ$1='Abgleich Generation'!G$38)*'Modell Erzeugung'!$D$2:$AZ$35))/1000000</f>
        <v>40.202769509019205</v>
      </c>
      <c r="H52" s="26">
        <f>(SUMPRODUCT(('Modell Erzeugung'!$C$2:$C$35='Abgleich Generation'!$A52)*('Modell Erzeugung'!$D$1:$AZ$1='Abgleich Generation'!H$40)*'Modell Erzeugung'!$D$2:$AZ$35)+SUMPRODUCT(('Modell Erzeugung'!$C$2:$C$35='Abgleich Generation'!$A52)*('Modell Erzeugung'!$D$1:$AZ$1='Abgleich Generation'!H$39)*'Modell Erzeugung'!$D$2:$AZ$35)+SUMPRODUCT(('Modell Erzeugung'!$C$2:$C$35='Abgleich Generation'!$A52)*('Modell Erzeugung'!$D$1:$AZ$1='Abgleich Generation'!H$38)*'Modell Erzeugung'!$D$2:$AZ$35))/1000000</f>
        <v>0</v>
      </c>
      <c r="I52" s="26">
        <f>(SUMPRODUCT(('Modell Erzeugung'!$C$2:$C$35='Abgleich Generation'!$A52)*('Modell Erzeugung'!$D$1:$AZ$1='Abgleich Generation'!I$40)*'Modell Erzeugung'!$D$2:$AZ$35)+SUMPRODUCT(('Modell Erzeugung'!$C$2:$C$35='Abgleich Generation'!$A52)*('Modell Erzeugung'!$D$1:$AZ$1='Abgleich Generation'!I$39)*'Modell Erzeugung'!$D$2:$AZ$35)+SUMPRODUCT(('Modell Erzeugung'!$C$2:$C$35='Abgleich Generation'!$A52)*('Modell Erzeugung'!$D$1:$AZ$1='Abgleich Generation'!I$38)*'Modell Erzeugung'!$D$2:$AZ$35))/1000000</f>
        <v>0</v>
      </c>
      <c r="J52" s="26">
        <f>(SUMPRODUCT(('Modell Erzeugung'!$C$2:$C$35='Abgleich Generation'!$A52)*('Modell Erzeugung'!$D$1:$AZ$1='Abgleich Generation'!J$40)*'Modell Erzeugung'!$D$2:$AZ$35)+SUMPRODUCT(('Modell Erzeugung'!$C$2:$C$35='Abgleich Generation'!$A52)*('Modell Erzeugung'!$D$1:$AZ$1='Abgleich Generation'!J$39)*'Modell Erzeugung'!$D$2:$AZ$35)+SUMPRODUCT(('Modell Erzeugung'!$C$2:$C$35='Abgleich Generation'!$A52)*('Modell Erzeugung'!$D$1:$AZ$1='Abgleich Generation'!J$38)*'Modell Erzeugung'!$D$2:$AZ$35))/1000000</f>
        <v>2.4023365943000002E-2</v>
      </c>
      <c r="K52" s="27">
        <f t="shared" si="56"/>
        <v>89.062473375087123</v>
      </c>
      <c r="L52" s="26">
        <f>(SUMPRODUCT(('Modell Erzeugung'!$C$2:$C$35='Abgleich Generation'!$A52)*('Modell Erzeugung'!$D$1:$AZ$1='Abgleich Generation'!L$40)*'Modell Erzeugung'!$D$2:$AZ$35)+SUMPRODUCT(('Modell Erzeugung'!$C$2:$C$35='Abgleich Generation'!$A52)*('Modell Erzeugung'!$D$1:$AZ$1='Abgleich Generation'!L$39)*'Modell Erzeugung'!$D$2:$AZ$35)+SUMPRODUCT(('Modell Erzeugung'!$C$2:$C$35='Abgleich Generation'!$A52)*('Modell Erzeugung'!$D$1:$AZ$1='Abgleich Generation'!L$38)*'Modell Erzeugung'!$D$2:$AZ$35))/1000000</f>
        <v>42.8315391412251</v>
      </c>
      <c r="M52" s="26">
        <f>(SUMPRODUCT(('Modell Erzeugung'!$C$2:$C$35='Abgleich Generation'!$A52)*('Modell Erzeugung'!$D$1:$AZ$1='Abgleich Generation'!M$40)*'Modell Erzeugung'!$D$2:$AZ$35)+SUMPRODUCT(('Modell Erzeugung'!$C$2:$C$35='Abgleich Generation'!$A52)*('Modell Erzeugung'!$D$1:$AZ$1='Abgleich Generation'!M$39)*'Modell Erzeugung'!$D$2:$AZ$35)+SUMPRODUCT(('Modell Erzeugung'!$C$2:$C$35='Abgleich Generation'!$A52)*('Modell Erzeugung'!$D$1:$AZ$1='Abgleich Generation'!M$38)*'Modell Erzeugung'!$D$2:$AZ$35))/1000000</f>
        <v>0</v>
      </c>
      <c r="N52" s="26">
        <f>(SUMPRODUCT(('Modell Erzeugung'!$C$2:$C$35='Abgleich Generation'!$A52)*('Modell Erzeugung'!$D$1:$AZ$1='Abgleich Generation'!N$40)*'Modell Erzeugung'!$D$2:$AZ$35)+SUMPRODUCT(('Modell Erzeugung'!$C$2:$C$35='Abgleich Generation'!$A52)*('Modell Erzeugung'!$D$1:$AZ$1='Abgleich Generation'!N$39)*'Modell Erzeugung'!$D$2:$AZ$35)+SUMPRODUCT(('Modell Erzeugung'!$C$2:$C$35='Abgleich Generation'!$A52)*('Modell Erzeugung'!$D$1:$AZ$1='Abgleich Generation'!N$38)*'Modell Erzeugung'!$D$2:$AZ$35))/1000000</f>
        <v>0</v>
      </c>
      <c r="O52" s="26">
        <f>(SUMPRODUCT(('Modell Erzeugung'!$C$2:$C$35='Abgleich Generation'!$A52)*('Modell Erzeugung'!$D$1:$AZ$1='Abgleich Generation'!O$40)*'Modell Erzeugung'!$D$2:$AZ$35)+SUMPRODUCT(('Modell Erzeugung'!$C$2:$C$35='Abgleich Generation'!$A52)*('Modell Erzeugung'!$D$1:$AZ$1='Abgleich Generation'!O$39)*'Modell Erzeugung'!$D$2:$AZ$35)+SUMPRODUCT(('Modell Erzeugung'!$C$2:$C$35='Abgleich Generation'!$A52)*('Modell Erzeugung'!$D$1:$AZ$1='Abgleich Generation'!O$38)*'Modell Erzeugung'!$D$2:$AZ$35))/1000000</f>
        <v>32.637005668209</v>
      </c>
      <c r="P52" s="26">
        <f>(SUMPRODUCT(('Modell Erzeugung'!$C$2:$C$35='Abgleich Generation'!$A52)*('Modell Erzeugung'!$D$1:$AZ$1='Abgleich Generation'!P$40)*'Modell Erzeugung'!$D$2:$AZ$35)+SUMPRODUCT(('Modell Erzeugung'!$C$2:$C$35='Abgleich Generation'!$A52)*('Modell Erzeugung'!$D$1:$AZ$1='Abgleich Generation'!P$39)*'Modell Erzeugung'!$D$2:$AZ$35)+SUMPRODUCT(('Modell Erzeugung'!$C$2:$C$35='Abgleich Generation'!$A52)*('Modell Erzeugung'!$D$1:$AZ$1='Abgleich Generation'!P$38)*'Modell Erzeugung'!$D$2:$AZ$35))/1000000</f>
        <v>6.6999285601330003</v>
      </c>
      <c r="Q52" s="26">
        <f>(SUMPRODUCT(('Modell Erzeugung'!$C$2:$C$35='Abgleich Generation'!$A52)*('Modell Erzeugung'!$D$1:$AZ$1='Abgleich Generation'!Q$40)*'Modell Erzeugung'!$D$2:$AZ$35)+SUMPRODUCT(('Modell Erzeugung'!$C$2:$C$35='Abgleich Generation'!$A52)*('Modell Erzeugung'!$D$1:$AZ$1='Abgleich Generation'!Q$39)*'Modell Erzeugung'!$D$2:$AZ$35)+SUMPRODUCT(('Modell Erzeugung'!$C$2:$C$35='Abgleich Generation'!$A52)*('Modell Erzeugung'!$D$1:$AZ$1='Abgleich Generation'!Q$38)*'Modell Erzeugung'!$D$2:$AZ$35))/1000000</f>
        <v>0</v>
      </c>
      <c r="R52" s="26">
        <f>(SUMPRODUCT(('Modell Erzeugung'!$C$2:$C$35='Abgleich Generation'!$A52)*('Modell Erzeugung'!$D$1:$AZ$1='Abgleich Generation'!R$40)*'Modell Erzeugung'!$D$2:$AZ$35)+SUMPRODUCT(('Modell Erzeugung'!$C$2:$C$35='Abgleich Generation'!$A52)*('Modell Erzeugung'!$D$1:$AZ$1='Abgleich Generation'!R$39)*'Modell Erzeugung'!$D$2:$AZ$35)+SUMPRODUCT(('Modell Erzeugung'!$C$2:$C$35='Abgleich Generation'!$A52)*('Modell Erzeugung'!$D$1:$AZ$1='Abgleich Generation'!R$38)*'Modell Erzeugung'!$D$2:$AZ$35))/1000000</f>
        <v>6.8940000055200299</v>
      </c>
      <c r="S52" s="26">
        <f>(SUMPRODUCT(('Modell Erzeugung'!$C$2:$C$35='Abgleich Generation'!$A52)*('Modell Erzeugung'!$D$1:$AZ$1='Abgleich Generation'!S$40)*'Modell Erzeugung'!$D$2:$AZ$35)+SUMPRODUCT(('Modell Erzeugung'!$C$2:$C$35='Abgleich Generation'!$A52)*('Modell Erzeugung'!$D$1:$AZ$1='Abgleich Generation'!S$39)*'Modell Erzeugung'!$D$2:$AZ$35)+SUMPRODUCT(('Modell Erzeugung'!$C$2:$C$35='Abgleich Generation'!$A52)*('Modell Erzeugung'!$D$1:$AZ$1='Abgleich Generation'!S$38)*'Modell Erzeugung'!$D$2:$AZ$35))/1000000</f>
        <v>0</v>
      </c>
      <c r="T52" s="26">
        <f>(SUMPRODUCT(('Modell Erzeugung'!$C$2:$C$35='Abgleich Generation'!$A52)*('Modell Erzeugung'!$D$1:$AZ$1='Abgleich Generation'!T$40)*'Modell Erzeugung'!$D$2:$AZ$35)+SUMPRODUCT(('Modell Erzeugung'!$C$2:$C$35='Abgleich Generation'!$A52)*('Modell Erzeugung'!$D$1:$AZ$1='Abgleich Generation'!T$39)*'Modell Erzeugung'!$D$2:$AZ$35)+SUMPRODUCT(('Modell Erzeugung'!$C$2:$C$35='Abgleich Generation'!$A52)*('Modell Erzeugung'!$D$1:$AZ$1='Abgleich Generation'!T$38)*'Modell Erzeugung'!$D$2:$AZ$35))/1000000</f>
        <v>0</v>
      </c>
      <c r="U52" s="26">
        <f>(SUMPRODUCT(('Modell Erzeugung'!$C$2:$C$35='Abgleich Generation'!$A52)*('Modell Erzeugung'!$D$1:$AZ$1='Abgleich Generation'!U$40)*'Modell Erzeugung'!$D$2:$AZ$35)+SUMPRODUCT(('Modell Erzeugung'!$C$2:$C$35='Abgleich Generation'!$A52)*('Modell Erzeugung'!$D$1:$AZ$1='Abgleich Generation'!U$39)*'Modell Erzeugung'!$D$2:$AZ$35)+SUMPRODUCT(('Modell Erzeugung'!$C$2:$C$35='Abgleich Generation'!$A52)*('Modell Erzeugung'!$D$1:$AZ$1='Abgleich Generation'!U$38)*'Modell Erzeugung'!$D$2:$AZ$35))/1000000</f>
        <v>0</v>
      </c>
      <c r="V52" s="27">
        <f t="shared" si="57"/>
        <v>241.34422709942129</v>
      </c>
      <c r="W52" s="28"/>
      <c r="X52" s="29">
        <f t="shared" si="55"/>
        <v>269.0791797117522</v>
      </c>
      <c r="Y52" s="29">
        <f>(SUMPRODUCT(('Modell Erzeugung'!$C$2:$C$35='Abgleich Generation'!$A52)*('Modell Erzeugung'!$D$1:$AZ$1='Abgleich Generation'!Y$40)*'Modell Erzeugung'!$D$2:$AZ$35)+SUMPRODUCT(('Modell Erzeugung'!$C$2:$C$35='Abgleich Generation'!$A52)*('Modell Erzeugung'!$D$1:$AZ$1='Abgleich Generation'!Y$39)*'Modell Erzeugung'!$D$2:$AZ$35))/1000000</f>
        <v>27.734952612330897</v>
      </c>
    </row>
    <row r="53" spans="1:33" x14ac:dyDescent="0.25">
      <c r="A53" s="14" t="s">
        <v>20</v>
      </c>
      <c r="B53" s="57">
        <f t="shared" si="53"/>
        <v>50.804596878372863</v>
      </c>
      <c r="C53" s="58">
        <f>(SUMPRODUCT(('Modell Erzeugung'!$C$2:$C$35='Abgleich Generation'!$A53)*('Modell Erzeugung'!$D$1:$AZ$1='Abgleich Generation'!C$40)*'Modell Erzeugung'!$D$2:$AZ$35)+SUMPRODUCT(('Modell Erzeugung'!$C$2:$C$35='Abgleich Generation'!$A53)*('Modell Erzeugung'!$D$1:$AZ$1='Abgleich Generation'!C$39)*'Modell Erzeugung'!$D$2:$AZ$35)+SUMPRODUCT(('Modell Erzeugung'!$C$2:$C$35='Abgleich Generation'!$A53)*('Modell Erzeugung'!$D$1:$AZ$1='Abgleich Generation'!C$38)*'Modell Erzeugung'!$D$2:$AZ$35))/1000000</f>
        <v>31.334331293393898</v>
      </c>
      <c r="D53" s="58">
        <f t="shared" si="54"/>
        <v>19.470265584978968</v>
      </c>
      <c r="E53" s="58">
        <f>(SUMPRODUCT(('Modell Erzeugung'!$C$2:$C$35='Abgleich Generation'!$A53)*('Modell Erzeugung'!$D$1:$AZ$1='Abgleich Generation'!E$40)*'Modell Erzeugung'!$D$2:$AZ$35)+SUMPRODUCT(('Modell Erzeugung'!$C$2:$C$35='Abgleich Generation'!$A53)*('Modell Erzeugung'!$D$1:$AZ$1='Abgleich Generation'!E$39)*'Modell Erzeugung'!$D$2:$AZ$35)+SUMPRODUCT(('Modell Erzeugung'!$C$2:$C$35='Abgleich Generation'!$A53)*('Modell Erzeugung'!$D$1:$AZ$1='Abgleich Generation'!E$38)*'Modell Erzeugung'!$D$2:$AZ$35))/1000000</f>
        <v>7.0896611064589798</v>
      </c>
      <c r="F53" s="58">
        <f>(SUMPRODUCT(('Modell Erzeugung'!$C$2:$C$35='Abgleich Generation'!$A53)*('Modell Erzeugung'!$D$1:$AZ$1='Abgleich Generation'!F$40)*'Modell Erzeugung'!$D$2:$AZ$35)+SUMPRODUCT(('Modell Erzeugung'!$C$2:$C$35='Abgleich Generation'!$A53)*('Modell Erzeugung'!$D$1:$AZ$1='Abgleich Generation'!F$39)*'Modell Erzeugung'!$D$2:$AZ$35)+SUMPRODUCT(('Modell Erzeugung'!$C$2:$C$35='Abgleich Generation'!$A53)*('Modell Erzeugung'!$D$1:$AZ$1='Abgleich Generation'!F$38)*'Modell Erzeugung'!$D$2:$AZ$35))/1000000</f>
        <v>5.3227575773129905</v>
      </c>
      <c r="G53" s="58">
        <f>(SUMPRODUCT(('Modell Erzeugung'!$C$2:$C$35='Abgleich Generation'!$A53)*('Modell Erzeugung'!$D$1:$AZ$1='Abgleich Generation'!G$40)*'Modell Erzeugung'!$D$2:$AZ$35)+SUMPRODUCT(('Modell Erzeugung'!$C$2:$C$35='Abgleich Generation'!$A53)*('Modell Erzeugung'!$D$1:$AZ$1='Abgleich Generation'!G$39)*'Modell Erzeugung'!$D$2:$AZ$35)+SUMPRODUCT(('Modell Erzeugung'!$C$2:$C$35='Abgleich Generation'!$A53)*('Modell Erzeugung'!$D$1:$AZ$1='Abgleich Generation'!G$38)*'Modell Erzeugung'!$D$2:$AZ$35))/1000000</f>
        <v>7.0578469012069975</v>
      </c>
      <c r="H53" s="58">
        <f>(SUMPRODUCT(('Modell Erzeugung'!$C$2:$C$35='Abgleich Generation'!$A53)*('Modell Erzeugung'!$D$1:$AZ$1='Abgleich Generation'!H$40)*'Modell Erzeugung'!$D$2:$AZ$35)+SUMPRODUCT(('Modell Erzeugung'!$C$2:$C$35='Abgleich Generation'!$A53)*('Modell Erzeugung'!$D$1:$AZ$1='Abgleich Generation'!H$39)*'Modell Erzeugung'!$D$2:$AZ$35)+SUMPRODUCT(('Modell Erzeugung'!$C$2:$C$35='Abgleich Generation'!$A53)*('Modell Erzeugung'!$D$1:$AZ$1='Abgleich Generation'!H$38)*'Modell Erzeugung'!$D$2:$AZ$35))/1000000</f>
        <v>0</v>
      </c>
      <c r="I53" s="58">
        <f>(SUMPRODUCT(('Modell Erzeugung'!$C$2:$C$35='Abgleich Generation'!$A53)*('Modell Erzeugung'!$D$1:$AZ$1='Abgleich Generation'!I$40)*'Modell Erzeugung'!$D$2:$AZ$35)+SUMPRODUCT(('Modell Erzeugung'!$C$2:$C$35='Abgleich Generation'!$A53)*('Modell Erzeugung'!$D$1:$AZ$1='Abgleich Generation'!I$39)*'Modell Erzeugung'!$D$2:$AZ$35)+SUMPRODUCT(('Modell Erzeugung'!$C$2:$C$35='Abgleich Generation'!$A53)*('Modell Erzeugung'!$D$1:$AZ$1='Abgleich Generation'!I$38)*'Modell Erzeugung'!$D$2:$AZ$35))/1000000</f>
        <v>0</v>
      </c>
      <c r="J53" s="58">
        <f>(SUMPRODUCT(('Modell Erzeugung'!$C$2:$C$35='Abgleich Generation'!$A53)*('Modell Erzeugung'!$D$1:$AZ$1='Abgleich Generation'!J$40)*'Modell Erzeugung'!$D$2:$AZ$35)+SUMPRODUCT(('Modell Erzeugung'!$C$2:$C$35='Abgleich Generation'!$A53)*('Modell Erzeugung'!$D$1:$AZ$1='Abgleich Generation'!J$39)*'Modell Erzeugung'!$D$2:$AZ$35)+SUMPRODUCT(('Modell Erzeugung'!$C$2:$C$35='Abgleich Generation'!$A53)*('Modell Erzeugung'!$D$1:$AZ$1='Abgleich Generation'!J$38)*'Modell Erzeugung'!$D$2:$AZ$35))/1000000</f>
        <v>0</v>
      </c>
      <c r="K53" s="59">
        <f t="shared" si="56"/>
        <v>20.050552014702902</v>
      </c>
      <c r="L53" s="58">
        <f>(SUMPRODUCT(('Modell Erzeugung'!$C$2:$C$35='Abgleich Generation'!$A53)*('Modell Erzeugung'!$D$1:$AZ$1='Abgleich Generation'!L$40)*'Modell Erzeugung'!$D$2:$AZ$35)+SUMPRODUCT(('Modell Erzeugung'!$C$2:$C$35='Abgleich Generation'!$A53)*('Modell Erzeugung'!$D$1:$AZ$1='Abgleich Generation'!L$39)*'Modell Erzeugung'!$D$2:$AZ$35)+SUMPRODUCT(('Modell Erzeugung'!$C$2:$C$35='Abgleich Generation'!$A53)*('Modell Erzeugung'!$D$1:$AZ$1='Abgleich Generation'!L$38)*'Modell Erzeugung'!$D$2:$AZ$35))/1000000</f>
        <v>17.733052025052903</v>
      </c>
      <c r="M53" s="58">
        <f>(SUMPRODUCT(('Modell Erzeugung'!$C$2:$C$35='Abgleich Generation'!$A53)*('Modell Erzeugung'!$D$1:$AZ$1='Abgleich Generation'!M$40)*'Modell Erzeugung'!$D$2:$AZ$35)+SUMPRODUCT(('Modell Erzeugung'!$C$2:$C$35='Abgleich Generation'!$A53)*('Modell Erzeugung'!$D$1:$AZ$1='Abgleich Generation'!M$39)*'Modell Erzeugung'!$D$2:$AZ$35)+SUMPRODUCT(('Modell Erzeugung'!$C$2:$C$35='Abgleich Generation'!$A53)*('Modell Erzeugung'!$D$1:$AZ$1='Abgleich Generation'!M$38)*'Modell Erzeugung'!$D$2:$AZ$35))/1000000</f>
        <v>0</v>
      </c>
      <c r="N53" s="58">
        <f>(SUMPRODUCT(('Modell Erzeugung'!$C$2:$C$35='Abgleich Generation'!$A53)*('Modell Erzeugung'!$D$1:$AZ$1='Abgleich Generation'!N$40)*'Modell Erzeugung'!$D$2:$AZ$35)+SUMPRODUCT(('Modell Erzeugung'!$C$2:$C$35='Abgleich Generation'!$A53)*('Modell Erzeugung'!$D$1:$AZ$1='Abgleich Generation'!N$39)*'Modell Erzeugung'!$D$2:$AZ$35)+SUMPRODUCT(('Modell Erzeugung'!$C$2:$C$35='Abgleich Generation'!$A53)*('Modell Erzeugung'!$D$1:$AZ$1='Abgleich Generation'!N$38)*'Modell Erzeugung'!$D$2:$AZ$35))/1000000</f>
        <v>0</v>
      </c>
      <c r="O53" s="58">
        <f>(SUMPRODUCT(('Modell Erzeugung'!$C$2:$C$35='Abgleich Generation'!$A53)*('Modell Erzeugung'!$D$1:$AZ$1='Abgleich Generation'!O$40)*'Modell Erzeugung'!$D$2:$AZ$35)+SUMPRODUCT(('Modell Erzeugung'!$C$2:$C$35='Abgleich Generation'!$A53)*('Modell Erzeugung'!$D$1:$AZ$1='Abgleich Generation'!O$39)*'Modell Erzeugung'!$D$2:$AZ$35)+SUMPRODUCT(('Modell Erzeugung'!$C$2:$C$35='Abgleich Generation'!$A53)*('Modell Erzeugung'!$D$1:$AZ$1='Abgleich Generation'!O$38)*'Modell Erzeugung'!$D$2:$AZ$35))/1000000</f>
        <v>2.3174999896499999</v>
      </c>
      <c r="P53" s="58">
        <f>(SUMPRODUCT(('Modell Erzeugung'!$C$2:$C$35='Abgleich Generation'!$A53)*('Modell Erzeugung'!$D$1:$AZ$1='Abgleich Generation'!P$40)*'Modell Erzeugung'!$D$2:$AZ$35)+SUMPRODUCT(('Modell Erzeugung'!$C$2:$C$35='Abgleich Generation'!$A53)*('Modell Erzeugung'!$D$1:$AZ$1='Abgleich Generation'!P$39)*'Modell Erzeugung'!$D$2:$AZ$35)+SUMPRODUCT(('Modell Erzeugung'!$C$2:$C$35='Abgleich Generation'!$A53)*('Modell Erzeugung'!$D$1:$AZ$1='Abgleich Generation'!P$38)*'Modell Erzeugung'!$D$2:$AZ$35))/1000000</f>
        <v>0</v>
      </c>
      <c r="Q53" s="58">
        <f>(SUMPRODUCT(('Modell Erzeugung'!$C$2:$C$35='Abgleich Generation'!$A53)*('Modell Erzeugung'!$D$1:$AZ$1='Abgleich Generation'!Q$40)*'Modell Erzeugung'!$D$2:$AZ$35)+SUMPRODUCT(('Modell Erzeugung'!$C$2:$C$35='Abgleich Generation'!$A53)*('Modell Erzeugung'!$D$1:$AZ$1='Abgleich Generation'!Q$39)*'Modell Erzeugung'!$D$2:$AZ$35)+SUMPRODUCT(('Modell Erzeugung'!$C$2:$C$35='Abgleich Generation'!$A53)*('Modell Erzeugung'!$D$1:$AZ$1='Abgleich Generation'!Q$38)*'Modell Erzeugung'!$D$2:$AZ$35))/1000000</f>
        <v>0</v>
      </c>
      <c r="R53" s="58">
        <f>(SUMPRODUCT(('Modell Erzeugung'!$C$2:$C$35='Abgleich Generation'!$A53)*('Modell Erzeugung'!$D$1:$AZ$1='Abgleich Generation'!R$40)*'Modell Erzeugung'!$D$2:$AZ$35)+SUMPRODUCT(('Modell Erzeugung'!$C$2:$C$35='Abgleich Generation'!$A53)*('Modell Erzeugung'!$D$1:$AZ$1='Abgleich Generation'!R$39)*'Modell Erzeugung'!$D$2:$AZ$35)+SUMPRODUCT(('Modell Erzeugung'!$C$2:$C$35='Abgleich Generation'!$A53)*('Modell Erzeugung'!$D$1:$AZ$1='Abgleich Generation'!R$38)*'Modell Erzeugung'!$D$2:$AZ$35))/1000000</f>
        <v>0</v>
      </c>
      <c r="S53" s="58">
        <f>(SUMPRODUCT(('Modell Erzeugung'!$C$2:$C$35='Abgleich Generation'!$A53)*('Modell Erzeugung'!$D$1:$AZ$1='Abgleich Generation'!S$40)*'Modell Erzeugung'!$D$2:$AZ$35)+SUMPRODUCT(('Modell Erzeugung'!$C$2:$C$35='Abgleich Generation'!$A53)*('Modell Erzeugung'!$D$1:$AZ$1='Abgleich Generation'!S$39)*'Modell Erzeugung'!$D$2:$AZ$35)+SUMPRODUCT(('Modell Erzeugung'!$C$2:$C$35='Abgleich Generation'!$A53)*('Modell Erzeugung'!$D$1:$AZ$1='Abgleich Generation'!S$38)*'Modell Erzeugung'!$D$2:$AZ$35))/1000000</f>
        <v>0</v>
      </c>
      <c r="T53" s="58">
        <f>(SUMPRODUCT(('Modell Erzeugung'!$C$2:$C$35='Abgleich Generation'!$A53)*('Modell Erzeugung'!$D$1:$AZ$1='Abgleich Generation'!T$40)*'Modell Erzeugung'!$D$2:$AZ$35)+SUMPRODUCT(('Modell Erzeugung'!$C$2:$C$35='Abgleich Generation'!$A53)*('Modell Erzeugung'!$D$1:$AZ$1='Abgleich Generation'!T$39)*'Modell Erzeugung'!$D$2:$AZ$35)+SUMPRODUCT(('Modell Erzeugung'!$C$2:$C$35='Abgleich Generation'!$A53)*('Modell Erzeugung'!$D$1:$AZ$1='Abgleich Generation'!T$38)*'Modell Erzeugung'!$D$2:$AZ$35))/1000000</f>
        <v>0</v>
      </c>
      <c r="U53" s="58">
        <f>(SUMPRODUCT(('Modell Erzeugung'!$C$2:$C$35='Abgleich Generation'!$A53)*('Modell Erzeugung'!$D$1:$AZ$1='Abgleich Generation'!U$40)*'Modell Erzeugung'!$D$2:$AZ$35)+SUMPRODUCT(('Modell Erzeugung'!$C$2:$C$35='Abgleich Generation'!$A53)*('Modell Erzeugung'!$D$1:$AZ$1='Abgleich Generation'!U$39)*'Modell Erzeugung'!$D$2:$AZ$35)+SUMPRODUCT(('Modell Erzeugung'!$C$2:$C$35='Abgleich Generation'!$A53)*('Modell Erzeugung'!$D$1:$AZ$1='Abgleich Generation'!U$38)*'Modell Erzeugung'!$D$2:$AZ$35))/1000000</f>
        <v>0</v>
      </c>
      <c r="V53" s="59">
        <f t="shared" si="57"/>
        <v>70.855148893075764</v>
      </c>
      <c r="W53" s="60"/>
      <c r="X53" s="61">
        <f t="shared" si="55"/>
        <v>83.829217304465558</v>
      </c>
      <c r="Y53" s="61">
        <f>(SUMPRODUCT(('Modell Erzeugung'!$C$2:$C$35='Abgleich Generation'!$A53)*('Modell Erzeugung'!$D$1:$AZ$1='Abgleich Generation'!Y$40)*'Modell Erzeugung'!$D$2:$AZ$35)+SUMPRODUCT(('Modell Erzeugung'!$C$2:$C$35='Abgleich Generation'!$A53)*('Modell Erzeugung'!$D$1:$AZ$1='Abgleich Generation'!Y$39)*'Modell Erzeugung'!$D$2:$AZ$35))/1000000</f>
        <v>12.974068411389799</v>
      </c>
      <c r="AG53" s="63"/>
    </row>
    <row r="54" spans="1:33" x14ac:dyDescent="0.25">
      <c r="A54" s="14" t="s">
        <v>21</v>
      </c>
      <c r="B54" s="25">
        <f t="shared" si="53"/>
        <v>422.6897941978159</v>
      </c>
      <c r="C54" s="26">
        <f>(SUMPRODUCT(('Modell Erzeugung'!$C$2:$C$35='Abgleich Generation'!$A54)*('Modell Erzeugung'!$D$1:$AZ$1='Abgleich Generation'!C$40)*'Modell Erzeugung'!$D$2:$AZ$35)+SUMPRODUCT(('Modell Erzeugung'!$C$2:$C$35='Abgleich Generation'!$A54)*('Modell Erzeugung'!$D$1:$AZ$1='Abgleich Generation'!C$39)*'Modell Erzeugung'!$D$2:$AZ$35)+SUMPRODUCT(('Modell Erzeugung'!$C$2:$C$35='Abgleich Generation'!$A54)*('Modell Erzeugung'!$D$1:$AZ$1='Abgleich Generation'!C$38)*'Modell Erzeugung'!$D$2:$AZ$35))/1000000</f>
        <v>361.83952088180797</v>
      </c>
      <c r="D54" s="26">
        <f t="shared" si="54"/>
        <v>60.850273316007915</v>
      </c>
      <c r="E54" s="26">
        <f>(SUMPRODUCT(('Modell Erzeugung'!$C$2:$C$35='Abgleich Generation'!$A54)*('Modell Erzeugung'!$D$1:$AZ$1='Abgleich Generation'!E$40)*'Modell Erzeugung'!$D$2:$AZ$35)+SUMPRODUCT(('Modell Erzeugung'!$C$2:$C$35='Abgleich Generation'!$A54)*('Modell Erzeugung'!$D$1:$AZ$1='Abgleich Generation'!E$39)*'Modell Erzeugung'!$D$2:$AZ$35)+SUMPRODUCT(('Modell Erzeugung'!$C$2:$C$35='Abgleich Generation'!$A54)*('Modell Erzeugung'!$D$1:$AZ$1='Abgleich Generation'!E$38)*'Modell Erzeugung'!$D$2:$AZ$35))/1000000</f>
        <v>0</v>
      </c>
      <c r="F54" s="26">
        <f>(SUMPRODUCT(('Modell Erzeugung'!$C$2:$C$35='Abgleich Generation'!$A54)*('Modell Erzeugung'!$D$1:$AZ$1='Abgleich Generation'!F$40)*'Modell Erzeugung'!$D$2:$AZ$35)+SUMPRODUCT(('Modell Erzeugung'!$C$2:$C$35='Abgleich Generation'!$A54)*('Modell Erzeugung'!$D$1:$AZ$1='Abgleich Generation'!F$39)*'Modell Erzeugung'!$D$2:$AZ$35)+SUMPRODUCT(('Modell Erzeugung'!$C$2:$C$35='Abgleich Generation'!$A54)*('Modell Erzeugung'!$D$1:$AZ$1='Abgleich Generation'!F$38)*'Modell Erzeugung'!$D$2:$AZ$35))/1000000</f>
        <v>52.932515772741901</v>
      </c>
      <c r="G54" s="26">
        <f>(SUMPRODUCT(('Modell Erzeugung'!$C$2:$C$35='Abgleich Generation'!$A54)*('Modell Erzeugung'!$D$1:$AZ$1='Abgleich Generation'!G$40)*'Modell Erzeugung'!$D$2:$AZ$35)+SUMPRODUCT(('Modell Erzeugung'!$C$2:$C$35='Abgleich Generation'!$A54)*('Modell Erzeugung'!$D$1:$AZ$1='Abgleich Generation'!G$39)*'Modell Erzeugung'!$D$2:$AZ$35)+SUMPRODUCT(('Modell Erzeugung'!$C$2:$C$35='Abgleich Generation'!$A54)*('Modell Erzeugung'!$D$1:$AZ$1='Abgleich Generation'!G$38)*'Modell Erzeugung'!$D$2:$AZ$35))/1000000</f>
        <v>7.5169496973020102</v>
      </c>
      <c r="H54" s="26">
        <f>(SUMPRODUCT(('Modell Erzeugung'!$C$2:$C$35='Abgleich Generation'!$A54)*('Modell Erzeugung'!$D$1:$AZ$1='Abgleich Generation'!H$40)*'Modell Erzeugung'!$D$2:$AZ$35)+SUMPRODUCT(('Modell Erzeugung'!$C$2:$C$35='Abgleich Generation'!$A54)*('Modell Erzeugung'!$D$1:$AZ$1='Abgleich Generation'!H$39)*'Modell Erzeugung'!$D$2:$AZ$35)+SUMPRODUCT(('Modell Erzeugung'!$C$2:$C$35='Abgleich Generation'!$A54)*('Modell Erzeugung'!$D$1:$AZ$1='Abgleich Generation'!H$38)*'Modell Erzeugung'!$D$2:$AZ$35))/1000000</f>
        <v>0</v>
      </c>
      <c r="I54" s="26">
        <f>(SUMPRODUCT(('Modell Erzeugung'!$C$2:$C$35='Abgleich Generation'!$A54)*('Modell Erzeugung'!$D$1:$AZ$1='Abgleich Generation'!I$40)*'Modell Erzeugung'!$D$2:$AZ$35)+SUMPRODUCT(('Modell Erzeugung'!$C$2:$C$35='Abgleich Generation'!$A54)*('Modell Erzeugung'!$D$1:$AZ$1='Abgleich Generation'!I$39)*'Modell Erzeugung'!$D$2:$AZ$35)+SUMPRODUCT(('Modell Erzeugung'!$C$2:$C$35='Abgleich Generation'!$A54)*('Modell Erzeugung'!$D$1:$AZ$1='Abgleich Generation'!I$38)*'Modell Erzeugung'!$D$2:$AZ$35))/1000000</f>
        <v>0</v>
      </c>
      <c r="J54" s="26">
        <f>(SUMPRODUCT(('Modell Erzeugung'!$C$2:$C$35='Abgleich Generation'!$A54)*('Modell Erzeugung'!$D$1:$AZ$1='Abgleich Generation'!J$40)*'Modell Erzeugung'!$D$2:$AZ$35)+SUMPRODUCT(('Modell Erzeugung'!$C$2:$C$35='Abgleich Generation'!$A54)*('Modell Erzeugung'!$D$1:$AZ$1='Abgleich Generation'!J$39)*'Modell Erzeugung'!$D$2:$AZ$35)+SUMPRODUCT(('Modell Erzeugung'!$C$2:$C$35='Abgleich Generation'!$A54)*('Modell Erzeugung'!$D$1:$AZ$1='Abgleich Generation'!J$38)*'Modell Erzeugung'!$D$2:$AZ$35))/1000000</f>
        <v>0.40080784596399999</v>
      </c>
      <c r="K54" s="27">
        <f t="shared" si="56"/>
        <v>92.075785372025237</v>
      </c>
      <c r="L54" s="26">
        <f>(SUMPRODUCT(('Modell Erzeugung'!$C$2:$C$35='Abgleich Generation'!$A54)*('Modell Erzeugung'!$D$1:$AZ$1='Abgleich Generation'!L$40)*'Modell Erzeugung'!$D$2:$AZ$35)+SUMPRODUCT(('Modell Erzeugung'!$C$2:$C$35='Abgleich Generation'!$A54)*('Modell Erzeugung'!$D$1:$AZ$1='Abgleich Generation'!L$39)*'Modell Erzeugung'!$D$2:$AZ$35)+SUMPRODUCT(('Modell Erzeugung'!$C$2:$C$35='Abgleich Generation'!$A54)*('Modell Erzeugung'!$D$1:$AZ$1='Abgleich Generation'!L$38)*'Modell Erzeugung'!$D$2:$AZ$35))/1000000</f>
        <v>59.249701228130306</v>
      </c>
      <c r="M54" s="26">
        <f>(SUMPRODUCT(('Modell Erzeugung'!$C$2:$C$35='Abgleich Generation'!$A54)*('Modell Erzeugung'!$D$1:$AZ$1='Abgleich Generation'!M$40)*'Modell Erzeugung'!$D$2:$AZ$35)+SUMPRODUCT(('Modell Erzeugung'!$C$2:$C$35='Abgleich Generation'!$A54)*('Modell Erzeugung'!$D$1:$AZ$1='Abgleich Generation'!M$39)*'Modell Erzeugung'!$D$2:$AZ$35)+SUMPRODUCT(('Modell Erzeugung'!$C$2:$C$35='Abgleich Generation'!$A54)*('Modell Erzeugung'!$D$1:$AZ$1='Abgleich Generation'!M$38)*'Modell Erzeugung'!$D$2:$AZ$35))/1000000</f>
        <v>0</v>
      </c>
      <c r="N54" s="26">
        <f>(SUMPRODUCT(('Modell Erzeugung'!$C$2:$C$35='Abgleich Generation'!$A54)*('Modell Erzeugung'!$D$1:$AZ$1='Abgleich Generation'!N$40)*'Modell Erzeugung'!$D$2:$AZ$35)+SUMPRODUCT(('Modell Erzeugung'!$C$2:$C$35='Abgleich Generation'!$A54)*('Modell Erzeugung'!$D$1:$AZ$1='Abgleich Generation'!N$39)*'Modell Erzeugung'!$D$2:$AZ$35)+SUMPRODUCT(('Modell Erzeugung'!$C$2:$C$35='Abgleich Generation'!$A54)*('Modell Erzeugung'!$D$1:$AZ$1='Abgleich Generation'!N$38)*'Modell Erzeugung'!$D$2:$AZ$35))/1000000</f>
        <v>0</v>
      </c>
      <c r="O54" s="26">
        <f>(SUMPRODUCT(('Modell Erzeugung'!$C$2:$C$35='Abgleich Generation'!$A54)*('Modell Erzeugung'!$D$1:$AZ$1='Abgleich Generation'!O$40)*'Modell Erzeugung'!$D$2:$AZ$35)+SUMPRODUCT(('Modell Erzeugung'!$C$2:$C$35='Abgleich Generation'!$A54)*('Modell Erzeugung'!$D$1:$AZ$1='Abgleich Generation'!O$39)*'Modell Erzeugung'!$D$2:$AZ$35)+SUMPRODUCT(('Modell Erzeugung'!$C$2:$C$35='Abgleich Generation'!$A54)*('Modell Erzeugung'!$D$1:$AZ$1='Abgleich Generation'!O$38)*'Modell Erzeugung'!$D$2:$AZ$35))/1000000</f>
        <v>18.278703289459003</v>
      </c>
      <c r="P54" s="26">
        <f>(SUMPRODUCT(('Modell Erzeugung'!$C$2:$C$35='Abgleich Generation'!$A54)*('Modell Erzeugung'!$D$1:$AZ$1='Abgleich Generation'!P$40)*'Modell Erzeugung'!$D$2:$AZ$35)+SUMPRODUCT(('Modell Erzeugung'!$C$2:$C$35='Abgleich Generation'!$A54)*('Modell Erzeugung'!$D$1:$AZ$1='Abgleich Generation'!P$39)*'Modell Erzeugung'!$D$2:$AZ$35)+SUMPRODUCT(('Modell Erzeugung'!$C$2:$C$35='Abgleich Generation'!$A54)*('Modell Erzeugung'!$D$1:$AZ$1='Abgleich Generation'!P$38)*'Modell Erzeugung'!$D$2:$AZ$35))/1000000</f>
        <v>7.8982480517960001</v>
      </c>
      <c r="Q54" s="26">
        <f>(SUMPRODUCT(('Modell Erzeugung'!$C$2:$C$35='Abgleich Generation'!$A54)*('Modell Erzeugung'!$D$1:$AZ$1='Abgleich Generation'!Q$40)*'Modell Erzeugung'!$D$2:$AZ$35)+SUMPRODUCT(('Modell Erzeugung'!$C$2:$C$35='Abgleich Generation'!$A54)*('Modell Erzeugung'!$D$1:$AZ$1='Abgleich Generation'!Q$39)*'Modell Erzeugung'!$D$2:$AZ$35)+SUMPRODUCT(('Modell Erzeugung'!$C$2:$C$35='Abgleich Generation'!$A54)*('Modell Erzeugung'!$D$1:$AZ$1='Abgleich Generation'!Q$38)*'Modell Erzeugung'!$D$2:$AZ$35))/1000000</f>
        <v>0</v>
      </c>
      <c r="R54" s="26">
        <f>(SUMPRODUCT(('Modell Erzeugung'!$C$2:$C$35='Abgleich Generation'!$A54)*('Modell Erzeugung'!$D$1:$AZ$1='Abgleich Generation'!R$40)*'Modell Erzeugung'!$D$2:$AZ$35)+SUMPRODUCT(('Modell Erzeugung'!$C$2:$C$35='Abgleich Generation'!$A54)*('Modell Erzeugung'!$D$1:$AZ$1='Abgleich Generation'!R$39)*'Modell Erzeugung'!$D$2:$AZ$35)+SUMPRODUCT(('Modell Erzeugung'!$C$2:$C$35='Abgleich Generation'!$A54)*('Modell Erzeugung'!$D$1:$AZ$1='Abgleich Generation'!R$38)*'Modell Erzeugung'!$D$2:$AZ$35))/1000000</f>
        <v>6.6491328026399206</v>
      </c>
      <c r="S54" s="26">
        <f>(SUMPRODUCT(('Modell Erzeugung'!$C$2:$C$35='Abgleich Generation'!$A54)*('Modell Erzeugung'!$D$1:$AZ$1='Abgleich Generation'!S$40)*'Modell Erzeugung'!$D$2:$AZ$35)+SUMPRODUCT(('Modell Erzeugung'!$C$2:$C$35='Abgleich Generation'!$A54)*('Modell Erzeugung'!$D$1:$AZ$1='Abgleich Generation'!S$39)*'Modell Erzeugung'!$D$2:$AZ$35)+SUMPRODUCT(('Modell Erzeugung'!$C$2:$C$35='Abgleich Generation'!$A54)*('Modell Erzeugung'!$D$1:$AZ$1='Abgleich Generation'!S$38)*'Modell Erzeugung'!$D$2:$AZ$35))/1000000</f>
        <v>0</v>
      </c>
      <c r="T54" s="26">
        <f>(SUMPRODUCT(('Modell Erzeugung'!$C$2:$C$35='Abgleich Generation'!$A54)*('Modell Erzeugung'!$D$1:$AZ$1='Abgleich Generation'!T$40)*'Modell Erzeugung'!$D$2:$AZ$35)+SUMPRODUCT(('Modell Erzeugung'!$C$2:$C$35='Abgleich Generation'!$A54)*('Modell Erzeugung'!$D$1:$AZ$1='Abgleich Generation'!T$39)*'Modell Erzeugung'!$D$2:$AZ$35)+SUMPRODUCT(('Modell Erzeugung'!$C$2:$C$35='Abgleich Generation'!$A54)*('Modell Erzeugung'!$D$1:$AZ$1='Abgleich Generation'!T$38)*'Modell Erzeugung'!$D$2:$AZ$35))/1000000</f>
        <v>0</v>
      </c>
      <c r="U54" s="26">
        <f>(SUMPRODUCT(('Modell Erzeugung'!$C$2:$C$35='Abgleich Generation'!$A54)*('Modell Erzeugung'!$D$1:$AZ$1='Abgleich Generation'!U$40)*'Modell Erzeugung'!$D$2:$AZ$35)+SUMPRODUCT(('Modell Erzeugung'!$C$2:$C$35='Abgleich Generation'!$A54)*('Modell Erzeugung'!$D$1:$AZ$1='Abgleich Generation'!U$39)*'Modell Erzeugung'!$D$2:$AZ$35)+SUMPRODUCT(('Modell Erzeugung'!$C$2:$C$35='Abgleich Generation'!$A54)*('Modell Erzeugung'!$D$1:$AZ$1='Abgleich Generation'!U$38)*'Modell Erzeugung'!$D$2:$AZ$35))/1000000</f>
        <v>0</v>
      </c>
      <c r="V54" s="27">
        <f t="shared" si="57"/>
        <v>514.76557956984118</v>
      </c>
      <c r="W54" s="28"/>
      <c r="X54" s="29">
        <f t="shared" si="55"/>
        <v>489.65374166337818</v>
      </c>
      <c r="Y54" s="29">
        <f>(SUMPRODUCT(('Modell Erzeugung'!$C$2:$C$35='Abgleich Generation'!$A54)*('Modell Erzeugung'!$D$1:$AZ$1='Abgleich Generation'!Y$40)*'Modell Erzeugung'!$D$2:$AZ$35)+SUMPRODUCT(('Modell Erzeugung'!$C$2:$C$35='Abgleich Generation'!$A54)*('Modell Erzeugung'!$D$1:$AZ$1='Abgleich Generation'!Y$39)*'Modell Erzeugung'!$D$2:$AZ$35))/1000000</f>
        <v>-25.111837906463002</v>
      </c>
    </row>
    <row r="55" spans="1:33" x14ac:dyDescent="0.25">
      <c r="A55" s="14" t="s">
        <v>22</v>
      </c>
      <c r="B55" s="57">
        <f t="shared" si="53"/>
        <v>241.66399353225898</v>
      </c>
      <c r="C55" s="58">
        <f>(SUMPRODUCT(('Modell Erzeugung'!$C$2:$C$35='Abgleich Generation'!$A55)*('Modell Erzeugung'!$D$1:$AZ$1='Abgleich Generation'!C$40)*'Modell Erzeugung'!$D$2:$AZ$35)+SUMPRODUCT(('Modell Erzeugung'!$C$2:$C$35='Abgleich Generation'!$A55)*('Modell Erzeugung'!$D$1:$AZ$1='Abgleich Generation'!C$39)*'Modell Erzeugung'!$D$2:$AZ$35)+SUMPRODUCT(('Modell Erzeugung'!$C$2:$C$35='Abgleich Generation'!$A55)*('Modell Erzeugung'!$D$1:$AZ$1='Abgleich Generation'!C$38)*'Modell Erzeugung'!$D$2:$AZ$35))/1000000</f>
        <v>55.923397654319999</v>
      </c>
      <c r="D55" s="58">
        <f t="shared" si="54"/>
        <v>185.74059587793897</v>
      </c>
      <c r="E55" s="58">
        <f>(SUMPRODUCT(('Modell Erzeugung'!$C$2:$C$35='Abgleich Generation'!$A55)*('Modell Erzeugung'!$D$1:$AZ$1='Abgleich Generation'!E$40)*'Modell Erzeugung'!$D$2:$AZ$35)+SUMPRODUCT(('Modell Erzeugung'!$C$2:$C$35='Abgleich Generation'!$A55)*('Modell Erzeugung'!$D$1:$AZ$1='Abgleich Generation'!E$39)*'Modell Erzeugung'!$D$2:$AZ$35)+SUMPRODUCT(('Modell Erzeugung'!$C$2:$C$35='Abgleich Generation'!$A55)*('Modell Erzeugung'!$D$1:$AZ$1='Abgleich Generation'!E$38)*'Modell Erzeugung'!$D$2:$AZ$35))/1000000</f>
        <v>0</v>
      </c>
      <c r="F55" s="58">
        <f>(SUMPRODUCT(('Modell Erzeugung'!$C$2:$C$35='Abgleich Generation'!$A55)*('Modell Erzeugung'!$D$1:$AZ$1='Abgleich Generation'!F$40)*'Modell Erzeugung'!$D$2:$AZ$35)+SUMPRODUCT(('Modell Erzeugung'!$C$2:$C$35='Abgleich Generation'!$A55)*('Modell Erzeugung'!$D$1:$AZ$1='Abgleich Generation'!F$39)*'Modell Erzeugung'!$D$2:$AZ$35)+SUMPRODUCT(('Modell Erzeugung'!$C$2:$C$35='Abgleich Generation'!$A55)*('Modell Erzeugung'!$D$1:$AZ$1='Abgleich Generation'!F$38)*'Modell Erzeugung'!$D$2:$AZ$35))/1000000</f>
        <v>183.54497945564299</v>
      </c>
      <c r="G55" s="58">
        <f>(SUMPRODUCT(('Modell Erzeugung'!$C$2:$C$35='Abgleich Generation'!$A55)*('Modell Erzeugung'!$D$1:$AZ$1='Abgleich Generation'!G$40)*'Modell Erzeugung'!$D$2:$AZ$35)+SUMPRODUCT(('Modell Erzeugung'!$C$2:$C$35='Abgleich Generation'!$A55)*('Modell Erzeugung'!$D$1:$AZ$1='Abgleich Generation'!G$39)*'Modell Erzeugung'!$D$2:$AZ$35)+SUMPRODUCT(('Modell Erzeugung'!$C$2:$C$35='Abgleich Generation'!$A55)*('Modell Erzeugung'!$D$1:$AZ$1='Abgleich Generation'!G$38)*'Modell Erzeugung'!$D$2:$AZ$35))/1000000</f>
        <v>2.1862542792070028</v>
      </c>
      <c r="H55" s="58">
        <f>(SUMPRODUCT(('Modell Erzeugung'!$C$2:$C$35='Abgleich Generation'!$A55)*('Modell Erzeugung'!$D$1:$AZ$1='Abgleich Generation'!H$40)*'Modell Erzeugung'!$D$2:$AZ$35)+SUMPRODUCT(('Modell Erzeugung'!$C$2:$C$35='Abgleich Generation'!$A55)*('Modell Erzeugung'!$D$1:$AZ$1='Abgleich Generation'!H$39)*'Modell Erzeugung'!$D$2:$AZ$35)+SUMPRODUCT(('Modell Erzeugung'!$C$2:$C$35='Abgleich Generation'!$A55)*('Modell Erzeugung'!$D$1:$AZ$1='Abgleich Generation'!H$38)*'Modell Erzeugung'!$D$2:$AZ$35))/1000000</f>
        <v>0</v>
      </c>
      <c r="I55" s="58">
        <f>(SUMPRODUCT(('Modell Erzeugung'!$C$2:$C$35='Abgleich Generation'!$A55)*('Modell Erzeugung'!$D$1:$AZ$1='Abgleich Generation'!I$40)*'Modell Erzeugung'!$D$2:$AZ$35)+SUMPRODUCT(('Modell Erzeugung'!$C$2:$C$35='Abgleich Generation'!$A55)*('Modell Erzeugung'!$D$1:$AZ$1='Abgleich Generation'!I$39)*'Modell Erzeugung'!$D$2:$AZ$35)+SUMPRODUCT(('Modell Erzeugung'!$C$2:$C$35='Abgleich Generation'!$A55)*('Modell Erzeugung'!$D$1:$AZ$1='Abgleich Generation'!I$38)*'Modell Erzeugung'!$D$2:$AZ$35))/1000000</f>
        <v>0</v>
      </c>
      <c r="J55" s="58">
        <f>(SUMPRODUCT(('Modell Erzeugung'!$C$2:$C$35='Abgleich Generation'!$A55)*('Modell Erzeugung'!$D$1:$AZ$1='Abgleich Generation'!J$40)*'Modell Erzeugung'!$D$2:$AZ$35)+SUMPRODUCT(('Modell Erzeugung'!$C$2:$C$35='Abgleich Generation'!$A55)*('Modell Erzeugung'!$D$1:$AZ$1='Abgleich Generation'!J$39)*'Modell Erzeugung'!$D$2:$AZ$35)+SUMPRODUCT(('Modell Erzeugung'!$C$2:$C$35='Abgleich Generation'!$A55)*('Modell Erzeugung'!$D$1:$AZ$1='Abgleich Generation'!J$38)*'Modell Erzeugung'!$D$2:$AZ$35))/1000000</f>
        <v>9.3621430889999999E-3</v>
      </c>
      <c r="K55" s="59">
        <f t="shared" si="56"/>
        <v>85.59784726514502</v>
      </c>
      <c r="L55" s="58">
        <f>(SUMPRODUCT(('Modell Erzeugung'!$C$2:$C$35='Abgleich Generation'!$A55)*('Modell Erzeugung'!$D$1:$AZ$1='Abgleich Generation'!L$40)*'Modell Erzeugung'!$D$2:$AZ$35)+SUMPRODUCT(('Modell Erzeugung'!$C$2:$C$35='Abgleich Generation'!$A55)*('Modell Erzeugung'!$D$1:$AZ$1='Abgleich Generation'!L$39)*'Modell Erzeugung'!$D$2:$AZ$35)+SUMPRODUCT(('Modell Erzeugung'!$C$2:$C$35='Abgleich Generation'!$A55)*('Modell Erzeugung'!$D$1:$AZ$1='Abgleich Generation'!L$38)*'Modell Erzeugung'!$D$2:$AZ$35))/1000000</f>
        <v>6.6275840147110099</v>
      </c>
      <c r="M55" s="58">
        <f>(SUMPRODUCT(('Modell Erzeugung'!$C$2:$C$35='Abgleich Generation'!$A55)*('Modell Erzeugung'!$D$1:$AZ$1='Abgleich Generation'!M$40)*'Modell Erzeugung'!$D$2:$AZ$35)+SUMPRODUCT(('Modell Erzeugung'!$C$2:$C$35='Abgleich Generation'!$A55)*('Modell Erzeugung'!$D$1:$AZ$1='Abgleich Generation'!M$39)*'Modell Erzeugung'!$D$2:$AZ$35)+SUMPRODUCT(('Modell Erzeugung'!$C$2:$C$35='Abgleich Generation'!$A55)*('Modell Erzeugung'!$D$1:$AZ$1='Abgleich Generation'!M$38)*'Modell Erzeugung'!$D$2:$AZ$35))/1000000</f>
        <v>0</v>
      </c>
      <c r="N55" s="58">
        <f>(SUMPRODUCT(('Modell Erzeugung'!$C$2:$C$35='Abgleich Generation'!$A55)*('Modell Erzeugung'!$D$1:$AZ$1='Abgleich Generation'!N$40)*'Modell Erzeugung'!$D$2:$AZ$35)+SUMPRODUCT(('Modell Erzeugung'!$C$2:$C$35='Abgleich Generation'!$A55)*('Modell Erzeugung'!$D$1:$AZ$1='Abgleich Generation'!N$39)*'Modell Erzeugung'!$D$2:$AZ$35)+SUMPRODUCT(('Modell Erzeugung'!$C$2:$C$35='Abgleich Generation'!$A55)*('Modell Erzeugung'!$D$1:$AZ$1='Abgleich Generation'!N$38)*'Modell Erzeugung'!$D$2:$AZ$35))/1000000</f>
        <v>20.299979693744</v>
      </c>
      <c r="O55" s="58">
        <f>(SUMPRODUCT(('Modell Erzeugung'!$C$2:$C$35='Abgleich Generation'!$A55)*('Modell Erzeugung'!$D$1:$AZ$1='Abgleich Generation'!O$40)*'Modell Erzeugung'!$D$2:$AZ$35)+SUMPRODUCT(('Modell Erzeugung'!$C$2:$C$35='Abgleich Generation'!$A55)*('Modell Erzeugung'!$D$1:$AZ$1='Abgleich Generation'!O$39)*'Modell Erzeugung'!$D$2:$AZ$35)+SUMPRODUCT(('Modell Erzeugung'!$C$2:$C$35='Abgleich Generation'!$A55)*('Modell Erzeugung'!$D$1:$AZ$1='Abgleich Generation'!O$38)*'Modell Erzeugung'!$D$2:$AZ$35))/1000000</f>
        <v>28.209805020564001</v>
      </c>
      <c r="P55" s="58">
        <f>(SUMPRODUCT(('Modell Erzeugung'!$C$2:$C$35='Abgleich Generation'!$A55)*('Modell Erzeugung'!$D$1:$AZ$1='Abgleich Generation'!P$40)*'Modell Erzeugung'!$D$2:$AZ$35)+SUMPRODUCT(('Modell Erzeugung'!$C$2:$C$35='Abgleich Generation'!$A55)*('Modell Erzeugung'!$D$1:$AZ$1='Abgleich Generation'!P$39)*'Modell Erzeugung'!$D$2:$AZ$35)+SUMPRODUCT(('Modell Erzeugung'!$C$2:$C$35='Abgleich Generation'!$A55)*('Modell Erzeugung'!$D$1:$AZ$1='Abgleich Generation'!P$38)*'Modell Erzeugung'!$D$2:$AZ$35))/1000000</f>
        <v>7.9285985361259996</v>
      </c>
      <c r="Q55" s="58">
        <f>(SUMPRODUCT(('Modell Erzeugung'!$C$2:$C$35='Abgleich Generation'!$A55)*('Modell Erzeugung'!$D$1:$AZ$1='Abgleich Generation'!Q$40)*'Modell Erzeugung'!$D$2:$AZ$35)+SUMPRODUCT(('Modell Erzeugung'!$C$2:$C$35='Abgleich Generation'!$A55)*('Modell Erzeugung'!$D$1:$AZ$1='Abgleich Generation'!Q$39)*'Modell Erzeugung'!$D$2:$AZ$35)+SUMPRODUCT(('Modell Erzeugung'!$C$2:$C$35='Abgleich Generation'!$A55)*('Modell Erzeugung'!$D$1:$AZ$1='Abgleich Generation'!Q$38)*'Modell Erzeugung'!$D$2:$AZ$35))/1000000</f>
        <v>0</v>
      </c>
      <c r="R55" s="58">
        <f>(SUMPRODUCT(('Modell Erzeugung'!$C$2:$C$35='Abgleich Generation'!$A55)*('Modell Erzeugung'!$D$1:$AZ$1='Abgleich Generation'!R$40)*'Modell Erzeugung'!$D$2:$AZ$35)+SUMPRODUCT(('Modell Erzeugung'!$C$2:$C$35='Abgleich Generation'!$A55)*('Modell Erzeugung'!$D$1:$AZ$1='Abgleich Generation'!R$39)*'Modell Erzeugung'!$D$2:$AZ$35)+SUMPRODUCT(('Modell Erzeugung'!$C$2:$C$35='Abgleich Generation'!$A55)*('Modell Erzeugung'!$D$1:$AZ$1='Abgleich Generation'!R$38)*'Modell Erzeugung'!$D$2:$AZ$35))/1000000</f>
        <v>22.531880000000001</v>
      </c>
      <c r="S55" s="58">
        <f>(SUMPRODUCT(('Modell Erzeugung'!$C$2:$C$35='Abgleich Generation'!$A55)*('Modell Erzeugung'!$D$1:$AZ$1='Abgleich Generation'!S$40)*'Modell Erzeugung'!$D$2:$AZ$35)+SUMPRODUCT(('Modell Erzeugung'!$C$2:$C$35='Abgleich Generation'!$A55)*('Modell Erzeugung'!$D$1:$AZ$1='Abgleich Generation'!S$39)*'Modell Erzeugung'!$D$2:$AZ$35)+SUMPRODUCT(('Modell Erzeugung'!$C$2:$C$35='Abgleich Generation'!$A55)*('Modell Erzeugung'!$D$1:$AZ$1='Abgleich Generation'!S$38)*'Modell Erzeugung'!$D$2:$AZ$35))/1000000</f>
        <v>0</v>
      </c>
      <c r="T55" s="58">
        <f>(SUMPRODUCT(('Modell Erzeugung'!$C$2:$C$35='Abgleich Generation'!$A55)*('Modell Erzeugung'!$D$1:$AZ$1='Abgleich Generation'!T$40)*'Modell Erzeugung'!$D$2:$AZ$35)+SUMPRODUCT(('Modell Erzeugung'!$C$2:$C$35='Abgleich Generation'!$A55)*('Modell Erzeugung'!$D$1:$AZ$1='Abgleich Generation'!T$39)*'Modell Erzeugung'!$D$2:$AZ$35)+SUMPRODUCT(('Modell Erzeugung'!$C$2:$C$35='Abgleich Generation'!$A55)*('Modell Erzeugung'!$D$1:$AZ$1='Abgleich Generation'!T$38)*'Modell Erzeugung'!$D$2:$AZ$35))/1000000</f>
        <v>0</v>
      </c>
      <c r="U55" s="58">
        <f>(SUMPRODUCT(('Modell Erzeugung'!$C$2:$C$35='Abgleich Generation'!$A55)*('Modell Erzeugung'!$D$1:$AZ$1='Abgleich Generation'!U$40)*'Modell Erzeugung'!$D$2:$AZ$35)+SUMPRODUCT(('Modell Erzeugung'!$C$2:$C$35='Abgleich Generation'!$A55)*('Modell Erzeugung'!$D$1:$AZ$1='Abgleich Generation'!U$39)*'Modell Erzeugung'!$D$2:$AZ$35)+SUMPRODUCT(('Modell Erzeugung'!$C$2:$C$35='Abgleich Generation'!$A55)*('Modell Erzeugung'!$D$1:$AZ$1='Abgleich Generation'!U$38)*'Modell Erzeugung'!$D$2:$AZ$35))/1000000</f>
        <v>0</v>
      </c>
      <c r="V55" s="59">
        <f t="shared" si="57"/>
        <v>327.26184079740403</v>
      </c>
      <c r="W55" s="60"/>
      <c r="X55" s="61">
        <f t="shared" si="55"/>
        <v>339.95162485401545</v>
      </c>
      <c r="Y55" s="61">
        <f>(SUMPRODUCT(('Modell Erzeugung'!$C$2:$C$35='Abgleich Generation'!$A55)*('Modell Erzeugung'!$D$1:$AZ$1='Abgleich Generation'!Y$40)*'Modell Erzeugung'!$D$2:$AZ$35)+SUMPRODUCT(('Modell Erzeugung'!$C$2:$C$35='Abgleich Generation'!$A55)*('Modell Erzeugung'!$D$1:$AZ$1='Abgleich Generation'!Y$39)*'Modell Erzeugung'!$D$2:$AZ$35))/1000000</f>
        <v>12.6897840566114</v>
      </c>
    </row>
    <row r="56" spans="1:33" x14ac:dyDescent="0.25">
      <c r="A56" s="14" t="s">
        <v>23</v>
      </c>
      <c r="B56" s="25">
        <f t="shared" si="53"/>
        <v>34.050110629295006</v>
      </c>
      <c r="C56" s="26">
        <f>(SUMPRODUCT(('Modell Erzeugung'!$C$2:$C$35='Abgleich Generation'!$A56)*('Modell Erzeugung'!$D$1:$AZ$1='Abgleich Generation'!C$40)*'Modell Erzeugung'!$D$2:$AZ$35)+SUMPRODUCT(('Modell Erzeugung'!$C$2:$C$35='Abgleich Generation'!$A56)*('Modell Erzeugung'!$D$1:$AZ$1='Abgleich Generation'!C$39)*'Modell Erzeugung'!$D$2:$AZ$35)+SUMPRODUCT(('Modell Erzeugung'!$C$2:$C$35='Abgleich Generation'!$A56)*('Modell Erzeugung'!$D$1:$AZ$1='Abgleich Generation'!C$38)*'Modell Erzeugung'!$D$2:$AZ$35))/1000000</f>
        <v>0</v>
      </c>
      <c r="D56" s="26">
        <f t="shared" si="54"/>
        <v>34.050110629295006</v>
      </c>
      <c r="E56" s="26">
        <f>(SUMPRODUCT(('Modell Erzeugung'!$C$2:$C$35='Abgleich Generation'!$A56)*('Modell Erzeugung'!$D$1:$AZ$1='Abgleich Generation'!E$40)*'Modell Erzeugung'!$D$2:$AZ$35)+SUMPRODUCT(('Modell Erzeugung'!$C$2:$C$35='Abgleich Generation'!$A56)*('Modell Erzeugung'!$D$1:$AZ$1='Abgleich Generation'!E$39)*'Modell Erzeugung'!$D$2:$AZ$35)+SUMPRODUCT(('Modell Erzeugung'!$C$2:$C$35='Abgleich Generation'!$A56)*('Modell Erzeugung'!$D$1:$AZ$1='Abgleich Generation'!E$38)*'Modell Erzeugung'!$D$2:$AZ$35))/1000000</f>
        <v>26.491999581937002</v>
      </c>
      <c r="F56" s="26">
        <f>(SUMPRODUCT(('Modell Erzeugung'!$C$2:$C$35='Abgleich Generation'!$A56)*('Modell Erzeugung'!$D$1:$AZ$1='Abgleich Generation'!F$40)*'Modell Erzeugung'!$D$2:$AZ$35)+SUMPRODUCT(('Modell Erzeugung'!$C$2:$C$35='Abgleich Generation'!$A56)*('Modell Erzeugung'!$D$1:$AZ$1='Abgleich Generation'!F$39)*'Modell Erzeugung'!$D$2:$AZ$35)+SUMPRODUCT(('Modell Erzeugung'!$C$2:$C$35='Abgleich Generation'!$A56)*('Modell Erzeugung'!$D$1:$AZ$1='Abgleich Generation'!F$38)*'Modell Erzeugung'!$D$2:$AZ$35))/1000000</f>
        <v>7.5581110473580004</v>
      </c>
      <c r="G56" s="26">
        <f>(SUMPRODUCT(('Modell Erzeugung'!$C$2:$C$35='Abgleich Generation'!$A56)*('Modell Erzeugung'!$D$1:$AZ$1='Abgleich Generation'!G$40)*'Modell Erzeugung'!$D$2:$AZ$35)+SUMPRODUCT(('Modell Erzeugung'!$C$2:$C$35='Abgleich Generation'!$A56)*('Modell Erzeugung'!$D$1:$AZ$1='Abgleich Generation'!G$39)*'Modell Erzeugung'!$D$2:$AZ$35)+SUMPRODUCT(('Modell Erzeugung'!$C$2:$C$35='Abgleich Generation'!$A56)*('Modell Erzeugung'!$D$1:$AZ$1='Abgleich Generation'!G$38)*'Modell Erzeugung'!$D$2:$AZ$35))/1000000</f>
        <v>0</v>
      </c>
      <c r="H56" s="26">
        <f>(SUMPRODUCT(('Modell Erzeugung'!$C$2:$C$35='Abgleich Generation'!$A56)*('Modell Erzeugung'!$D$1:$AZ$1='Abgleich Generation'!H$40)*'Modell Erzeugung'!$D$2:$AZ$35)+SUMPRODUCT(('Modell Erzeugung'!$C$2:$C$35='Abgleich Generation'!$A56)*('Modell Erzeugung'!$D$1:$AZ$1='Abgleich Generation'!H$39)*'Modell Erzeugung'!$D$2:$AZ$35)+SUMPRODUCT(('Modell Erzeugung'!$C$2:$C$35='Abgleich Generation'!$A56)*('Modell Erzeugung'!$D$1:$AZ$1='Abgleich Generation'!H$38)*'Modell Erzeugung'!$D$2:$AZ$35))/1000000</f>
        <v>0</v>
      </c>
      <c r="I56" s="26">
        <f>(SUMPRODUCT(('Modell Erzeugung'!$C$2:$C$35='Abgleich Generation'!$A56)*('Modell Erzeugung'!$D$1:$AZ$1='Abgleich Generation'!I$40)*'Modell Erzeugung'!$D$2:$AZ$35)+SUMPRODUCT(('Modell Erzeugung'!$C$2:$C$35='Abgleich Generation'!$A56)*('Modell Erzeugung'!$D$1:$AZ$1='Abgleich Generation'!I$39)*'Modell Erzeugung'!$D$2:$AZ$35)+SUMPRODUCT(('Modell Erzeugung'!$C$2:$C$35='Abgleich Generation'!$A56)*('Modell Erzeugung'!$D$1:$AZ$1='Abgleich Generation'!I$38)*'Modell Erzeugung'!$D$2:$AZ$35))/1000000</f>
        <v>0</v>
      </c>
      <c r="J56" s="26">
        <f>(SUMPRODUCT(('Modell Erzeugung'!$C$2:$C$35='Abgleich Generation'!$A56)*('Modell Erzeugung'!$D$1:$AZ$1='Abgleich Generation'!J$40)*'Modell Erzeugung'!$D$2:$AZ$35)+SUMPRODUCT(('Modell Erzeugung'!$C$2:$C$35='Abgleich Generation'!$A56)*('Modell Erzeugung'!$D$1:$AZ$1='Abgleich Generation'!J$39)*'Modell Erzeugung'!$D$2:$AZ$35)+SUMPRODUCT(('Modell Erzeugung'!$C$2:$C$35='Abgleich Generation'!$A56)*('Modell Erzeugung'!$D$1:$AZ$1='Abgleich Generation'!J$38)*'Modell Erzeugung'!$D$2:$AZ$35))/1000000</f>
        <v>0</v>
      </c>
      <c r="K56" s="27">
        <f t="shared" si="56"/>
        <v>22.677864918060024</v>
      </c>
      <c r="L56" s="26">
        <f>(SUMPRODUCT(('Modell Erzeugung'!$C$2:$C$35='Abgleich Generation'!$A56)*('Modell Erzeugung'!$D$1:$AZ$1='Abgleich Generation'!L$40)*'Modell Erzeugung'!$D$2:$AZ$35)+SUMPRODUCT(('Modell Erzeugung'!$C$2:$C$35='Abgleich Generation'!$A56)*('Modell Erzeugung'!$D$1:$AZ$1='Abgleich Generation'!L$39)*'Modell Erzeugung'!$D$2:$AZ$35)+SUMPRODUCT(('Modell Erzeugung'!$C$2:$C$35='Abgleich Generation'!$A56)*('Modell Erzeugung'!$D$1:$AZ$1='Abgleich Generation'!L$38)*'Modell Erzeugung'!$D$2:$AZ$35))/1000000</f>
        <v>9.0592795325450215</v>
      </c>
      <c r="M56" s="26">
        <f>(SUMPRODUCT(('Modell Erzeugung'!$C$2:$C$35='Abgleich Generation'!$A56)*('Modell Erzeugung'!$D$1:$AZ$1='Abgleich Generation'!M$40)*'Modell Erzeugung'!$D$2:$AZ$35)+SUMPRODUCT(('Modell Erzeugung'!$C$2:$C$35='Abgleich Generation'!$A56)*('Modell Erzeugung'!$D$1:$AZ$1='Abgleich Generation'!M$39)*'Modell Erzeugung'!$D$2:$AZ$35)+SUMPRODUCT(('Modell Erzeugung'!$C$2:$C$35='Abgleich Generation'!$A56)*('Modell Erzeugung'!$D$1:$AZ$1='Abgleich Generation'!M$38)*'Modell Erzeugung'!$D$2:$AZ$35))/1000000</f>
        <v>0</v>
      </c>
      <c r="N56" s="26">
        <f>(SUMPRODUCT(('Modell Erzeugung'!$C$2:$C$35='Abgleich Generation'!$A56)*('Modell Erzeugung'!$D$1:$AZ$1='Abgleich Generation'!N$40)*'Modell Erzeugung'!$D$2:$AZ$35)+SUMPRODUCT(('Modell Erzeugung'!$C$2:$C$35='Abgleich Generation'!$A56)*('Modell Erzeugung'!$D$1:$AZ$1='Abgleich Generation'!N$39)*'Modell Erzeugung'!$D$2:$AZ$35)+SUMPRODUCT(('Modell Erzeugung'!$C$2:$C$35='Abgleich Generation'!$A56)*('Modell Erzeugung'!$D$1:$AZ$1='Abgleich Generation'!N$38)*'Modell Erzeugung'!$D$2:$AZ$35))/1000000</f>
        <v>0.23192909800100001</v>
      </c>
      <c r="O56" s="26">
        <f>(SUMPRODUCT(('Modell Erzeugung'!$C$2:$C$35='Abgleich Generation'!$A56)*('Modell Erzeugung'!$D$1:$AZ$1='Abgleich Generation'!O$40)*'Modell Erzeugung'!$D$2:$AZ$35)+SUMPRODUCT(('Modell Erzeugung'!$C$2:$C$35='Abgleich Generation'!$A56)*('Modell Erzeugung'!$D$1:$AZ$1='Abgleich Generation'!O$39)*'Modell Erzeugung'!$D$2:$AZ$35)+SUMPRODUCT(('Modell Erzeugung'!$C$2:$C$35='Abgleich Generation'!$A56)*('Modell Erzeugung'!$D$1:$AZ$1='Abgleich Generation'!O$38)*'Modell Erzeugung'!$D$2:$AZ$35))/1000000</f>
        <v>8.6154287848889997</v>
      </c>
      <c r="P56" s="26">
        <f>(SUMPRODUCT(('Modell Erzeugung'!$C$2:$C$35='Abgleich Generation'!$A56)*('Modell Erzeugung'!$D$1:$AZ$1='Abgleich Generation'!P$40)*'Modell Erzeugung'!$D$2:$AZ$35)+SUMPRODUCT(('Modell Erzeugung'!$C$2:$C$35='Abgleich Generation'!$A56)*('Modell Erzeugung'!$D$1:$AZ$1='Abgleich Generation'!P$39)*'Modell Erzeugung'!$D$2:$AZ$35)+SUMPRODUCT(('Modell Erzeugung'!$C$2:$C$35='Abgleich Generation'!$A56)*('Modell Erzeugung'!$D$1:$AZ$1='Abgleich Generation'!P$38)*'Modell Erzeugung'!$D$2:$AZ$35))/1000000</f>
        <v>3.7862522703550003</v>
      </c>
      <c r="Q56" s="26">
        <f>(SUMPRODUCT(('Modell Erzeugung'!$C$2:$C$35='Abgleich Generation'!$A56)*('Modell Erzeugung'!$D$1:$AZ$1='Abgleich Generation'!Q$40)*'Modell Erzeugung'!$D$2:$AZ$35)+SUMPRODUCT(('Modell Erzeugung'!$C$2:$C$35='Abgleich Generation'!$A56)*('Modell Erzeugung'!$D$1:$AZ$1='Abgleich Generation'!Q$39)*'Modell Erzeugung'!$D$2:$AZ$35)+SUMPRODUCT(('Modell Erzeugung'!$C$2:$C$35='Abgleich Generation'!$A56)*('Modell Erzeugung'!$D$1:$AZ$1='Abgleich Generation'!Q$38)*'Modell Erzeugung'!$D$2:$AZ$35))/1000000</f>
        <v>0</v>
      </c>
      <c r="R56" s="26">
        <f>(SUMPRODUCT(('Modell Erzeugung'!$C$2:$C$35='Abgleich Generation'!$A56)*('Modell Erzeugung'!$D$1:$AZ$1='Abgleich Generation'!R$40)*'Modell Erzeugung'!$D$2:$AZ$35)+SUMPRODUCT(('Modell Erzeugung'!$C$2:$C$35='Abgleich Generation'!$A56)*('Modell Erzeugung'!$D$1:$AZ$1='Abgleich Generation'!R$39)*'Modell Erzeugung'!$D$2:$AZ$35)+SUMPRODUCT(('Modell Erzeugung'!$C$2:$C$35='Abgleich Generation'!$A56)*('Modell Erzeugung'!$D$1:$AZ$1='Abgleich Generation'!R$38)*'Modell Erzeugung'!$D$2:$AZ$35))/1000000</f>
        <v>0.98497523227000094</v>
      </c>
      <c r="S56" s="26">
        <f>(SUMPRODUCT(('Modell Erzeugung'!$C$2:$C$35='Abgleich Generation'!$A56)*('Modell Erzeugung'!$D$1:$AZ$1='Abgleich Generation'!S$40)*'Modell Erzeugung'!$D$2:$AZ$35)+SUMPRODUCT(('Modell Erzeugung'!$C$2:$C$35='Abgleich Generation'!$A56)*('Modell Erzeugung'!$D$1:$AZ$1='Abgleich Generation'!S$39)*'Modell Erzeugung'!$D$2:$AZ$35)+SUMPRODUCT(('Modell Erzeugung'!$C$2:$C$35='Abgleich Generation'!$A56)*('Modell Erzeugung'!$D$1:$AZ$1='Abgleich Generation'!S$38)*'Modell Erzeugung'!$D$2:$AZ$35))/1000000</f>
        <v>0</v>
      </c>
      <c r="T56" s="26">
        <f>(SUMPRODUCT(('Modell Erzeugung'!$C$2:$C$35='Abgleich Generation'!$A56)*('Modell Erzeugung'!$D$1:$AZ$1='Abgleich Generation'!T$40)*'Modell Erzeugung'!$D$2:$AZ$35)+SUMPRODUCT(('Modell Erzeugung'!$C$2:$C$35='Abgleich Generation'!$A56)*('Modell Erzeugung'!$D$1:$AZ$1='Abgleich Generation'!T$39)*'Modell Erzeugung'!$D$2:$AZ$35)+SUMPRODUCT(('Modell Erzeugung'!$C$2:$C$35='Abgleich Generation'!$A56)*('Modell Erzeugung'!$D$1:$AZ$1='Abgleich Generation'!T$38)*'Modell Erzeugung'!$D$2:$AZ$35))/1000000</f>
        <v>0</v>
      </c>
      <c r="U56" s="26">
        <f>(SUMPRODUCT(('Modell Erzeugung'!$C$2:$C$35='Abgleich Generation'!$A56)*('Modell Erzeugung'!$D$1:$AZ$1='Abgleich Generation'!U$40)*'Modell Erzeugung'!$D$2:$AZ$35)+SUMPRODUCT(('Modell Erzeugung'!$C$2:$C$35='Abgleich Generation'!$A56)*('Modell Erzeugung'!$D$1:$AZ$1='Abgleich Generation'!U$39)*'Modell Erzeugung'!$D$2:$AZ$35)+SUMPRODUCT(('Modell Erzeugung'!$C$2:$C$35='Abgleich Generation'!$A56)*('Modell Erzeugung'!$D$1:$AZ$1='Abgleich Generation'!U$38)*'Modell Erzeugung'!$D$2:$AZ$35))/1000000</f>
        <v>0</v>
      </c>
      <c r="V56" s="27">
        <f t="shared" si="57"/>
        <v>56.72797554735503</v>
      </c>
      <c r="W56" s="28"/>
      <c r="X56" s="29">
        <f t="shared" si="55"/>
        <v>53.828035538795127</v>
      </c>
      <c r="Y56" s="29">
        <f>(SUMPRODUCT(('Modell Erzeugung'!$C$2:$C$35='Abgleich Generation'!$A56)*('Modell Erzeugung'!$D$1:$AZ$1='Abgleich Generation'!Y$40)*'Modell Erzeugung'!$D$2:$AZ$35)+SUMPRODUCT(('Modell Erzeugung'!$C$2:$C$35='Abgleich Generation'!$A56)*('Modell Erzeugung'!$D$1:$AZ$1='Abgleich Generation'!Y$39)*'Modell Erzeugung'!$D$2:$AZ$35))/1000000</f>
        <v>-2.8999400085598999</v>
      </c>
    </row>
    <row r="57" spans="1:33" x14ac:dyDescent="0.25">
      <c r="A57" s="14" t="s">
        <v>24</v>
      </c>
      <c r="B57" s="57">
        <f t="shared" si="53"/>
        <v>5.3004396304810113</v>
      </c>
      <c r="C57" s="58">
        <f>(SUMPRODUCT(('Modell Erzeugung'!$C$2:$C$35='Abgleich Generation'!$A57)*('Modell Erzeugung'!$D$1:$AZ$1='Abgleich Generation'!C$40)*'Modell Erzeugung'!$D$2:$AZ$35)+SUMPRODUCT(('Modell Erzeugung'!$C$2:$C$35='Abgleich Generation'!$A57)*('Modell Erzeugung'!$D$1:$AZ$1='Abgleich Generation'!C$39)*'Modell Erzeugung'!$D$2:$AZ$35)+SUMPRODUCT(('Modell Erzeugung'!$C$2:$C$35='Abgleich Generation'!$A57)*('Modell Erzeugung'!$D$1:$AZ$1='Abgleich Generation'!C$38)*'Modell Erzeugung'!$D$2:$AZ$35))/1000000</f>
        <v>0</v>
      </c>
      <c r="D57" s="58">
        <f t="shared" si="54"/>
        <v>5.3004396304810113</v>
      </c>
      <c r="E57" s="58">
        <f>(SUMPRODUCT(('Modell Erzeugung'!$C$2:$C$35='Abgleich Generation'!$A57)*('Modell Erzeugung'!$D$1:$AZ$1='Abgleich Generation'!E$40)*'Modell Erzeugung'!$D$2:$AZ$35)+SUMPRODUCT(('Modell Erzeugung'!$C$2:$C$35='Abgleich Generation'!$A57)*('Modell Erzeugung'!$D$1:$AZ$1='Abgleich Generation'!E$39)*'Modell Erzeugung'!$D$2:$AZ$35)+SUMPRODUCT(('Modell Erzeugung'!$C$2:$C$35='Abgleich Generation'!$A57)*('Modell Erzeugung'!$D$1:$AZ$1='Abgleich Generation'!E$38)*'Modell Erzeugung'!$D$2:$AZ$35))/1000000</f>
        <v>0</v>
      </c>
      <c r="F57" s="58">
        <f>(SUMPRODUCT(('Modell Erzeugung'!$C$2:$C$35='Abgleich Generation'!$A57)*('Modell Erzeugung'!$D$1:$AZ$1='Abgleich Generation'!F$40)*'Modell Erzeugung'!$D$2:$AZ$35)+SUMPRODUCT(('Modell Erzeugung'!$C$2:$C$35='Abgleich Generation'!$A57)*('Modell Erzeugung'!$D$1:$AZ$1='Abgleich Generation'!F$39)*'Modell Erzeugung'!$D$2:$AZ$35)+SUMPRODUCT(('Modell Erzeugung'!$C$2:$C$35='Abgleich Generation'!$A57)*('Modell Erzeugung'!$D$1:$AZ$1='Abgleich Generation'!F$38)*'Modell Erzeugung'!$D$2:$AZ$35))/1000000</f>
        <v>4.4705658528140102</v>
      </c>
      <c r="G57" s="58">
        <f>(SUMPRODUCT(('Modell Erzeugung'!$C$2:$C$35='Abgleich Generation'!$A57)*('Modell Erzeugung'!$D$1:$AZ$1='Abgleich Generation'!G$40)*'Modell Erzeugung'!$D$2:$AZ$35)+SUMPRODUCT(('Modell Erzeugung'!$C$2:$C$35='Abgleich Generation'!$A57)*('Modell Erzeugung'!$D$1:$AZ$1='Abgleich Generation'!G$39)*'Modell Erzeugung'!$D$2:$AZ$35)+SUMPRODUCT(('Modell Erzeugung'!$C$2:$C$35='Abgleich Generation'!$A57)*('Modell Erzeugung'!$D$1:$AZ$1='Abgleich Generation'!G$38)*'Modell Erzeugung'!$D$2:$AZ$35))/1000000</f>
        <v>0.82987377766700099</v>
      </c>
      <c r="H57" s="58">
        <f>(SUMPRODUCT(('Modell Erzeugung'!$C$2:$C$35='Abgleich Generation'!$A57)*('Modell Erzeugung'!$D$1:$AZ$1='Abgleich Generation'!H$40)*'Modell Erzeugung'!$D$2:$AZ$35)+SUMPRODUCT(('Modell Erzeugung'!$C$2:$C$35='Abgleich Generation'!$A57)*('Modell Erzeugung'!$D$1:$AZ$1='Abgleich Generation'!H$39)*'Modell Erzeugung'!$D$2:$AZ$35)+SUMPRODUCT(('Modell Erzeugung'!$C$2:$C$35='Abgleich Generation'!$A57)*('Modell Erzeugung'!$D$1:$AZ$1='Abgleich Generation'!H$38)*'Modell Erzeugung'!$D$2:$AZ$35))/1000000</f>
        <v>0</v>
      </c>
      <c r="I57" s="58">
        <f>(SUMPRODUCT(('Modell Erzeugung'!$C$2:$C$35='Abgleich Generation'!$A57)*('Modell Erzeugung'!$D$1:$AZ$1='Abgleich Generation'!I$40)*'Modell Erzeugung'!$D$2:$AZ$35)+SUMPRODUCT(('Modell Erzeugung'!$C$2:$C$35='Abgleich Generation'!$A57)*('Modell Erzeugung'!$D$1:$AZ$1='Abgleich Generation'!I$39)*'Modell Erzeugung'!$D$2:$AZ$35)+SUMPRODUCT(('Modell Erzeugung'!$C$2:$C$35='Abgleich Generation'!$A57)*('Modell Erzeugung'!$D$1:$AZ$1='Abgleich Generation'!I$38)*'Modell Erzeugung'!$D$2:$AZ$35))/1000000</f>
        <v>0</v>
      </c>
      <c r="J57" s="58">
        <f>(SUMPRODUCT(('Modell Erzeugung'!$C$2:$C$35='Abgleich Generation'!$A57)*('Modell Erzeugung'!$D$1:$AZ$1='Abgleich Generation'!J$40)*'Modell Erzeugung'!$D$2:$AZ$35)+SUMPRODUCT(('Modell Erzeugung'!$C$2:$C$35='Abgleich Generation'!$A57)*('Modell Erzeugung'!$D$1:$AZ$1='Abgleich Generation'!J$39)*'Modell Erzeugung'!$D$2:$AZ$35)+SUMPRODUCT(('Modell Erzeugung'!$C$2:$C$35='Abgleich Generation'!$A57)*('Modell Erzeugung'!$D$1:$AZ$1='Abgleich Generation'!J$38)*'Modell Erzeugung'!$D$2:$AZ$35))/1000000</f>
        <v>0</v>
      </c>
      <c r="K57" s="59">
        <f t="shared" si="56"/>
        <v>7.0393108516880085</v>
      </c>
      <c r="L57" s="58">
        <f>(SUMPRODUCT(('Modell Erzeugung'!$C$2:$C$35='Abgleich Generation'!$A57)*('Modell Erzeugung'!$D$1:$AZ$1='Abgleich Generation'!L$40)*'Modell Erzeugung'!$D$2:$AZ$35)+SUMPRODUCT(('Modell Erzeugung'!$C$2:$C$35='Abgleich Generation'!$A57)*('Modell Erzeugung'!$D$1:$AZ$1='Abgleich Generation'!L$39)*'Modell Erzeugung'!$D$2:$AZ$35)+SUMPRODUCT(('Modell Erzeugung'!$C$2:$C$35='Abgleich Generation'!$A57)*('Modell Erzeugung'!$D$1:$AZ$1='Abgleich Generation'!L$38)*'Modell Erzeugung'!$D$2:$AZ$35))/1000000</f>
        <v>5.9431688963440097</v>
      </c>
      <c r="M57" s="58">
        <f>(SUMPRODUCT(('Modell Erzeugung'!$C$2:$C$35='Abgleich Generation'!$A57)*('Modell Erzeugung'!$D$1:$AZ$1='Abgleich Generation'!M$40)*'Modell Erzeugung'!$D$2:$AZ$35)+SUMPRODUCT(('Modell Erzeugung'!$C$2:$C$35='Abgleich Generation'!$A57)*('Modell Erzeugung'!$D$1:$AZ$1='Abgleich Generation'!M$39)*'Modell Erzeugung'!$D$2:$AZ$35)+SUMPRODUCT(('Modell Erzeugung'!$C$2:$C$35='Abgleich Generation'!$A57)*('Modell Erzeugung'!$D$1:$AZ$1='Abgleich Generation'!M$38)*'Modell Erzeugung'!$D$2:$AZ$35))/1000000</f>
        <v>0</v>
      </c>
      <c r="N57" s="58">
        <f>(SUMPRODUCT(('Modell Erzeugung'!$C$2:$C$35='Abgleich Generation'!$A57)*('Modell Erzeugung'!$D$1:$AZ$1='Abgleich Generation'!N$40)*'Modell Erzeugung'!$D$2:$AZ$35)+SUMPRODUCT(('Modell Erzeugung'!$C$2:$C$35='Abgleich Generation'!$A57)*('Modell Erzeugung'!$D$1:$AZ$1='Abgleich Generation'!N$39)*'Modell Erzeugung'!$D$2:$AZ$35)+SUMPRODUCT(('Modell Erzeugung'!$C$2:$C$35='Abgleich Generation'!$A57)*('Modell Erzeugung'!$D$1:$AZ$1='Abgleich Generation'!N$38)*'Modell Erzeugung'!$D$2:$AZ$35))/1000000</f>
        <v>0</v>
      </c>
      <c r="O57" s="58">
        <f>(SUMPRODUCT(('Modell Erzeugung'!$C$2:$C$35='Abgleich Generation'!$A57)*('Modell Erzeugung'!$D$1:$AZ$1='Abgleich Generation'!O$40)*'Modell Erzeugung'!$D$2:$AZ$35)+SUMPRODUCT(('Modell Erzeugung'!$C$2:$C$35='Abgleich Generation'!$A57)*('Modell Erzeugung'!$D$1:$AZ$1='Abgleich Generation'!O$39)*'Modell Erzeugung'!$D$2:$AZ$35)+SUMPRODUCT(('Modell Erzeugung'!$C$2:$C$35='Abgleich Generation'!$A57)*('Modell Erzeugung'!$D$1:$AZ$1='Abgleich Generation'!O$38)*'Modell Erzeugung'!$D$2:$AZ$35))/1000000</f>
        <v>0.52450322690100004</v>
      </c>
      <c r="P57" s="58">
        <f>(SUMPRODUCT(('Modell Erzeugung'!$C$2:$C$35='Abgleich Generation'!$A57)*('Modell Erzeugung'!$D$1:$AZ$1='Abgleich Generation'!P$40)*'Modell Erzeugung'!$D$2:$AZ$35)+SUMPRODUCT(('Modell Erzeugung'!$C$2:$C$35='Abgleich Generation'!$A57)*('Modell Erzeugung'!$D$1:$AZ$1='Abgleich Generation'!P$39)*'Modell Erzeugung'!$D$2:$AZ$35)+SUMPRODUCT(('Modell Erzeugung'!$C$2:$C$35='Abgleich Generation'!$A57)*('Modell Erzeugung'!$D$1:$AZ$1='Abgleich Generation'!P$38)*'Modell Erzeugung'!$D$2:$AZ$35))/1000000</f>
        <v>4.3636364872999996E-2</v>
      </c>
      <c r="Q57" s="58">
        <f>(SUMPRODUCT(('Modell Erzeugung'!$C$2:$C$35='Abgleich Generation'!$A57)*('Modell Erzeugung'!$D$1:$AZ$1='Abgleich Generation'!Q$40)*'Modell Erzeugung'!$D$2:$AZ$35)+SUMPRODUCT(('Modell Erzeugung'!$C$2:$C$35='Abgleich Generation'!$A57)*('Modell Erzeugung'!$D$1:$AZ$1='Abgleich Generation'!Q$39)*'Modell Erzeugung'!$D$2:$AZ$35)+SUMPRODUCT(('Modell Erzeugung'!$C$2:$C$35='Abgleich Generation'!$A57)*('Modell Erzeugung'!$D$1:$AZ$1='Abgleich Generation'!Q$38)*'Modell Erzeugung'!$D$2:$AZ$35))/1000000</f>
        <v>0</v>
      </c>
      <c r="R57" s="58">
        <f>(SUMPRODUCT(('Modell Erzeugung'!$C$2:$C$35='Abgleich Generation'!$A57)*('Modell Erzeugung'!$D$1:$AZ$1='Abgleich Generation'!R$40)*'Modell Erzeugung'!$D$2:$AZ$35)+SUMPRODUCT(('Modell Erzeugung'!$C$2:$C$35='Abgleich Generation'!$A57)*('Modell Erzeugung'!$D$1:$AZ$1='Abgleich Generation'!R$39)*'Modell Erzeugung'!$D$2:$AZ$35)+SUMPRODUCT(('Modell Erzeugung'!$C$2:$C$35='Abgleich Generation'!$A57)*('Modell Erzeugung'!$D$1:$AZ$1='Abgleich Generation'!R$38)*'Modell Erzeugung'!$D$2:$AZ$35))/1000000</f>
        <v>0.52800236356999897</v>
      </c>
      <c r="S57" s="58">
        <f>(SUMPRODUCT(('Modell Erzeugung'!$C$2:$C$35='Abgleich Generation'!$A57)*('Modell Erzeugung'!$D$1:$AZ$1='Abgleich Generation'!S$40)*'Modell Erzeugung'!$D$2:$AZ$35)+SUMPRODUCT(('Modell Erzeugung'!$C$2:$C$35='Abgleich Generation'!$A57)*('Modell Erzeugung'!$D$1:$AZ$1='Abgleich Generation'!S$39)*'Modell Erzeugung'!$D$2:$AZ$35)+SUMPRODUCT(('Modell Erzeugung'!$C$2:$C$35='Abgleich Generation'!$A57)*('Modell Erzeugung'!$D$1:$AZ$1='Abgleich Generation'!S$38)*'Modell Erzeugung'!$D$2:$AZ$35))/1000000</f>
        <v>0</v>
      </c>
      <c r="T57" s="58">
        <f>(SUMPRODUCT(('Modell Erzeugung'!$C$2:$C$35='Abgleich Generation'!$A57)*('Modell Erzeugung'!$D$1:$AZ$1='Abgleich Generation'!T$40)*'Modell Erzeugung'!$D$2:$AZ$35)+SUMPRODUCT(('Modell Erzeugung'!$C$2:$C$35='Abgleich Generation'!$A57)*('Modell Erzeugung'!$D$1:$AZ$1='Abgleich Generation'!T$39)*'Modell Erzeugung'!$D$2:$AZ$35)+SUMPRODUCT(('Modell Erzeugung'!$C$2:$C$35='Abgleich Generation'!$A57)*('Modell Erzeugung'!$D$1:$AZ$1='Abgleich Generation'!T$38)*'Modell Erzeugung'!$D$2:$AZ$35))/1000000</f>
        <v>0</v>
      </c>
      <c r="U57" s="58">
        <f>(SUMPRODUCT(('Modell Erzeugung'!$C$2:$C$35='Abgleich Generation'!$A57)*('Modell Erzeugung'!$D$1:$AZ$1='Abgleich Generation'!U$40)*'Modell Erzeugung'!$D$2:$AZ$35)+SUMPRODUCT(('Modell Erzeugung'!$C$2:$C$35='Abgleich Generation'!$A57)*('Modell Erzeugung'!$D$1:$AZ$1='Abgleich Generation'!U$39)*'Modell Erzeugung'!$D$2:$AZ$35)+SUMPRODUCT(('Modell Erzeugung'!$C$2:$C$35='Abgleich Generation'!$A57)*('Modell Erzeugung'!$D$1:$AZ$1='Abgleich Generation'!U$38)*'Modell Erzeugung'!$D$2:$AZ$35))/1000000</f>
        <v>0</v>
      </c>
      <c r="V57" s="59">
        <f t="shared" si="57"/>
        <v>12.33975048216902</v>
      </c>
      <c r="W57" s="60"/>
      <c r="X57" s="61">
        <f t="shared" si="55"/>
        <v>17.16261782966502</v>
      </c>
      <c r="Y57" s="61">
        <f>(SUMPRODUCT(('Modell Erzeugung'!$C$2:$C$35='Abgleich Generation'!$A57)*('Modell Erzeugung'!$D$1:$AZ$1='Abgleich Generation'!Y$40)*'Modell Erzeugung'!$D$2:$AZ$35)+SUMPRODUCT(('Modell Erzeugung'!$C$2:$C$35='Abgleich Generation'!$A57)*('Modell Erzeugung'!$D$1:$AZ$1='Abgleich Generation'!Y$39)*'Modell Erzeugung'!$D$2:$AZ$35))/1000000</f>
        <v>4.8228673474960004</v>
      </c>
    </row>
    <row r="58" spans="1:33" x14ac:dyDescent="0.25">
      <c r="A58" s="14" t="s">
        <v>25</v>
      </c>
      <c r="B58" s="25">
        <f t="shared" si="53"/>
        <v>28.414393902008996</v>
      </c>
      <c r="C58" s="26">
        <f>(SUMPRODUCT(('Modell Erzeugung'!$C$2:$C$35='Abgleich Generation'!$A58)*('Modell Erzeugung'!$D$1:$AZ$1='Abgleich Generation'!C$40)*'Modell Erzeugung'!$D$2:$AZ$35)+SUMPRODUCT(('Modell Erzeugung'!$C$2:$C$35='Abgleich Generation'!$A58)*('Modell Erzeugung'!$D$1:$AZ$1='Abgleich Generation'!C$39)*'Modell Erzeugung'!$D$2:$AZ$35)+SUMPRODUCT(('Modell Erzeugung'!$C$2:$C$35='Abgleich Generation'!$A58)*('Modell Erzeugung'!$D$1:$AZ$1='Abgleich Generation'!C$38)*'Modell Erzeugung'!$D$2:$AZ$35))/1000000</f>
        <v>15.210792</v>
      </c>
      <c r="D58" s="26">
        <f t="shared" si="54"/>
        <v>13.203601902008998</v>
      </c>
      <c r="E58" s="26">
        <f>(SUMPRODUCT(('Modell Erzeugung'!$C$2:$C$35='Abgleich Generation'!$A58)*('Modell Erzeugung'!$D$1:$AZ$1='Abgleich Generation'!E$40)*'Modell Erzeugung'!$D$2:$AZ$35)+SUMPRODUCT(('Modell Erzeugung'!$C$2:$C$35='Abgleich Generation'!$A58)*('Modell Erzeugung'!$D$1:$AZ$1='Abgleich Generation'!E$39)*'Modell Erzeugung'!$D$2:$AZ$35)+SUMPRODUCT(('Modell Erzeugung'!$C$2:$C$35='Abgleich Generation'!$A58)*('Modell Erzeugung'!$D$1:$AZ$1='Abgleich Generation'!E$38)*'Modell Erzeugung'!$D$2:$AZ$35))/1000000</f>
        <v>6.5671906401739992</v>
      </c>
      <c r="F58" s="26">
        <f>(SUMPRODUCT(('Modell Erzeugung'!$C$2:$C$35='Abgleich Generation'!$A58)*('Modell Erzeugung'!$D$1:$AZ$1='Abgleich Generation'!F$40)*'Modell Erzeugung'!$D$2:$AZ$35)+SUMPRODUCT(('Modell Erzeugung'!$C$2:$C$35='Abgleich Generation'!$A58)*('Modell Erzeugung'!$D$1:$AZ$1='Abgleich Generation'!F$39)*'Modell Erzeugung'!$D$2:$AZ$35)+SUMPRODUCT(('Modell Erzeugung'!$C$2:$C$35='Abgleich Generation'!$A58)*('Modell Erzeugung'!$D$1:$AZ$1='Abgleich Generation'!F$38)*'Modell Erzeugung'!$D$2:$AZ$35))/1000000</f>
        <v>6.4415703130980004</v>
      </c>
      <c r="G58" s="26">
        <f>(SUMPRODUCT(('Modell Erzeugung'!$C$2:$C$35='Abgleich Generation'!$A58)*('Modell Erzeugung'!$D$1:$AZ$1='Abgleich Generation'!G$40)*'Modell Erzeugung'!$D$2:$AZ$35)+SUMPRODUCT(('Modell Erzeugung'!$C$2:$C$35='Abgleich Generation'!$A58)*('Modell Erzeugung'!$D$1:$AZ$1='Abgleich Generation'!G$39)*'Modell Erzeugung'!$D$2:$AZ$35)+SUMPRODUCT(('Modell Erzeugung'!$C$2:$C$35='Abgleich Generation'!$A58)*('Modell Erzeugung'!$D$1:$AZ$1='Abgleich Generation'!G$38)*'Modell Erzeugung'!$D$2:$AZ$35))/1000000</f>
        <v>0.194840948737</v>
      </c>
      <c r="H58" s="26">
        <f>(SUMPRODUCT(('Modell Erzeugung'!$C$2:$C$35='Abgleich Generation'!$A58)*('Modell Erzeugung'!$D$1:$AZ$1='Abgleich Generation'!H$40)*'Modell Erzeugung'!$D$2:$AZ$35)+SUMPRODUCT(('Modell Erzeugung'!$C$2:$C$35='Abgleich Generation'!$A58)*('Modell Erzeugung'!$D$1:$AZ$1='Abgleich Generation'!H$39)*'Modell Erzeugung'!$D$2:$AZ$35)+SUMPRODUCT(('Modell Erzeugung'!$C$2:$C$35='Abgleich Generation'!$A58)*('Modell Erzeugung'!$D$1:$AZ$1='Abgleich Generation'!H$38)*'Modell Erzeugung'!$D$2:$AZ$35))/1000000</f>
        <v>0</v>
      </c>
      <c r="I58" s="26">
        <f>(SUMPRODUCT(('Modell Erzeugung'!$C$2:$C$35='Abgleich Generation'!$A58)*('Modell Erzeugung'!$D$1:$AZ$1='Abgleich Generation'!I$40)*'Modell Erzeugung'!$D$2:$AZ$35)+SUMPRODUCT(('Modell Erzeugung'!$C$2:$C$35='Abgleich Generation'!$A58)*('Modell Erzeugung'!$D$1:$AZ$1='Abgleich Generation'!I$39)*'Modell Erzeugung'!$D$2:$AZ$35)+SUMPRODUCT(('Modell Erzeugung'!$C$2:$C$35='Abgleich Generation'!$A58)*('Modell Erzeugung'!$D$1:$AZ$1='Abgleich Generation'!I$38)*'Modell Erzeugung'!$D$2:$AZ$35))/1000000</f>
        <v>0</v>
      </c>
      <c r="J58" s="26">
        <f>(SUMPRODUCT(('Modell Erzeugung'!$C$2:$C$35='Abgleich Generation'!$A58)*('Modell Erzeugung'!$D$1:$AZ$1='Abgleich Generation'!J$40)*'Modell Erzeugung'!$D$2:$AZ$35)+SUMPRODUCT(('Modell Erzeugung'!$C$2:$C$35='Abgleich Generation'!$A58)*('Modell Erzeugung'!$D$1:$AZ$1='Abgleich Generation'!J$39)*'Modell Erzeugung'!$D$2:$AZ$35)+SUMPRODUCT(('Modell Erzeugung'!$C$2:$C$35='Abgleich Generation'!$A58)*('Modell Erzeugung'!$D$1:$AZ$1='Abgleich Generation'!J$38)*'Modell Erzeugung'!$D$2:$AZ$35))/1000000</f>
        <v>0</v>
      </c>
      <c r="K58" s="27">
        <f t="shared" si="56"/>
        <v>3.1759471331910012</v>
      </c>
      <c r="L58" s="26">
        <f>(SUMPRODUCT(('Modell Erzeugung'!$C$2:$C$35='Abgleich Generation'!$A58)*('Modell Erzeugung'!$D$1:$AZ$1='Abgleich Generation'!L$40)*'Modell Erzeugung'!$D$2:$AZ$35)+SUMPRODUCT(('Modell Erzeugung'!$C$2:$C$35='Abgleich Generation'!$A58)*('Modell Erzeugung'!$D$1:$AZ$1='Abgleich Generation'!L$39)*'Modell Erzeugung'!$D$2:$AZ$35)+SUMPRODUCT(('Modell Erzeugung'!$C$2:$C$35='Abgleich Generation'!$A58)*('Modell Erzeugung'!$D$1:$AZ$1='Abgleich Generation'!L$38)*'Modell Erzeugung'!$D$2:$AZ$35))/1000000</f>
        <v>0.186152346000001</v>
      </c>
      <c r="M58" s="26">
        <f>(SUMPRODUCT(('Modell Erzeugung'!$C$2:$C$35='Abgleich Generation'!$A58)*('Modell Erzeugung'!$D$1:$AZ$1='Abgleich Generation'!M$40)*'Modell Erzeugung'!$D$2:$AZ$35)+SUMPRODUCT(('Modell Erzeugung'!$C$2:$C$35='Abgleich Generation'!$A58)*('Modell Erzeugung'!$D$1:$AZ$1='Abgleich Generation'!M$39)*'Modell Erzeugung'!$D$2:$AZ$35)+SUMPRODUCT(('Modell Erzeugung'!$C$2:$C$35='Abgleich Generation'!$A58)*('Modell Erzeugung'!$D$1:$AZ$1='Abgleich Generation'!M$38)*'Modell Erzeugung'!$D$2:$AZ$35))/1000000</f>
        <v>0</v>
      </c>
      <c r="N58" s="26">
        <f>(SUMPRODUCT(('Modell Erzeugung'!$C$2:$C$35='Abgleich Generation'!$A58)*('Modell Erzeugung'!$D$1:$AZ$1='Abgleich Generation'!N$40)*'Modell Erzeugung'!$D$2:$AZ$35)+SUMPRODUCT(('Modell Erzeugung'!$C$2:$C$35='Abgleich Generation'!$A58)*('Modell Erzeugung'!$D$1:$AZ$1='Abgleich Generation'!N$39)*'Modell Erzeugung'!$D$2:$AZ$35)+SUMPRODUCT(('Modell Erzeugung'!$C$2:$C$35='Abgleich Generation'!$A58)*('Modell Erzeugung'!$D$1:$AZ$1='Abgleich Generation'!N$38)*'Modell Erzeugung'!$D$2:$AZ$35))/1000000</f>
        <v>0</v>
      </c>
      <c r="O58" s="26">
        <f>(SUMPRODUCT(('Modell Erzeugung'!$C$2:$C$35='Abgleich Generation'!$A58)*('Modell Erzeugung'!$D$1:$AZ$1='Abgleich Generation'!O$40)*'Modell Erzeugung'!$D$2:$AZ$35)+SUMPRODUCT(('Modell Erzeugung'!$C$2:$C$35='Abgleich Generation'!$A58)*('Modell Erzeugung'!$D$1:$AZ$1='Abgleich Generation'!O$39)*'Modell Erzeugung'!$D$2:$AZ$35)+SUMPRODUCT(('Modell Erzeugung'!$C$2:$C$35='Abgleich Generation'!$A58)*('Modell Erzeugung'!$D$1:$AZ$1='Abgleich Generation'!O$38)*'Modell Erzeugung'!$D$2:$AZ$35))/1000000</f>
        <v>0.47443068012400003</v>
      </c>
      <c r="P58" s="26">
        <f>(SUMPRODUCT(('Modell Erzeugung'!$C$2:$C$35='Abgleich Generation'!$A58)*('Modell Erzeugung'!$D$1:$AZ$1='Abgleich Generation'!P$40)*'Modell Erzeugung'!$D$2:$AZ$35)+SUMPRODUCT(('Modell Erzeugung'!$C$2:$C$35='Abgleich Generation'!$A58)*('Modell Erzeugung'!$D$1:$AZ$1='Abgleich Generation'!P$39)*'Modell Erzeugung'!$D$2:$AZ$35)+SUMPRODUCT(('Modell Erzeugung'!$C$2:$C$35='Abgleich Generation'!$A58)*('Modell Erzeugung'!$D$1:$AZ$1='Abgleich Generation'!P$38)*'Modell Erzeugung'!$D$2:$AZ$35))/1000000</f>
        <v>0.56400799826699999</v>
      </c>
      <c r="Q58" s="26">
        <f>(SUMPRODUCT(('Modell Erzeugung'!$C$2:$C$35='Abgleich Generation'!$A58)*('Modell Erzeugung'!$D$1:$AZ$1='Abgleich Generation'!Q$40)*'Modell Erzeugung'!$D$2:$AZ$35)+SUMPRODUCT(('Modell Erzeugung'!$C$2:$C$35='Abgleich Generation'!$A58)*('Modell Erzeugung'!$D$1:$AZ$1='Abgleich Generation'!Q$39)*'Modell Erzeugung'!$D$2:$AZ$35)+SUMPRODUCT(('Modell Erzeugung'!$C$2:$C$35='Abgleich Generation'!$A58)*('Modell Erzeugung'!$D$1:$AZ$1='Abgleich Generation'!Q$38)*'Modell Erzeugung'!$D$2:$AZ$35))/1000000</f>
        <v>0</v>
      </c>
      <c r="R58" s="26">
        <f>(SUMPRODUCT(('Modell Erzeugung'!$C$2:$C$35='Abgleich Generation'!$A58)*('Modell Erzeugung'!$D$1:$AZ$1='Abgleich Generation'!R$40)*'Modell Erzeugung'!$D$2:$AZ$35)+SUMPRODUCT(('Modell Erzeugung'!$C$2:$C$35='Abgleich Generation'!$A58)*('Modell Erzeugung'!$D$1:$AZ$1='Abgleich Generation'!R$39)*'Modell Erzeugung'!$D$2:$AZ$35)+SUMPRODUCT(('Modell Erzeugung'!$C$2:$C$35='Abgleich Generation'!$A58)*('Modell Erzeugung'!$D$1:$AZ$1='Abgleich Generation'!R$38)*'Modell Erzeugung'!$D$2:$AZ$35))/1000000</f>
        <v>1.9513561088</v>
      </c>
      <c r="S58" s="26">
        <f>(SUMPRODUCT(('Modell Erzeugung'!$C$2:$C$35='Abgleich Generation'!$A58)*('Modell Erzeugung'!$D$1:$AZ$1='Abgleich Generation'!S$40)*'Modell Erzeugung'!$D$2:$AZ$35)+SUMPRODUCT(('Modell Erzeugung'!$C$2:$C$35='Abgleich Generation'!$A58)*('Modell Erzeugung'!$D$1:$AZ$1='Abgleich Generation'!S$39)*'Modell Erzeugung'!$D$2:$AZ$35)+SUMPRODUCT(('Modell Erzeugung'!$C$2:$C$35='Abgleich Generation'!$A58)*('Modell Erzeugung'!$D$1:$AZ$1='Abgleich Generation'!S$38)*'Modell Erzeugung'!$D$2:$AZ$35))/1000000</f>
        <v>0</v>
      </c>
      <c r="T58" s="26">
        <f>(SUMPRODUCT(('Modell Erzeugung'!$C$2:$C$35='Abgleich Generation'!$A58)*('Modell Erzeugung'!$D$1:$AZ$1='Abgleich Generation'!T$40)*'Modell Erzeugung'!$D$2:$AZ$35)+SUMPRODUCT(('Modell Erzeugung'!$C$2:$C$35='Abgleich Generation'!$A58)*('Modell Erzeugung'!$D$1:$AZ$1='Abgleich Generation'!T$39)*'Modell Erzeugung'!$D$2:$AZ$35)+SUMPRODUCT(('Modell Erzeugung'!$C$2:$C$35='Abgleich Generation'!$A58)*('Modell Erzeugung'!$D$1:$AZ$1='Abgleich Generation'!T$38)*'Modell Erzeugung'!$D$2:$AZ$35))/1000000</f>
        <v>0</v>
      </c>
      <c r="U58" s="26">
        <f>(SUMPRODUCT(('Modell Erzeugung'!$C$2:$C$35='Abgleich Generation'!$A58)*('Modell Erzeugung'!$D$1:$AZ$1='Abgleich Generation'!U$40)*'Modell Erzeugung'!$D$2:$AZ$35)+SUMPRODUCT(('Modell Erzeugung'!$C$2:$C$35='Abgleich Generation'!$A58)*('Modell Erzeugung'!$D$1:$AZ$1='Abgleich Generation'!U$39)*'Modell Erzeugung'!$D$2:$AZ$35)+SUMPRODUCT(('Modell Erzeugung'!$C$2:$C$35='Abgleich Generation'!$A58)*('Modell Erzeugung'!$D$1:$AZ$1='Abgleich Generation'!U$38)*'Modell Erzeugung'!$D$2:$AZ$35))/1000000</f>
        <v>0</v>
      </c>
      <c r="V58" s="27">
        <f t="shared" si="57"/>
        <v>31.590341035199998</v>
      </c>
      <c r="W58" s="28"/>
      <c r="X58" s="29">
        <f t="shared" si="55"/>
        <v>40.000015325083368</v>
      </c>
      <c r="Y58" s="29">
        <f>(SUMPRODUCT(('Modell Erzeugung'!$C$2:$C$35='Abgleich Generation'!$A58)*('Modell Erzeugung'!$D$1:$AZ$1='Abgleich Generation'!Y$40)*'Modell Erzeugung'!$D$2:$AZ$35)+SUMPRODUCT(('Modell Erzeugung'!$C$2:$C$35='Abgleich Generation'!$A58)*('Modell Erzeugung'!$D$1:$AZ$1='Abgleich Generation'!Y$39)*'Modell Erzeugung'!$D$2:$AZ$35))/1000000</f>
        <v>8.4096742898833696</v>
      </c>
      <c r="AF58" s="64"/>
    </row>
    <row r="59" spans="1:33" x14ac:dyDescent="0.25">
      <c r="A59" s="14" t="s">
        <v>26</v>
      </c>
      <c r="B59" s="57">
        <f t="shared" si="53"/>
        <v>95.403005382269498</v>
      </c>
      <c r="C59" s="58">
        <f>(SUMPRODUCT(('Modell Erzeugung'!$C$2:$C$35='Abgleich Generation'!$A59)*('Modell Erzeugung'!$D$1:$AZ$1='Abgleich Generation'!C$40)*'Modell Erzeugung'!$D$2:$AZ$35)+SUMPRODUCT(('Modell Erzeugung'!$C$2:$C$35='Abgleich Generation'!$A59)*('Modell Erzeugung'!$D$1:$AZ$1='Abgleich Generation'!C$39)*'Modell Erzeugung'!$D$2:$AZ$35)+SUMPRODUCT(('Modell Erzeugung'!$C$2:$C$35='Abgleich Generation'!$A59)*('Modell Erzeugung'!$D$1:$AZ$1='Abgleich Generation'!C$38)*'Modell Erzeugung'!$D$2:$AZ$35))/1000000</f>
        <v>0</v>
      </c>
      <c r="D59" s="58">
        <f t="shared" si="54"/>
        <v>95.403005382269498</v>
      </c>
      <c r="E59" s="58">
        <f>(SUMPRODUCT(('Modell Erzeugung'!$C$2:$C$35='Abgleich Generation'!$A59)*('Modell Erzeugung'!$D$1:$AZ$1='Abgleich Generation'!E$40)*'Modell Erzeugung'!$D$2:$AZ$35)+SUMPRODUCT(('Modell Erzeugung'!$C$2:$C$35='Abgleich Generation'!$A59)*('Modell Erzeugung'!$D$1:$AZ$1='Abgleich Generation'!E$39)*'Modell Erzeugung'!$D$2:$AZ$35)+SUMPRODUCT(('Modell Erzeugung'!$C$2:$C$35='Abgleich Generation'!$A59)*('Modell Erzeugung'!$D$1:$AZ$1='Abgleich Generation'!E$38)*'Modell Erzeugung'!$D$2:$AZ$35))/1000000</f>
        <v>0</v>
      </c>
      <c r="F59" s="58">
        <f>(SUMPRODUCT(('Modell Erzeugung'!$C$2:$C$35='Abgleich Generation'!$A59)*('Modell Erzeugung'!$D$1:$AZ$1='Abgleich Generation'!F$40)*'Modell Erzeugung'!$D$2:$AZ$35)+SUMPRODUCT(('Modell Erzeugung'!$C$2:$C$35='Abgleich Generation'!$A59)*('Modell Erzeugung'!$D$1:$AZ$1='Abgleich Generation'!F$39)*'Modell Erzeugung'!$D$2:$AZ$35)+SUMPRODUCT(('Modell Erzeugung'!$C$2:$C$35='Abgleich Generation'!$A59)*('Modell Erzeugung'!$D$1:$AZ$1='Abgleich Generation'!F$38)*'Modell Erzeugung'!$D$2:$AZ$35))/1000000</f>
        <v>95.403005382269498</v>
      </c>
      <c r="G59" s="58">
        <f>(SUMPRODUCT(('Modell Erzeugung'!$C$2:$C$35='Abgleich Generation'!$A59)*('Modell Erzeugung'!$D$1:$AZ$1='Abgleich Generation'!G$40)*'Modell Erzeugung'!$D$2:$AZ$35)+SUMPRODUCT(('Modell Erzeugung'!$C$2:$C$35='Abgleich Generation'!$A59)*('Modell Erzeugung'!$D$1:$AZ$1='Abgleich Generation'!G$39)*'Modell Erzeugung'!$D$2:$AZ$35)+SUMPRODUCT(('Modell Erzeugung'!$C$2:$C$35='Abgleich Generation'!$A59)*('Modell Erzeugung'!$D$1:$AZ$1='Abgleich Generation'!G$38)*'Modell Erzeugung'!$D$2:$AZ$35))/1000000</f>
        <v>0</v>
      </c>
      <c r="H59" s="58">
        <f>(SUMPRODUCT(('Modell Erzeugung'!$C$2:$C$35='Abgleich Generation'!$A59)*('Modell Erzeugung'!$D$1:$AZ$1='Abgleich Generation'!H$40)*'Modell Erzeugung'!$D$2:$AZ$35)+SUMPRODUCT(('Modell Erzeugung'!$C$2:$C$35='Abgleich Generation'!$A59)*('Modell Erzeugung'!$D$1:$AZ$1='Abgleich Generation'!H$39)*'Modell Erzeugung'!$D$2:$AZ$35)+SUMPRODUCT(('Modell Erzeugung'!$C$2:$C$35='Abgleich Generation'!$A59)*('Modell Erzeugung'!$D$1:$AZ$1='Abgleich Generation'!H$38)*'Modell Erzeugung'!$D$2:$AZ$35))/1000000</f>
        <v>0</v>
      </c>
      <c r="I59" s="58">
        <f>(SUMPRODUCT(('Modell Erzeugung'!$C$2:$C$35='Abgleich Generation'!$A59)*('Modell Erzeugung'!$D$1:$AZ$1='Abgleich Generation'!I$40)*'Modell Erzeugung'!$D$2:$AZ$35)+SUMPRODUCT(('Modell Erzeugung'!$C$2:$C$35='Abgleich Generation'!$A59)*('Modell Erzeugung'!$D$1:$AZ$1='Abgleich Generation'!I$39)*'Modell Erzeugung'!$D$2:$AZ$35)+SUMPRODUCT(('Modell Erzeugung'!$C$2:$C$35='Abgleich Generation'!$A59)*('Modell Erzeugung'!$D$1:$AZ$1='Abgleich Generation'!I$38)*'Modell Erzeugung'!$D$2:$AZ$35))/1000000</f>
        <v>0</v>
      </c>
      <c r="J59" s="58">
        <f>(SUMPRODUCT(('Modell Erzeugung'!$C$2:$C$35='Abgleich Generation'!$A59)*('Modell Erzeugung'!$D$1:$AZ$1='Abgleich Generation'!J$40)*'Modell Erzeugung'!$D$2:$AZ$35)+SUMPRODUCT(('Modell Erzeugung'!$C$2:$C$35='Abgleich Generation'!$A59)*('Modell Erzeugung'!$D$1:$AZ$1='Abgleich Generation'!J$39)*'Modell Erzeugung'!$D$2:$AZ$35)+SUMPRODUCT(('Modell Erzeugung'!$C$2:$C$35='Abgleich Generation'!$A59)*('Modell Erzeugung'!$D$1:$AZ$1='Abgleich Generation'!J$38)*'Modell Erzeugung'!$D$2:$AZ$35))/1000000</f>
        <v>0</v>
      </c>
      <c r="K59" s="59">
        <f t="shared" ref="K59:K72" si="58">SUM(L59:U59)</f>
        <v>0</v>
      </c>
      <c r="L59" s="58">
        <f>(SUMPRODUCT(('Modell Erzeugung'!$C$2:$C$35='Abgleich Generation'!$A59)*('Modell Erzeugung'!$D$1:$AZ$1='Abgleich Generation'!L$40)*'Modell Erzeugung'!$D$2:$AZ$35)+SUMPRODUCT(('Modell Erzeugung'!$C$2:$C$35='Abgleich Generation'!$A59)*('Modell Erzeugung'!$D$1:$AZ$1='Abgleich Generation'!L$39)*'Modell Erzeugung'!$D$2:$AZ$35)+SUMPRODUCT(('Modell Erzeugung'!$C$2:$C$35='Abgleich Generation'!$A59)*('Modell Erzeugung'!$D$1:$AZ$1='Abgleich Generation'!L$38)*'Modell Erzeugung'!$D$2:$AZ$35))/1000000</f>
        <v>0</v>
      </c>
      <c r="M59" s="58">
        <f>(SUMPRODUCT(('Modell Erzeugung'!$C$2:$C$35='Abgleich Generation'!$A59)*('Modell Erzeugung'!$D$1:$AZ$1='Abgleich Generation'!M$40)*'Modell Erzeugung'!$D$2:$AZ$35)+SUMPRODUCT(('Modell Erzeugung'!$C$2:$C$35='Abgleich Generation'!$A59)*('Modell Erzeugung'!$D$1:$AZ$1='Abgleich Generation'!M$39)*'Modell Erzeugung'!$D$2:$AZ$35)+SUMPRODUCT(('Modell Erzeugung'!$C$2:$C$35='Abgleich Generation'!$A59)*('Modell Erzeugung'!$D$1:$AZ$1='Abgleich Generation'!M$38)*'Modell Erzeugung'!$D$2:$AZ$35))/1000000</f>
        <v>0</v>
      </c>
      <c r="N59" s="58">
        <f>(SUMPRODUCT(('Modell Erzeugung'!$C$2:$C$35='Abgleich Generation'!$A59)*('Modell Erzeugung'!$D$1:$AZ$1='Abgleich Generation'!N$40)*'Modell Erzeugung'!$D$2:$AZ$35)+SUMPRODUCT(('Modell Erzeugung'!$C$2:$C$35='Abgleich Generation'!$A59)*('Modell Erzeugung'!$D$1:$AZ$1='Abgleich Generation'!N$39)*'Modell Erzeugung'!$D$2:$AZ$35)+SUMPRODUCT(('Modell Erzeugung'!$C$2:$C$35='Abgleich Generation'!$A59)*('Modell Erzeugung'!$D$1:$AZ$1='Abgleich Generation'!N$38)*'Modell Erzeugung'!$D$2:$AZ$35))/1000000</f>
        <v>0</v>
      </c>
      <c r="O59" s="58">
        <f>(SUMPRODUCT(('Modell Erzeugung'!$C$2:$C$35='Abgleich Generation'!$A59)*('Modell Erzeugung'!$D$1:$AZ$1='Abgleich Generation'!O$40)*'Modell Erzeugung'!$D$2:$AZ$35)+SUMPRODUCT(('Modell Erzeugung'!$C$2:$C$35='Abgleich Generation'!$A59)*('Modell Erzeugung'!$D$1:$AZ$1='Abgleich Generation'!O$39)*'Modell Erzeugung'!$D$2:$AZ$35)+SUMPRODUCT(('Modell Erzeugung'!$C$2:$C$35='Abgleich Generation'!$A59)*('Modell Erzeugung'!$D$1:$AZ$1='Abgleich Generation'!O$38)*'Modell Erzeugung'!$D$2:$AZ$35))/1000000</f>
        <v>0</v>
      </c>
      <c r="P59" s="58">
        <f>(SUMPRODUCT(('Modell Erzeugung'!$C$2:$C$35='Abgleich Generation'!$A59)*('Modell Erzeugung'!$D$1:$AZ$1='Abgleich Generation'!P$40)*'Modell Erzeugung'!$D$2:$AZ$35)+SUMPRODUCT(('Modell Erzeugung'!$C$2:$C$35='Abgleich Generation'!$A59)*('Modell Erzeugung'!$D$1:$AZ$1='Abgleich Generation'!P$39)*'Modell Erzeugung'!$D$2:$AZ$35)+SUMPRODUCT(('Modell Erzeugung'!$C$2:$C$35='Abgleich Generation'!$A59)*('Modell Erzeugung'!$D$1:$AZ$1='Abgleich Generation'!P$38)*'Modell Erzeugung'!$D$2:$AZ$35))/1000000</f>
        <v>0</v>
      </c>
      <c r="Q59" s="58">
        <f>(SUMPRODUCT(('Modell Erzeugung'!$C$2:$C$35='Abgleich Generation'!$A59)*('Modell Erzeugung'!$D$1:$AZ$1='Abgleich Generation'!Q$40)*'Modell Erzeugung'!$D$2:$AZ$35)+SUMPRODUCT(('Modell Erzeugung'!$C$2:$C$35='Abgleich Generation'!$A59)*('Modell Erzeugung'!$D$1:$AZ$1='Abgleich Generation'!Q$39)*'Modell Erzeugung'!$D$2:$AZ$35)+SUMPRODUCT(('Modell Erzeugung'!$C$2:$C$35='Abgleich Generation'!$A59)*('Modell Erzeugung'!$D$1:$AZ$1='Abgleich Generation'!Q$38)*'Modell Erzeugung'!$D$2:$AZ$35))/1000000</f>
        <v>0</v>
      </c>
      <c r="R59" s="58">
        <f>(SUMPRODUCT(('Modell Erzeugung'!$C$2:$C$35='Abgleich Generation'!$A59)*('Modell Erzeugung'!$D$1:$AZ$1='Abgleich Generation'!R$40)*'Modell Erzeugung'!$D$2:$AZ$35)+SUMPRODUCT(('Modell Erzeugung'!$C$2:$C$35='Abgleich Generation'!$A59)*('Modell Erzeugung'!$D$1:$AZ$1='Abgleich Generation'!R$39)*'Modell Erzeugung'!$D$2:$AZ$35)+SUMPRODUCT(('Modell Erzeugung'!$C$2:$C$35='Abgleich Generation'!$A59)*('Modell Erzeugung'!$D$1:$AZ$1='Abgleich Generation'!R$38)*'Modell Erzeugung'!$D$2:$AZ$35))/1000000</f>
        <v>0</v>
      </c>
      <c r="S59" s="58">
        <f>(SUMPRODUCT(('Modell Erzeugung'!$C$2:$C$35='Abgleich Generation'!$A59)*('Modell Erzeugung'!$D$1:$AZ$1='Abgleich Generation'!S$40)*'Modell Erzeugung'!$D$2:$AZ$35)+SUMPRODUCT(('Modell Erzeugung'!$C$2:$C$35='Abgleich Generation'!$A59)*('Modell Erzeugung'!$D$1:$AZ$1='Abgleich Generation'!S$39)*'Modell Erzeugung'!$D$2:$AZ$35)+SUMPRODUCT(('Modell Erzeugung'!$C$2:$C$35='Abgleich Generation'!$A59)*('Modell Erzeugung'!$D$1:$AZ$1='Abgleich Generation'!S$38)*'Modell Erzeugung'!$D$2:$AZ$35))/1000000</f>
        <v>0</v>
      </c>
      <c r="T59" s="58">
        <f>(SUMPRODUCT(('Modell Erzeugung'!$C$2:$C$35='Abgleich Generation'!$A59)*('Modell Erzeugung'!$D$1:$AZ$1='Abgleich Generation'!T$40)*'Modell Erzeugung'!$D$2:$AZ$35)+SUMPRODUCT(('Modell Erzeugung'!$C$2:$C$35='Abgleich Generation'!$A59)*('Modell Erzeugung'!$D$1:$AZ$1='Abgleich Generation'!T$39)*'Modell Erzeugung'!$D$2:$AZ$35)+SUMPRODUCT(('Modell Erzeugung'!$C$2:$C$35='Abgleich Generation'!$A59)*('Modell Erzeugung'!$D$1:$AZ$1='Abgleich Generation'!T$38)*'Modell Erzeugung'!$D$2:$AZ$35))/1000000</f>
        <v>0</v>
      </c>
      <c r="U59" s="58">
        <f>(SUMPRODUCT(('Modell Erzeugung'!$C$2:$C$35='Abgleich Generation'!$A59)*('Modell Erzeugung'!$D$1:$AZ$1='Abgleich Generation'!U$40)*'Modell Erzeugung'!$D$2:$AZ$35)+SUMPRODUCT(('Modell Erzeugung'!$C$2:$C$35='Abgleich Generation'!$A59)*('Modell Erzeugung'!$D$1:$AZ$1='Abgleich Generation'!U$39)*'Modell Erzeugung'!$D$2:$AZ$35)+SUMPRODUCT(('Modell Erzeugung'!$C$2:$C$35='Abgleich Generation'!$A59)*('Modell Erzeugung'!$D$1:$AZ$1='Abgleich Generation'!U$38)*'Modell Erzeugung'!$D$2:$AZ$35))/1000000</f>
        <v>0</v>
      </c>
      <c r="V59" s="59">
        <f t="shared" ref="V59:V72" si="59">K59+B59</f>
        <v>95.403005382269498</v>
      </c>
      <c r="W59" s="60"/>
      <c r="X59" s="61">
        <f t="shared" si="55"/>
        <v>95.198599199999492</v>
      </c>
      <c r="Y59" s="61">
        <f>(SUMPRODUCT(('Modell Erzeugung'!$C$2:$C$35='Abgleich Generation'!$A59)*('Modell Erzeugung'!$D$1:$AZ$1='Abgleich Generation'!Y$40)*'Modell Erzeugung'!$D$2:$AZ$35)+SUMPRODUCT(('Modell Erzeugung'!$C$2:$C$35='Abgleich Generation'!$A59)*('Modell Erzeugung'!$D$1:$AZ$1='Abgleich Generation'!Y$39)*'Modell Erzeugung'!$D$2:$AZ$35))/1000000</f>
        <v>-0.20440618226999999</v>
      </c>
    </row>
    <row r="60" spans="1:33" x14ac:dyDescent="0.25">
      <c r="A60" s="14" t="s">
        <v>27</v>
      </c>
      <c r="B60" s="25">
        <f t="shared" si="53"/>
        <v>194.65134299065301</v>
      </c>
      <c r="C60" s="26">
        <f>(SUMPRODUCT(('Modell Erzeugung'!$C$2:$C$35='Abgleich Generation'!$A60)*('Modell Erzeugung'!$D$1:$AZ$1='Abgleich Generation'!C$40)*'Modell Erzeugung'!$D$2:$AZ$35)+SUMPRODUCT(('Modell Erzeugung'!$C$2:$C$35='Abgleich Generation'!$A60)*('Modell Erzeugung'!$D$1:$AZ$1='Abgleich Generation'!C$39)*'Modell Erzeugung'!$D$2:$AZ$35)+SUMPRODUCT(('Modell Erzeugung'!$C$2:$C$35='Abgleich Generation'!$A60)*('Modell Erzeugung'!$D$1:$AZ$1='Abgleich Generation'!C$38)*'Modell Erzeugung'!$D$2:$AZ$35))/1000000</f>
        <v>0</v>
      </c>
      <c r="D60" s="26">
        <f t="shared" si="54"/>
        <v>194.65134299065301</v>
      </c>
      <c r="E60" s="26">
        <f>(SUMPRODUCT(('Modell Erzeugung'!$C$2:$C$35='Abgleich Generation'!$A60)*('Modell Erzeugung'!$D$1:$AZ$1='Abgleich Generation'!E$40)*'Modell Erzeugung'!$D$2:$AZ$35)+SUMPRODUCT(('Modell Erzeugung'!$C$2:$C$35='Abgleich Generation'!$A60)*('Modell Erzeugung'!$D$1:$AZ$1='Abgleich Generation'!E$39)*'Modell Erzeugung'!$D$2:$AZ$35)+SUMPRODUCT(('Modell Erzeugung'!$C$2:$C$35='Abgleich Generation'!$A60)*('Modell Erzeugung'!$D$1:$AZ$1='Abgleich Generation'!E$38)*'Modell Erzeugung'!$D$2:$AZ$35))/1000000</f>
        <v>0</v>
      </c>
      <c r="F60" s="26">
        <f>(SUMPRODUCT(('Modell Erzeugung'!$C$2:$C$35='Abgleich Generation'!$A60)*('Modell Erzeugung'!$D$1:$AZ$1='Abgleich Generation'!F$40)*'Modell Erzeugung'!$D$2:$AZ$35)+SUMPRODUCT(('Modell Erzeugung'!$C$2:$C$35='Abgleich Generation'!$A60)*('Modell Erzeugung'!$D$1:$AZ$1='Abgleich Generation'!F$39)*'Modell Erzeugung'!$D$2:$AZ$35)+SUMPRODUCT(('Modell Erzeugung'!$C$2:$C$35='Abgleich Generation'!$A60)*('Modell Erzeugung'!$D$1:$AZ$1='Abgleich Generation'!F$38)*'Modell Erzeugung'!$D$2:$AZ$35))/1000000</f>
        <v>148.95160995354701</v>
      </c>
      <c r="G60" s="26">
        <f>(SUMPRODUCT(('Modell Erzeugung'!$C$2:$C$35='Abgleich Generation'!$A60)*('Modell Erzeugung'!$D$1:$AZ$1='Abgleich Generation'!G$40)*'Modell Erzeugung'!$D$2:$AZ$35)+SUMPRODUCT(('Modell Erzeugung'!$C$2:$C$35='Abgleich Generation'!$A60)*('Modell Erzeugung'!$D$1:$AZ$1='Abgleich Generation'!G$39)*'Modell Erzeugung'!$D$2:$AZ$35)+SUMPRODUCT(('Modell Erzeugung'!$C$2:$C$35='Abgleich Generation'!$A60)*('Modell Erzeugung'!$D$1:$AZ$1='Abgleich Generation'!G$38)*'Modell Erzeugung'!$D$2:$AZ$35))/1000000</f>
        <v>45.648202414836</v>
      </c>
      <c r="H60" s="26">
        <f>(SUMPRODUCT(('Modell Erzeugung'!$C$2:$C$35='Abgleich Generation'!$A60)*('Modell Erzeugung'!$D$1:$AZ$1='Abgleich Generation'!H$40)*'Modell Erzeugung'!$D$2:$AZ$35)+SUMPRODUCT(('Modell Erzeugung'!$C$2:$C$35='Abgleich Generation'!$A60)*('Modell Erzeugung'!$D$1:$AZ$1='Abgleich Generation'!H$39)*'Modell Erzeugung'!$D$2:$AZ$35)+SUMPRODUCT(('Modell Erzeugung'!$C$2:$C$35='Abgleich Generation'!$A60)*('Modell Erzeugung'!$D$1:$AZ$1='Abgleich Generation'!H$38)*'Modell Erzeugung'!$D$2:$AZ$35))/1000000</f>
        <v>0</v>
      </c>
      <c r="I60" s="26">
        <f>(SUMPRODUCT(('Modell Erzeugung'!$C$2:$C$35='Abgleich Generation'!$A60)*('Modell Erzeugung'!$D$1:$AZ$1='Abgleich Generation'!I$40)*'Modell Erzeugung'!$D$2:$AZ$35)+SUMPRODUCT(('Modell Erzeugung'!$C$2:$C$35='Abgleich Generation'!$A60)*('Modell Erzeugung'!$D$1:$AZ$1='Abgleich Generation'!I$39)*'Modell Erzeugung'!$D$2:$AZ$35)+SUMPRODUCT(('Modell Erzeugung'!$C$2:$C$35='Abgleich Generation'!$A60)*('Modell Erzeugung'!$D$1:$AZ$1='Abgleich Generation'!I$38)*'Modell Erzeugung'!$D$2:$AZ$35))/1000000</f>
        <v>0</v>
      </c>
      <c r="J60" s="26">
        <f>(SUMPRODUCT(('Modell Erzeugung'!$C$2:$C$35='Abgleich Generation'!$A60)*('Modell Erzeugung'!$D$1:$AZ$1='Abgleich Generation'!J$40)*'Modell Erzeugung'!$D$2:$AZ$35)+SUMPRODUCT(('Modell Erzeugung'!$C$2:$C$35='Abgleich Generation'!$A60)*('Modell Erzeugung'!$D$1:$AZ$1='Abgleich Generation'!J$39)*'Modell Erzeugung'!$D$2:$AZ$35)+SUMPRODUCT(('Modell Erzeugung'!$C$2:$C$35='Abgleich Generation'!$A60)*('Modell Erzeugung'!$D$1:$AZ$1='Abgleich Generation'!J$38)*'Modell Erzeugung'!$D$2:$AZ$35))/1000000</f>
        <v>5.153062227E-2</v>
      </c>
      <c r="K60" s="27">
        <f t="shared" si="58"/>
        <v>91.078827008037905</v>
      </c>
      <c r="L60" s="26">
        <f>(SUMPRODUCT(('Modell Erzeugung'!$C$2:$C$35='Abgleich Generation'!$A60)*('Modell Erzeugung'!$D$1:$AZ$1='Abgleich Generation'!L$40)*'Modell Erzeugung'!$D$2:$AZ$35)+SUMPRODUCT(('Modell Erzeugung'!$C$2:$C$35='Abgleich Generation'!$A60)*('Modell Erzeugung'!$D$1:$AZ$1='Abgleich Generation'!L$39)*'Modell Erzeugung'!$D$2:$AZ$35)+SUMPRODUCT(('Modell Erzeugung'!$C$2:$C$35='Abgleich Generation'!$A60)*('Modell Erzeugung'!$D$1:$AZ$1='Abgleich Generation'!L$38)*'Modell Erzeugung'!$D$2:$AZ$35))/1000000</f>
        <v>30.0251397161888</v>
      </c>
      <c r="M60" s="26">
        <f>(SUMPRODUCT(('Modell Erzeugung'!$C$2:$C$35='Abgleich Generation'!$A60)*('Modell Erzeugung'!$D$1:$AZ$1='Abgleich Generation'!M$40)*'Modell Erzeugung'!$D$2:$AZ$35)+SUMPRODUCT(('Modell Erzeugung'!$C$2:$C$35='Abgleich Generation'!$A60)*('Modell Erzeugung'!$D$1:$AZ$1='Abgleich Generation'!M$39)*'Modell Erzeugung'!$D$2:$AZ$35)+SUMPRODUCT(('Modell Erzeugung'!$C$2:$C$35='Abgleich Generation'!$A60)*('Modell Erzeugung'!$D$1:$AZ$1='Abgleich Generation'!M$38)*'Modell Erzeugung'!$D$2:$AZ$35))/1000000</f>
        <v>0</v>
      </c>
      <c r="N60" s="26">
        <f>(SUMPRODUCT(('Modell Erzeugung'!$C$2:$C$35='Abgleich Generation'!$A60)*('Modell Erzeugung'!$D$1:$AZ$1='Abgleich Generation'!N$40)*'Modell Erzeugung'!$D$2:$AZ$35)+SUMPRODUCT(('Modell Erzeugung'!$C$2:$C$35='Abgleich Generation'!$A60)*('Modell Erzeugung'!$D$1:$AZ$1='Abgleich Generation'!N$39)*'Modell Erzeugung'!$D$2:$AZ$35)+SUMPRODUCT(('Modell Erzeugung'!$C$2:$C$35='Abgleich Generation'!$A60)*('Modell Erzeugung'!$D$1:$AZ$1='Abgleich Generation'!N$38)*'Modell Erzeugung'!$D$2:$AZ$35))/1000000</f>
        <v>0</v>
      </c>
      <c r="O60" s="26">
        <f>(SUMPRODUCT(('Modell Erzeugung'!$C$2:$C$35='Abgleich Generation'!$A60)*('Modell Erzeugung'!$D$1:$AZ$1='Abgleich Generation'!O$40)*'Modell Erzeugung'!$D$2:$AZ$35)+SUMPRODUCT(('Modell Erzeugung'!$C$2:$C$35='Abgleich Generation'!$A60)*('Modell Erzeugung'!$D$1:$AZ$1='Abgleich Generation'!O$39)*'Modell Erzeugung'!$D$2:$AZ$35)+SUMPRODUCT(('Modell Erzeugung'!$C$2:$C$35='Abgleich Generation'!$A60)*('Modell Erzeugung'!$D$1:$AZ$1='Abgleich Generation'!O$38)*'Modell Erzeugung'!$D$2:$AZ$35))/1000000</f>
        <v>18.272208770684998</v>
      </c>
      <c r="P60" s="26">
        <f>(SUMPRODUCT(('Modell Erzeugung'!$C$2:$C$35='Abgleich Generation'!$A60)*('Modell Erzeugung'!$D$1:$AZ$1='Abgleich Generation'!P$40)*'Modell Erzeugung'!$D$2:$AZ$35)+SUMPRODUCT(('Modell Erzeugung'!$C$2:$C$35='Abgleich Generation'!$A60)*('Modell Erzeugung'!$D$1:$AZ$1='Abgleich Generation'!P$39)*'Modell Erzeugung'!$D$2:$AZ$35)+SUMPRODUCT(('Modell Erzeugung'!$C$2:$C$35='Abgleich Generation'!$A60)*('Modell Erzeugung'!$D$1:$AZ$1='Abgleich Generation'!P$38)*'Modell Erzeugung'!$D$2:$AZ$35))/1000000</f>
        <v>25.320074907953998</v>
      </c>
      <c r="Q60" s="26">
        <f>(SUMPRODUCT(('Modell Erzeugung'!$C$2:$C$35='Abgleich Generation'!$A60)*('Modell Erzeugung'!$D$1:$AZ$1='Abgleich Generation'!Q$40)*'Modell Erzeugung'!$D$2:$AZ$35)+SUMPRODUCT(('Modell Erzeugung'!$C$2:$C$35='Abgleich Generation'!$A60)*('Modell Erzeugung'!$D$1:$AZ$1='Abgleich Generation'!Q$39)*'Modell Erzeugung'!$D$2:$AZ$35)+SUMPRODUCT(('Modell Erzeugung'!$C$2:$C$35='Abgleich Generation'!$A60)*('Modell Erzeugung'!$D$1:$AZ$1='Abgleich Generation'!Q$38)*'Modell Erzeugung'!$D$2:$AZ$35))/1000000</f>
        <v>0</v>
      </c>
      <c r="R60" s="26">
        <f>(SUMPRODUCT(('Modell Erzeugung'!$C$2:$C$35='Abgleich Generation'!$A60)*('Modell Erzeugung'!$D$1:$AZ$1='Abgleich Generation'!R$40)*'Modell Erzeugung'!$D$2:$AZ$35)+SUMPRODUCT(('Modell Erzeugung'!$C$2:$C$35='Abgleich Generation'!$A60)*('Modell Erzeugung'!$D$1:$AZ$1='Abgleich Generation'!R$39)*'Modell Erzeugung'!$D$2:$AZ$35)+SUMPRODUCT(('Modell Erzeugung'!$C$2:$C$35='Abgleich Generation'!$A60)*('Modell Erzeugung'!$D$1:$AZ$1='Abgleich Generation'!R$38)*'Modell Erzeugung'!$D$2:$AZ$35))/1000000</f>
        <v>17.461403613210102</v>
      </c>
      <c r="S60" s="26">
        <f>(SUMPRODUCT(('Modell Erzeugung'!$C$2:$C$35='Abgleich Generation'!$A60)*('Modell Erzeugung'!$D$1:$AZ$1='Abgleich Generation'!S$40)*'Modell Erzeugung'!$D$2:$AZ$35)+SUMPRODUCT(('Modell Erzeugung'!$C$2:$C$35='Abgleich Generation'!$A60)*('Modell Erzeugung'!$D$1:$AZ$1='Abgleich Generation'!S$39)*'Modell Erzeugung'!$D$2:$AZ$35)+SUMPRODUCT(('Modell Erzeugung'!$C$2:$C$35='Abgleich Generation'!$A60)*('Modell Erzeugung'!$D$1:$AZ$1='Abgleich Generation'!S$38)*'Modell Erzeugung'!$D$2:$AZ$35))/1000000</f>
        <v>0</v>
      </c>
      <c r="T60" s="26">
        <f>(SUMPRODUCT(('Modell Erzeugung'!$C$2:$C$35='Abgleich Generation'!$A60)*('Modell Erzeugung'!$D$1:$AZ$1='Abgleich Generation'!T$40)*'Modell Erzeugung'!$D$2:$AZ$35)+SUMPRODUCT(('Modell Erzeugung'!$C$2:$C$35='Abgleich Generation'!$A60)*('Modell Erzeugung'!$D$1:$AZ$1='Abgleich Generation'!T$39)*'Modell Erzeugung'!$D$2:$AZ$35)+SUMPRODUCT(('Modell Erzeugung'!$C$2:$C$35='Abgleich Generation'!$A60)*('Modell Erzeugung'!$D$1:$AZ$1='Abgleich Generation'!T$38)*'Modell Erzeugung'!$D$2:$AZ$35))/1000000</f>
        <v>0</v>
      </c>
      <c r="U60" s="26">
        <f>(SUMPRODUCT(('Modell Erzeugung'!$C$2:$C$35='Abgleich Generation'!$A60)*('Modell Erzeugung'!$D$1:$AZ$1='Abgleich Generation'!U$40)*'Modell Erzeugung'!$D$2:$AZ$35)+SUMPRODUCT(('Modell Erzeugung'!$C$2:$C$35='Abgleich Generation'!$A60)*('Modell Erzeugung'!$D$1:$AZ$1='Abgleich Generation'!U$39)*'Modell Erzeugung'!$D$2:$AZ$35)+SUMPRODUCT(('Modell Erzeugung'!$C$2:$C$35='Abgleich Generation'!$A60)*('Modell Erzeugung'!$D$1:$AZ$1='Abgleich Generation'!U$38)*'Modell Erzeugung'!$D$2:$AZ$35))/1000000</f>
        <v>0</v>
      </c>
      <c r="V60" s="27">
        <f t="shared" si="59"/>
        <v>285.73016999869094</v>
      </c>
      <c r="W60" s="28"/>
      <c r="X60" s="29">
        <f t="shared" si="55"/>
        <v>310.94341748967042</v>
      </c>
      <c r="Y60" s="29">
        <f>(SUMPRODUCT(('Modell Erzeugung'!$C$2:$C$35='Abgleich Generation'!$A60)*('Modell Erzeugung'!$D$1:$AZ$1='Abgleich Generation'!Y$40)*'Modell Erzeugung'!$D$2:$AZ$35)+SUMPRODUCT(('Modell Erzeugung'!$C$2:$C$35='Abgleich Generation'!$A60)*('Modell Erzeugung'!$D$1:$AZ$1='Abgleich Generation'!Y$39)*'Modell Erzeugung'!$D$2:$AZ$35))/1000000</f>
        <v>25.213247490979501</v>
      </c>
    </row>
    <row r="61" spans="1:33" x14ac:dyDescent="0.25">
      <c r="A61" s="14" t="s">
        <v>28</v>
      </c>
      <c r="B61" s="57">
        <f t="shared" si="53"/>
        <v>4.6501938000699896</v>
      </c>
      <c r="C61" s="58">
        <f>(SUMPRODUCT(('Modell Erzeugung'!$C$2:$C$35='Abgleich Generation'!$A61)*('Modell Erzeugung'!$D$1:$AZ$1='Abgleich Generation'!C$40)*'Modell Erzeugung'!$D$2:$AZ$35)+SUMPRODUCT(('Modell Erzeugung'!$C$2:$C$35='Abgleich Generation'!$A61)*('Modell Erzeugung'!$D$1:$AZ$1='Abgleich Generation'!C$39)*'Modell Erzeugung'!$D$2:$AZ$35)+SUMPRODUCT(('Modell Erzeugung'!$C$2:$C$35='Abgleich Generation'!$A61)*('Modell Erzeugung'!$D$1:$AZ$1='Abgleich Generation'!C$38)*'Modell Erzeugung'!$D$2:$AZ$35))/1000000</f>
        <v>0</v>
      </c>
      <c r="D61" s="58">
        <f t="shared" si="54"/>
        <v>4.6501938000699896</v>
      </c>
      <c r="E61" s="58">
        <f>(SUMPRODUCT(('Modell Erzeugung'!$C$2:$C$35='Abgleich Generation'!$A61)*('Modell Erzeugung'!$D$1:$AZ$1='Abgleich Generation'!E$40)*'Modell Erzeugung'!$D$2:$AZ$35)+SUMPRODUCT(('Modell Erzeugung'!$C$2:$C$35='Abgleich Generation'!$A61)*('Modell Erzeugung'!$D$1:$AZ$1='Abgleich Generation'!E$39)*'Modell Erzeugung'!$D$2:$AZ$35)+SUMPRODUCT(('Modell Erzeugung'!$C$2:$C$35='Abgleich Generation'!$A61)*('Modell Erzeugung'!$D$1:$AZ$1='Abgleich Generation'!E$38)*'Modell Erzeugung'!$D$2:$AZ$35))/1000000</f>
        <v>0</v>
      </c>
      <c r="F61" s="58">
        <f>(SUMPRODUCT(('Modell Erzeugung'!$C$2:$C$35='Abgleich Generation'!$A61)*('Modell Erzeugung'!$D$1:$AZ$1='Abgleich Generation'!F$40)*'Modell Erzeugung'!$D$2:$AZ$35)+SUMPRODUCT(('Modell Erzeugung'!$C$2:$C$35='Abgleich Generation'!$A61)*('Modell Erzeugung'!$D$1:$AZ$1='Abgleich Generation'!F$39)*'Modell Erzeugung'!$D$2:$AZ$35)+SUMPRODUCT(('Modell Erzeugung'!$C$2:$C$35='Abgleich Generation'!$A61)*('Modell Erzeugung'!$D$1:$AZ$1='Abgleich Generation'!F$38)*'Modell Erzeugung'!$D$2:$AZ$35))/1000000</f>
        <v>4.6501938000699896</v>
      </c>
      <c r="G61" s="58">
        <f>(SUMPRODUCT(('Modell Erzeugung'!$C$2:$C$35='Abgleich Generation'!$A61)*('Modell Erzeugung'!$D$1:$AZ$1='Abgleich Generation'!G$40)*'Modell Erzeugung'!$D$2:$AZ$35)+SUMPRODUCT(('Modell Erzeugung'!$C$2:$C$35='Abgleich Generation'!$A61)*('Modell Erzeugung'!$D$1:$AZ$1='Abgleich Generation'!G$39)*'Modell Erzeugung'!$D$2:$AZ$35)+SUMPRODUCT(('Modell Erzeugung'!$C$2:$C$35='Abgleich Generation'!$A61)*('Modell Erzeugung'!$D$1:$AZ$1='Abgleich Generation'!G$38)*'Modell Erzeugung'!$D$2:$AZ$35))/1000000</f>
        <v>0</v>
      </c>
      <c r="H61" s="58">
        <f>(SUMPRODUCT(('Modell Erzeugung'!$C$2:$C$35='Abgleich Generation'!$A61)*('Modell Erzeugung'!$D$1:$AZ$1='Abgleich Generation'!H$40)*'Modell Erzeugung'!$D$2:$AZ$35)+SUMPRODUCT(('Modell Erzeugung'!$C$2:$C$35='Abgleich Generation'!$A61)*('Modell Erzeugung'!$D$1:$AZ$1='Abgleich Generation'!H$39)*'Modell Erzeugung'!$D$2:$AZ$35)+SUMPRODUCT(('Modell Erzeugung'!$C$2:$C$35='Abgleich Generation'!$A61)*('Modell Erzeugung'!$D$1:$AZ$1='Abgleich Generation'!H$38)*'Modell Erzeugung'!$D$2:$AZ$35))/1000000</f>
        <v>0</v>
      </c>
      <c r="I61" s="58">
        <f>(SUMPRODUCT(('Modell Erzeugung'!$C$2:$C$35='Abgleich Generation'!$A61)*('Modell Erzeugung'!$D$1:$AZ$1='Abgleich Generation'!I$40)*'Modell Erzeugung'!$D$2:$AZ$35)+SUMPRODUCT(('Modell Erzeugung'!$C$2:$C$35='Abgleich Generation'!$A61)*('Modell Erzeugung'!$D$1:$AZ$1='Abgleich Generation'!I$39)*'Modell Erzeugung'!$D$2:$AZ$35)+SUMPRODUCT(('Modell Erzeugung'!$C$2:$C$35='Abgleich Generation'!$A61)*('Modell Erzeugung'!$D$1:$AZ$1='Abgleich Generation'!I$38)*'Modell Erzeugung'!$D$2:$AZ$35))/1000000</f>
        <v>0</v>
      </c>
      <c r="J61" s="58">
        <f>(SUMPRODUCT(('Modell Erzeugung'!$C$2:$C$35='Abgleich Generation'!$A61)*('Modell Erzeugung'!$D$1:$AZ$1='Abgleich Generation'!J$40)*'Modell Erzeugung'!$D$2:$AZ$35)+SUMPRODUCT(('Modell Erzeugung'!$C$2:$C$35='Abgleich Generation'!$A61)*('Modell Erzeugung'!$D$1:$AZ$1='Abgleich Generation'!J$39)*'Modell Erzeugung'!$D$2:$AZ$35)+SUMPRODUCT(('Modell Erzeugung'!$C$2:$C$35='Abgleich Generation'!$A61)*('Modell Erzeugung'!$D$1:$AZ$1='Abgleich Generation'!J$38)*'Modell Erzeugung'!$D$2:$AZ$35))/1000000</f>
        <v>0</v>
      </c>
      <c r="K61" s="59">
        <f t="shared" si="58"/>
        <v>2.8608368544360001</v>
      </c>
      <c r="L61" s="58">
        <f>(SUMPRODUCT(('Modell Erzeugung'!$C$2:$C$35='Abgleich Generation'!$A61)*('Modell Erzeugung'!$D$1:$AZ$1='Abgleich Generation'!L$40)*'Modell Erzeugung'!$D$2:$AZ$35)+SUMPRODUCT(('Modell Erzeugung'!$C$2:$C$35='Abgleich Generation'!$A61)*('Modell Erzeugung'!$D$1:$AZ$1='Abgleich Generation'!L$39)*'Modell Erzeugung'!$D$2:$AZ$35)+SUMPRODUCT(('Modell Erzeugung'!$C$2:$C$35='Abgleich Generation'!$A61)*('Modell Erzeugung'!$D$1:$AZ$1='Abgleich Generation'!L$38)*'Modell Erzeugung'!$D$2:$AZ$35))/1000000</f>
        <v>1.835056837095</v>
      </c>
      <c r="M61" s="58">
        <f>(SUMPRODUCT(('Modell Erzeugung'!$C$2:$C$35='Abgleich Generation'!$A61)*('Modell Erzeugung'!$D$1:$AZ$1='Abgleich Generation'!M$40)*'Modell Erzeugung'!$D$2:$AZ$35)+SUMPRODUCT(('Modell Erzeugung'!$C$2:$C$35='Abgleich Generation'!$A61)*('Modell Erzeugung'!$D$1:$AZ$1='Abgleich Generation'!M$39)*'Modell Erzeugung'!$D$2:$AZ$35)+SUMPRODUCT(('Modell Erzeugung'!$C$2:$C$35='Abgleich Generation'!$A61)*('Modell Erzeugung'!$D$1:$AZ$1='Abgleich Generation'!M$38)*'Modell Erzeugung'!$D$2:$AZ$35))/1000000</f>
        <v>0</v>
      </c>
      <c r="N61" s="58">
        <f>(SUMPRODUCT(('Modell Erzeugung'!$C$2:$C$35='Abgleich Generation'!$A61)*('Modell Erzeugung'!$D$1:$AZ$1='Abgleich Generation'!N$40)*'Modell Erzeugung'!$D$2:$AZ$35)+SUMPRODUCT(('Modell Erzeugung'!$C$2:$C$35='Abgleich Generation'!$A61)*('Modell Erzeugung'!$D$1:$AZ$1='Abgleich Generation'!N$39)*'Modell Erzeugung'!$D$2:$AZ$35)+SUMPRODUCT(('Modell Erzeugung'!$C$2:$C$35='Abgleich Generation'!$A61)*('Modell Erzeugung'!$D$1:$AZ$1='Abgleich Generation'!N$38)*'Modell Erzeugung'!$D$2:$AZ$35))/1000000</f>
        <v>0</v>
      </c>
      <c r="O61" s="58">
        <f>(SUMPRODUCT(('Modell Erzeugung'!$C$2:$C$35='Abgleich Generation'!$A61)*('Modell Erzeugung'!$D$1:$AZ$1='Abgleich Generation'!O$40)*'Modell Erzeugung'!$D$2:$AZ$35)+SUMPRODUCT(('Modell Erzeugung'!$C$2:$C$35='Abgleich Generation'!$A61)*('Modell Erzeugung'!$D$1:$AZ$1='Abgleich Generation'!O$39)*'Modell Erzeugung'!$D$2:$AZ$35)+SUMPRODUCT(('Modell Erzeugung'!$C$2:$C$35='Abgleich Generation'!$A61)*('Modell Erzeugung'!$D$1:$AZ$1='Abgleich Generation'!O$38)*'Modell Erzeugung'!$D$2:$AZ$35))/1000000</f>
        <v>1.0257800173410001</v>
      </c>
      <c r="P61" s="58">
        <f>(SUMPRODUCT(('Modell Erzeugung'!$C$2:$C$35='Abgleich Generation'!$A61)*('Modell Erzeugung'!$D$1:$AZ$1='Abgleich Generation'!P$40)*'Modell Erzeugung'!$D$2:$AZ$35)+SUMPRODUCT(('Modell Erzeugung'!$C$2:$C$35='Abgleich Generation'!$A61)*('Modell Erzeugung'!$D$1:$AZ$1='Abgleich Generation'!P$39)*'Modell Erzeugung'!$D$2:$AZ$35)+SUMPRODUCT(('Modell Erzeugung'!$C$2:$C$35='Abgleich Generation'!$A61)*('Modell Erzeugung'!$D$1:$AZ$1='Abgleich Generation'!P$38)*'Modell Erzeugung'!$D$2:$AZ$35))/1000000</f>
        <v>0</v>
      </c>
      <c r="Q61" s="58">
        <f>(SUMPRODUCT(('Modell Erzeugung'!$C$2:$C$35='Abgleich Generation'!$A61)*('Modell Erzeugung'!$D$1:$AZ$1='Abgleich Generation'!Q$40)*'Modell Erzeugung'!$D$2:$AZ$35)+SUMPRODUCT(('Modell Erzeugung'!$C$2:$C$35='Abgleich Generation'!$A61)*('Modell Erzeugung'!$D$1:$AZ$1='Abgleich Generation'!Q$39)*'Modell Erzeugung'!$D$2:$AZ$35)+SUMPRODUCT(('Modell Erzeugung'!$C$2:$C$35='Abgleich Generation'!$A61)*('Modell Erzeugung'!$D$1:$AZ$1='Abgleich Generation'!Q$38)*'Modell Erzeugung'!$D$2:$AZ$35))/1000000</f>
        <v>0</v>
      </c>
      <c r="R61" s="58">
        <f>(SUMPRODUCT(('Modell Erzeugung'!$C$2:$C$35='Abgleich Generation'!$A61)*('Modell Erzeugung'!$D$1:$AZ$1='Abgleich Generation'!R$40)*'Modell Erzeugung'!$D$2:$AZ$35)+SUMPRODUCT(('Modell Erzeugung'!$C$2:$C$35='Abgleich Generation'!$A61)*('Modell Erzeugung'!$D$1:$AZ$1='Abgleich Generation'!R$39)*'Modell Erzeugung'!$D$2:$AZ$35)+SUMPRODUCT(('Modell Erzeugung'!$C$2:$C$35='Abgleich Generation'!$A61)*('Modell Erzeugung'!$D$1:$AZ$1='Abgleich Generation'!R$38)*'Modell Erzeugung'!$D$2:$AZ$35))/1000000</f>
        <v>0</v>
      </c>
      <c r="S61" s="58">
        <f>(SUMPRODUCT(('Modell Erzeugung'!$C$2:$C$35='Abgleich Generation'!$A61)*('Modell Erzeugung'!$D$1:$AZ$1='Abgleich Generation'!S$40)*'Modell Erzeugung'!$D$2:$AZ$35)+SUMPRODUCT(('Modell Erzeugung'!$C$2:$C$35='Abgleich Generation'!$A61)*('Modell Erzeugung'!$D$1:$AZ$1='Abgleich Generation'!S$39)*'Modell Erzeugung'!$D$2:$AZ$35)+SUMPRODUCT(('Modell Erzeugung'!$C$2:$C$35='Abgleich Generation'!$A61)*('Modell Erzeugung'!$D$1:$AZ$1='Abgleich Generation'!S$38)*'Modell Erzeugung'!$D$2:$AZ$35))/1000000</f>
        <v>0</v>
      </c>
      <c r="T61" s="58">
        <f>(SUMPRODUCT(('Modell Erzeugung'!$C$2:$C$35='Abgleich Generation'!$A61)*('Modell Erzeugung'!$D$1:$AZ$1='Abgleich Generation'!T$40)*'Modell Erzeugung'!$D$2:$AZ$35)+SUMPRODUCT(('Modell Erzeugung'!$C$2:$C$35='Abgleich Generation'!$A61)*('Modell Erzeugung'!$D$1:$AZ$1='Abgleich Generation'!T$39)*'Modell Erzeugung'!$D$2:$AZ$35)+SUMPRODUCT(('Modell Erzeugung'!$C$2:$C$35='Abgleich Generation'!$A61)*('Modell Erzeugung'!$D$1:$AZ$1='Abgleich Generation'!T$38)*'Modell Erzeugung'!$D$2:$AZ$35))/1000000</f>
        <v>0</v>
      </c>
      <c r="U61" s="58">
        <f>(SUMPRODUCT(('Modell Erzeugung'!$C$2:$C$35='Abgleich Generation'!$A61)*('Modell Erzeugung'!$D$1:$AZ$1='Abgleich Generation'!U$40)*'Modell Erzeugung'!$D$2:$AZ$35)+SUMPRODUCT(('Modell Erzeugung'!$C$2:$C$35='Abgleich Generation'!$A61)*('Modell Erzeugung'!$D$1:$AZ$1='Abgleich Generation'!U$39)*'Modell Erzeugung'!$D$2:$AZ$35)+SUMPRODUCT(('Modell Erzeugung'!$C$2:$C$35='Abgleich Generation'!$A61)*('Modell Erzeugung'!$D$1:$AZ$1='Abgleich Generation'!U$38)*'Modell Erzeugung'!$D$2:$AZ$35))/1000000</f>
        <v>0</v>
      </c>
      <c r="V61" s="59">
        <f t="shared" si="59"/>
        <v>7.5110306545059897</v>
      </c>
      <c r="W61" s="60"/>
      <c r="X61" s="61">
        <f t="shared" si="55"/>
        <v>12.188213026308489</v>
      </c>
      <c r="Y61" s="61">
        <f>(SUMPRODUCT(('Modell Erzeugung'!$C$2:$C$35='Abgleich Generation'!$A61)*('Modell Erzeugung'!$D$1:$AZ$1='Abgleich Generation'!Y$40)*'Modell Erzeugung'!$D$2:$AZ$35)+SUMPRODUCT(('Modell Erzeugung'!$C$2:$C$35='Abgleich Generation'!$A61)*('Modell Erzeugung'!$D$1:$AZ$1='Abgleich Generation'!Y$39)*'Modell Erzeugung'!$D$2:$AZ$35))/1000000</f>
        <v>4.6771823718025001</v>
      </c>
    </row>
    <row r="62" spans="1:33" x14ac:dyDescent="0.25">
      <c r="A62" s="14" t="s">
        <v>29</v>
      </c>
      <c r="B62" s="25">
        <f t="shared" si="53"/>
        <v>1.4063286473970098</v>
      </c>
      <c r="C62" s="26">
        <f>(SUMPRODUCT(('Modell Erzeugung'!$C$2:$C$35='Abgleich Generation'!$A62)*('Modell Erzeugung'!$D$1:$AZ$1='Abgleich Generation'!C$40)*'Modell Erzeugung'!$D$2:$AZ$35)+SUMPRODUCT(('Modell Erzeugung'!$C$2:$C$35='Abgleich Generation'!$A62)*('Modell Erzeugung'!$D$1:$AZ$1='Abgleich Generation'!C$39)*'Modell Erzeugung'!$D$2:$AZ$35)+SUMPRODUCT(('Modell Erzeugung'!$C$2:$C$35='Abgleich Generation'!$A62)*('Modell Erzeugung'!$D$1:$AZ$1='Abgleich Generation'!C$38)*'Modell Erzeugung'!$D$2:$AZ$35))/1000000</f>
        <v>0</v>
      </c>
      <c r="D62" s="26">
        <f t="shared" si="54"/>
        <v>1.4063286473970098</v>
      </c>
      <c r="E62" s="26">
        <f>(SUMPRODUCT(('Modell Erzeugung'!$C$2:$C$35='Abgleich Generation'!$A62)*('Modell Erzeugung'!$D$1:$AZ$1='Abgleich Generation'!E$40)*'Modell Erzeugung'!$D$2:$AZ$35)+SUMPRODUCT(('Modell Erzeugung'!$C$2:$C$35='Abgleich Generation'!$A62)*('Modell Erzeugung'!$D$1:$AZ$1='Abgleich Generation'!E$39)*'Modell Erzeugung'!$D$2:$AZ$35)+SUMPRODUCT(('Modell Erzeugung'!$C$2:$C$35='Abgleich Generation'!$A62)*('Modell Erzeugung'!$D$1:$AZ$1='Abgleich Generation'!E$38)*'Modell Erzeugung'!$D$2:$AZ$35))/1000000</f>
        <v>1.4063286473970098</v>
      </c>
      <c r="F62" s="26">
        <f>(SUMPRODUCT(('Modell Erzeugung'!$C$2:$C$35='Abgleich Generation'!$A62)*('Modell Erzeugung'!$D$1:$AZ$1='Abgleich Generation'!F$40)*'Modell Erzeugung'!$D$2:$AZ$35)+SUMPRODUCT(('Modell Erzeugung'!$C$2:$C$35='Abgleich Generation'!$A62)*('Modell Erzeugung'!$D$1:$AZ$1='Abgleich Generation'!F$39)*'Modell Erzeugung'!$D$2:$AZ$35)+SUMPRODUCT(('Modell Erzeugung'!$C$2:$C$35='Abgleich Generation'!$A62)*('Modell Erzeugung'!$D$1:$AZ$1='Abgleich Generation'!F$38)*'Modell Erzeugung'!$D$2:$AZ$35))/1000000</f>
        <v>0</v>
      </c>
      <c r="G62" s="26">
        <f>(SUMPRODUCT(('Modell Erzeugung'!$C$2:$C$35='Abgleich Generation'!$A62)*('Modell Erzeugung'!$D$1:$AZ$1='Abgleich Generation'!G$40)*'Modell Erzeugung'!$D$2:$AZ$35)+SUMPRODUCT(('Modell Erzeugung'!$C$2:$C$35='Abgleich Generation'!$A62)*('Modell Erzeugung'!$D$1:$AZ$1='Abgleich Generation'!G$39)*'Modell Erzeugung'!$D$2:$AZ$35)+SUMPRODUCT(('Modell Erzeugung'!$C$2:$C$35='Abgleich Generation'!$A62)*('Modell Erzeugung'!$D$1:$AZ$1='Abgleich Generation'!G$38)*'Modell Erzeugung'!$D$2:$AZ$35))/1000000</f>
        <v>0</v>
      </c>
      <c r="H62" s="26">
        <f>(SUMPRODUCT(('Modell Erzeugung'!$C$2:$C$35='Abgleich Generation'!$A62)*('Modell Erzeugung'!$D$1:$AZ$1='Abgleich Generation'!H$40)*'Modell Erzeugung'!$D$2:$AZ$35)+SUMPRODUCT(('Modell Erzeugung'!$C$2:$C$35='Abgleich Generation'!$A62)*('Modell Erzeugung'!$D$1:$AZ$1='Abgleich Generation'!H$39)*'Modell Erzeugung'!$D$2:$AZ$35)+SUMPRODUCT(('Modell Erzeugung'!$C$2:$C$35='Abgleich Generation'!$A62)*('Modell Erzeugung'!$D$1:$AZ$1='Abgleich Generation'!H$38)*'Modell Erzeugung'!$D$2:$AZ$35))/1000000</f>
        <v>0</v>
      </c>
      <c r="I62" s="26">
        <f>(SUMPRODUCT(('Modell Erzeugung'!$C$2:$C$35='Abgleich Generation'!$A62)*('Modell Erzeugung'!$D$1:$AZ$1='Abgleich Generation'!I$40)*'Modell Erzeugung'!$D$2:$AZ$35)+SUMPRODUCT(('Modell Erzeugung'!$C$2:$C$35='Abgleich Generation'!$A62)*('Modell Erzeugung'!$D$1:$AZ$1='Abgleich Generation'!I$39)*'Modell Erzeugung'!$D$2:$AZ$35)+SUMPRODUCT(('Modell Erzeugung'!$C$2:$C$35='Abgleich Generation'!$A62)*('Modell Erzeugung'!$D$1:$AZ$1='Abgleich Generation'!I$38)*'Modell Erzeugung'!$D$2:$AZ$35))/1000000</f>
        <v>0</v>
      </c>
      <c r="J62" s="26">
        <f>(SUMPRODUCT(('Modell Erzeugung'!$C$2:$C$35='Abgleich Generation'!$A62)*('Modell Erzeugung'!$D$1:$AZ$1='Abgleich Generation'!J$40)*'Modell Erzeugung'!$D$2:$AZ$35)+SUMPRODUCT(('Modell Erzeugung'!$C$2:$C$35='Abgleich Generation'!$A62)*('Modell Erzeugung'!$D$1:$AZ$1='Abgleich Generation'!J$39)*'Modell Erzeugung'!$D$2:$AZ$35)+SUMPRODUCT(('Modell Erzeugung'!$C$2:$C$35='Abgleich Generation'!$A62)*('Modell Erzeugung'!$D$1:$AZ$1='Abgleich Generation'!J$38)*'Modell Erzeugung'!$D$2:$AZ$35))/1000000</f>
        <v>0</v>
      </c>
      <c r="K62" s="27">
        <f t="shared" si="58"/>
        <v>3.0018083046009902</v>
      </c>
      <c r="L62" s="26">
        <f>(SUMPRODUCT(('Modell Erzeugung'!$C$2:$C$35='Abgleich Generation'!$A62)*('Modell Erzeugung'!$D$1:$AZ$1='Abgleich Generation'!L$40)*'Modell Erzeugung'!$D$2:$AZ$35)+SUMPRODUCT(('Modell Erzeugung'!$C$2:$C$35='Abgleich Generation'!$A62)*('Modell Erzeugung'!$D$1:$AZ$1='Abgleich Generation'!L$39)*'Modell Erzeugung'!$D$2:$AZ$35)+SUMPRODUCT(('Modell Erzeugung'!$C$2:$C$35='Abgleich Generation'!$A62)*('Modell Erzeugung'!$D$1:$AZ$1='Abgleich Generation'!L$38)*'Modell Erzeugung'!$D$2:$AZ$35))/1000000</f>
        <v>2.68709475228599</v>
      </c>
      <c r="M62" s="26">
        <f>(SUMPRODUCT(('Modell Erzeugung'!$C$2:$C$35='Abgleich Generation'!$A62)*('Modell Erzeugung'!$D$1:$AZ$1='Abgleich Generation'!M$40)*'Modell Erzeugung'!$D$2:$AZ$35)+SUMPRODUCT(('Modell Erzeugung'!$C$2:$C$35='Abgleich Generation'!$A62)*('Modell Erzeugung'!$D$1:$AZ$1='Abgleich Generation'!M$39)*'Modell Erzeugung'!$D$2:$AZ$35)+SUMPRODUCT(('Modell Erzeugung'!$C$2:$C$35='Abgleich Generation'!$A62)*('Modell Erzeugung'!$D$1:$AZ$1='Abgleich Generation'!M$38)*'Modell Erzeugung'!$D$2:$AZ$35))/1000000</f>
        <v>0</v>
      </c>
      <c r="N62" s="26">
        <f>(SUMPRODUCT(('Modell Erzeugung'!$C$2:$C$35='Abgleich Generation'!$A62)*('Modell Erzeugung'!$D$1:$AZ$1='Abgleich Generation'!N$40)*'Modell Erzeugung'!$D$2:$AZ$35)+SUMPRODUCT(('Modell Erzeugung'!$C$2:$C$35='Abgleich Generation'!$A62)*('Modell Erzeugung'!$D$1:$AZ$1='Abgleich Generation'!N$39)*'Modell Erzeugung'!$D$2:$AZ$35)+SUMPRODUCT(('Modell Erzeugung'!$C$2:$C$35='Abgleich Generation'!$A62)*('Modell Erzeugung'!$D$1:$AZ$1='Abgleich Generation'!N$38)*'Modell Erzeugung'!$D$2:$AZ$35))/1000000</f>
        <v>0</v>
      </c>
      <c r="O62" s="26">
        <f>(SUMPRODUCT(('Modell Erzeugung'!$C$2:$C$35='Abgleich Generation'!$A62)*('Modell Erzeugung'!$D$1:$AZ$1='Abgleich Generation'!O$40)*'Modell Erzeugung'!$D$2:$AZ$35)+SUMPRODUCT(('Modell Erzeugung'!$C$2:$C$35='Abgleich Generation'!$A62)*('Modell Erzeugung'!$D$1:$AZ$1='Abgleich Generation'!O$39)*'Modell Erzeugung'!$D$2:$AZ$35)+SUMPRODUCT(('Modell Erzeugung'!$C$2:$C$35='Abgleich Generation'!$A62)*('Modell Erzeugung'!$D$1:$AZ$1='Abgleich Generation'!O$38)*'Modell Erzeugung'!$D$2:$AZ$35))/1000000</f>
        <v>0.227279371127</v>
      </c>
      <c r="P62" s="26">
        <f>(SUMPRODUCT(('Modell Erzeugung'!$C$2:$C$35='Abgleich Generation'!$A62)*('Modell Erzeugung'!$D$1:$AZ$1='Abgleich Generation'!P$40)*'Modell Erzeugung'!$D$2:$AZ$35)+SUMPRODUCT(('Modell Erzeugung'!$C$2:$C$35='Abgleich Generation'!$A62)*('Modell Erzeugung'!$D$1:$AZ$1='Abgleich Generation'!P$39)*'Modell Erzeugung'!$D$2:$AZ$35)+SUMPRODUCT(('Modell Erzeugung'!$C$2:$C$35='Abgleich Generation'!$A62)*('Modell Erzeugung'!$D$1:$AZ$1='Abgleich Generation'!P$38)*'Modell Erzeugung'!$D$2:$AZ$35))/1000000</f>
        <v>1.2363636198000001E-2</v>
      </c>
      <c r="Q62" s="26">
        <f>(SUMPRODUCT(('Modell Erzeugung'!$C$2:$C$35='Abgleich Generation'!$A62)*('Modell Erzeugung'!$D$1:$AZ$1='Abgleich Generation'!Q$40)*'Modell Erzeugung'!$D$2:$AZ$35)+SUMPRODUCT(('Modell Erzeugung'!$C$2:$C$35='Abgleich Generation'!$A62)*('Modell Erzeugung'!$D$1:$AZ$1='Abgleich Generation'!Q$39)*'Modell Erzeugung'!$D$2:$AZ$35)+SUMPRODUCT(('Modell Erzeugung'!$C$2:$C$35='Abgleich Generation'!$A62)*('Modell Erzeugung'!$D$1:$AZ$1='Abgleich Generation'!Q$38)*'Modell Erzeugung'!$D$2:$AZ$35))/1000000</f>
        <v>0</v>
      </c>
      <c r="R62" s="26">
        <f>(SUMPRODUCT(('Modell Erzeugung'!$C$2:$C$35='Abgleich Generation'!$A62)*('Modell Erzeugung'!$D$1:$AZ$1='Abgleich Generation'!R$40)*'Modell Erzeugung'!$D$2:$AZ$35)+SUMPRODUCT(('Modell Erzeugung'!$C$2:$C$35='Abgleich Generation'!$A62)*('Modell Erzeugung'!$D$1:$AZ$1='Abgleich Generation'!R$39)*'Modell Erzeugung'!$D$2:$AZ$35)+SUMPRODUCT(('Modell Erzeugung'!$C$2:$C$35='Abgleich Generation'!$A62)*('Modell Erzeugung'!$D$1:$AZ$1='Abgleich Generation'!R$38)*'Modell Erzeugung'!$D$2:$AZ$35))/1000000</f>
        <v>7.5070544989999891E-2</v>
      </c>
      <c r="S62" s="26">
        <f>(SUMPRODUCT(('Modell Erzeugung'!$C$2:$C$35='Abgleich Generation'!$A62)*('Modell Erzeugung'!$D$1:$AZ$1='Abgleich Generation'!S$40)*'Modell Erzeugung'!$D$2:$AZ$35)+SUMPRODUCT(('Modell Erzeugung'!$C$2:$C$35='Abgleich Generation'!$A62)*('Modell Erzeugung'!$D$1:$AZ$1='Abgleich Generation'!S$39)*'Modell Erzeugung'!$D$2:$AZ$35)+SUMPRODUCT(('Modell Erzeugung'!$C$2:$C$35='Abgleich Generation'!$A62)*('Modell Erzeugung'!$D$1:$AZ$1='Abgleich Generation'!S$38)*'Modell Erzeugung'!$D$2:$AZ$35))/1000000</f>
        <v>0</v>
      </c>
      <c r="T62" s="26">
        <f>(SUMPRODUCT(('Modell Erzeugung'!$C$2:$C$35='Abgleich Generation'!$A62)*('Modell Erzeugung'!$D$1:$AZ$1='Abgleich Generation'!T$40)*'Modell Erzeugung'!$D$2:$AZ$35)+SUMPRODUCT(('Modell Erzeugung'!$C$2:$C$35='Abgleich Generation'!$A62)*('Modell Erzeugung'!$D$1:$AZ$1='Abgleich Generation'!T$39)*'Modell Erzeugung'!$D$2:$AZ$35)+SUMPRODUCT(('Modell Erzeugung'!$C$2:$C$35='Abgleich Generation'!$A62)*('Modell Erzeugung'!$D$1:$AZ$1='Abgleich Generation'!T$38)*'Modell Erzeugung'!$D$2:$AZ$35))/1000000</f>
        <v>0</v>
      </c>
      <c r="U62" s="26">
        <f>(SUMPRODUCT(('Modell Erzeugung'!$C$2:$C$35='Abgleich Generation'!$A62)*('Modell Erzeugung'!$D$1:$AZ$1='Abgleich Generation'!U$40)*'Modell Erzeugung'!$D$2:$AZ$35)+SUMPRODUCT(('Modell Erzeugung'!$C$2:$C$35='Abgleich Generation'!$A62)*('Modell Erzeugung'!$D$1:$AZ$1='Abgleich Generation'!U$39)*'Modell Erzeugung'!$D$2:$AZ$35)+SUMPRODUCT(('Modell Erzeugung'!$C$2:$C$35='Abgleich Generation'!$A62)*('Modell Erzeugung'!$D$1:$AZ$1='Abgleich Generation'!U$38)*'Modell Erzeugung'!$D$2:$AZ$35))/1000000</f>
        <v>0</v>
      </c>
      <c r="V62" s="27">
        <f t="shared" si="59"/>
        <v>4.4081369519980003</v>
      </c>
      <c r="W62" s="28"/>
      <c r="X62" s="29">
        <f t="shared" si="55"/>
        <v>3.8845182585180003</v>
      </c>
      <c r="Y62" s="29">
        <f>(SUMPRODUCT(('Modell Erzeugung'!$C$2:$C$35='Abgleich Generation'!$A62)*('Modell Erzeugung'!$D$1:$AZ$1='Abgleich Generation'!Y$40)*'Modell Erzeugung'!$D$2:$AZ$35)+SUMPRODUCT(('Modell Erzeugung'!$C$2:$C$35='Abgleich Generation'!$A62)*('Modell Erzeugung'!$D$1:$AZ$1='Abgleich Generation'!Y$39)*'Modell Erzeugung'!$D$2:$AZ$35))/1000000</f>
        <v>-0.52361869348000001</v>
      </c>
    </row>
    <row r="63" spans="1:33" x14ac:dyDescent="0.25">
      <c r="A63" s="14" t="s">
        <v>30</v>
      </c>
      <c r="B63" s="57">
        <f t="shared" si="53"/>
        <v>4.7941738614869944</v>
      </c>
      <c r="C63" s="58">
        <f>(SUMPRODUCT(('Modell Erzeugung'!$C$2:$C$35='Abgleich Generation'!$A63)*('Modell Erzeugung'!$D$1:$AZ$1='Abgleich Generation'!C$40)*'Modell Erzeugung'!$D$2:$AZ$35)+SUMPRODUCT(('Modell Erzeugung'!$C$2:$C$35='Abgleich Generation'!$A63)*('Modell Erzeugung'!$D$1:$AZ$1='Abgleich Generation'!C$39)*'Modell Erzeugung'!$D$2:$AZ$35)+SUMPRODUCT(('Modell Erzeugung'!$C$2:$C$35='Abgleich Generation'!$A63)*('Modell Erzeugung'!$D$1:$AZ$1='Abgleich Generation'!C$38)*'Modell Erzeugung'!$D$2:$AZ$35))/1000000</f>
        <v>0</v>
      </c>
      <c r="D63" s="58">
        <f t="shared" si="54"/>
        <v>4.7941738614869944</v>
      </c>
      <c r="E63" s="58">
        <f>(SUMPRODUCT(('Modell Erzeugung'!$C$2:$C$35='Abgleich Generation'!$A63)*('Modell Erzeugung'!$D$1:$AZ$1='Abgleich Generation'!E$40)*'Modell Erzeugung'!$D$2:$AZ$35)+SUMPRODUCT(('Modell Erzeugung'!$C$2:$C$35='Abgleich Generation'!$A63)*('Modell Erzeugung'!$D$1:$AZ$1='Abgleich Generation'!E$39)*'Modell Erzeugung'!$D$2:$AZ$35)+SUMPRODUCT(('Modell Erzeugung'!$C$2:$C$35='Abgleich Generation'!$A63)*('Modell Erzeugung'!$D$1:$AZ$1='Abgleich Generation'!E$38)*'Modell Erzeugung'!$D$2:$AZ$35))/1000000</f>
        <v>4.7397034454869944</v>
      </c>
      <c r="F63" s="58">
        <f>(SUMPRODUCT(('Modell Erzeugung'!$C$2:$C$35='Abgleich Generation'!$A63)*('Modell Erzeugung'!$D$1:$AZ$1='Abgleich Generation'!F$40)*'Modell Erzeugung'!$D$2:$AZ$35)+SUMPRODUCT(('Modell Erzeugung'!$C$2:$C$35='Abgleich Generation'!$A63)*('Modell Erzeugung'!$D$1:$AZ$1='Abgleich Generation'!F$39)*'Modell Erzeugung'!$D$2:$AZ$35)+SUMPRODUCT(('Modell Erzeugung'!$C$2:$C$35='Abgleich Generation'!$A63)*('Modell Erzeugung'!$D$1:$AZ$1='Abgleich Generation'!F$38)*'Modell Erzeugung'!$D$2:$AZ$35))/1000000</f>
        <v>5.4470416000000001E-2</v>
      </c>
      <c r="G63" s="58">
        <f>(SUMPRODUCT(('Modell Erzeugung'!$C$2:$C$35='Abgleich Generation'!$A63)*('Modell Erzeugung'!$D$1:$AZ$1='Abgleich Generation'!G$40)*'Modell Erzeugung'!$D$2:$AZ$35)+SUMPRODUCT(('Modell Erzeugung'!$C$2:$C$35='Abgleich Generation'!$A63)*('Modell Erzeugung'!$D$1:$AZ$1='Abgleich Generation'!G$39)*'Modell Erzeugung'!$D$2:$AZ$35)+SUMPRODUCT(('Modell Erzeugung'!$C$2:$C$35='Abgleich Generation'!$A63)*('Modell Erzeugung'!$D$1:$AZ$1='Abgleich Generation'!G$38)*'Modell Erzeugung'!$D$2:$AZ$35))/1000000</f>
        <v>0</v>
      </c>
      <c r="H63" s="58">
        <f>(SUMPRODUCT(('Modell Erzeugung'!$C$2:$C$35='Abgleich Generation'!$A63)*('Modell Erzeugung'!$D$1:$AZ$1='Abgleich Generation'!H$40)*'Modell Erzeugung'!$D$2:$AZ$35)+SUMPRODUCT(('Modell Erzeugung'!$C$2:$C$35='Abgleich Generation'!$A63)*('Modell Erzeugung'!$D$1:$AZ$1='Abgleich Generation'!H$39)*'Modell Erzeugung'!$D$2:$AZ$35)+SUMPRODUCT(('Modell Erzeugung'!$C$2:$C$35='Abgleich Generation'!$A63)*('Modell Erzeugung'!$D$1:$AZ$1='Abgleich Generation'!H$38)*'Modell Erzeugung'!$D$2:$AZ$35))/1000000</f>
        <v>0</v>
      </c>
      <c r="I63" s="58">
        <f>(SUMPRODUCT(('Modell Erzeugung'!$C$2:$C$35='Abgleich Generation'!$A63)*('Modell Erzeugung'!$D$1:$AZ$1='Abgleich Generation'!I$40)*'Modell Erzeugung'!$D$2:$AZ$35)+SUMPRODUCT(('Modell Erzeugung'!$C$2:$C$35='Abgleich Generation'!$A63)*('Modell Erzeugung'!$D$1:$AZ$1='Abgleich Generation'!I$39)*'Modell Erzeugung'!$D$2:$AZ$35)+SUMPRODUCT(('Modell Erzeugung'!$C$2:$C$35='Abgleich Generation'!$A63)*('Modell Erzeugung'!$D$1:$AZ$1='Abgleich Generation'!I$38)*'Modell Erzeugung'!$D$2:$AZ$35))/1000000</f>
        <v>0</v>
      </c>
      <c r="J63" s="58">
        <f>(SUMPRODUCT(('Modell Erzeugung'!$C$2:$C$35='Abgleich Generation'!$A63)*('Modell Erzeugung'!$D$1:$AZ$1='Abgleich Generation'!J$40)*'Modell Erzeugung'!$D$2:$AZ$35)+SUMPRODUCT(('Modell Erzeugung'!$C$2:$C$35='Abgleich Generation'!$A63)*('Modell Erzeugung'!$D$1:$AZ$1='Abgleich Generation'!J$39)*'Modell Erzeugung'!$D$2:$AZ$35)+SUMPRODUCT(('Modell Erzeugung'!$C$2:$C$35='Abgleich Generation'!$A63)*('Modell Erzeugung'!$D$1:$AZ$1='Abgleich Generation'!J$38)*'Modell Erzeugung'!$D$2:$AZ$35))/1000000</f>
        <v>0</v>
      </c>
      <c r="K63" s="59">
        <f t="shared" si="58"/>
        <v>1.6188621092380002</v>
      </c>
      <c r="L63" s="58">
        <f>(SUMPRODUCT(('Modell Erzeugung'!$C$2:$C$35='Abgleich Generation'!$A63)*('Modell Erzeugung'!$D$1:$AZ$1='Abgleich Generation'!L$40)*'Modell Erzeugung'!$D$2:$AZ$35)+SUMPRODUCT(('Modell Erzeugung'!$C$2:$C$35='Abgleich Generation'!$A63)*('Modell Erzeugung'!$D$1:$AZ$1='Abgleich Generation'!L$39)*'Modell Erzeugung'!$D$2:$AZ$35)+SUMPRODUCT(('Modell Erzeugung'!$C$2:$C$35='Abgleich Generation'!$A63)*('Modell Erzeugung'!$D$1:$AZ$1='Abgleich Generation'!L$38)*'Modell Erzeugung'!$D$2:$AZ$35))/1000000</f>
        <v>1.4768180915560001</v>
      </c>
      <c r="M63" s="58">
        <f>(SUMPRODUCT(('Modell Erzeugung'!$C$2:$C$35='Abgleich Generation'!$A63)*('Modell Erzeugung'!$D$1:$AZ$1='Abgleich Generation'!M$40)*'Modell Erzeugung'!$D$2:$AZ$35)+SUMPRODUCT(('Modell Erzeugung'!$C$2:$C$35='Abgleich Generation'!$A63)*('Modell Erzeugung'!$D$1:$AZ$1='Abgleich Generation'!M$39)*'Modell Erzeugung'!$D$2:$AZ$35)+SUMPRODUCT(('Modell Erzeugung'!$C$2:$C$35='Abgleich Generation'!$A63)*('Modell Erzeugung'!$D$1:$AZ$1='Abgleich Generation'!M$38)*'Modell Erzeugung'!$D$2:$AZ$35))/1000000</f>
        <v>0</v>
      </c>
      <c r="N63" s="58">
        <f>(SUMPRODUCT(('Modell Erzeugung'!$C$2:$C$35='Abgleich Generation'!$A63)*('Modell Erzeugung'!$D$1:$AZ$1='Abgleich Generation'!N$40)*'Modell Erzeugung'!$D$2:$AZ$35)+SUMPRODUCT(('Modell Erzeugung'!$C$2:$C$35='Abgleich Generation'!$A63)*('Modell Erzeugung'!$D$1:$AZ$1='Abgleich Generation'!N$39)*'Modell Erzeugung'!$D$2:$AZ$35)+SUMPRODUCT(('Modell Erzeugung'!$C$2:$C$35='Abgleich Generation'!$A63)*('Modell Erzeugung'!$D$1:$AZ$1='Abgleich Generation'!N$38)*'Modell Erzeugung'!$D$2:$AZ$35))/1000000</f>
        <v>0</v>
      </c>
      <c r="O63" s="58">
        <f>(SUMPRODUCT(('Modell Erzeugung'!$C$2:$C$35='Abgleich Generation'!$A63)*('Modell Erzeugung'!$D$1:$AZ$1='Abgleich Generation'!O$40)*'Modell Erzeugung'!$D$2:$AZ$35)+SUMPRODUCT(('Modell Erzeugung'!$C$2:$C$35='Abgleich Generation'!$A63)*('Modell Erzeugung'!$D$1:$AZ$1='Abgleich Generation'!O$39)*'Modell Erzeugung'!$D$2:$AZ$35)+SUMPRODUCT(('Modell Erzeugung'!$C$2:$C$35='Abgleich Generation'!$A63)*('Modell Erzeugung'!$D$1:$AZ$1='Abgleich Generation'!O$38)*'Modell Erzeugung'!$D$2:$AZ$35))/1000000</f>
        <v>8.6857677972000003E-2</v>
      </c>
      <c r="P63" s="58">
        <f>(SUMPRODUCT(('Modell Erzeugung'!$C$2:$C$35='Abgleich Generation'!$A63)*('Modell Erzeugung'!$D$1:$AZ$1='Abgleich Generation'!P$40)*'Modell Erzeugung'!$D$2:$AZ$35)+SUMPRODUCT(('Modell Erzeugung'!$C$2:$C$35='Abgleich Generation'!$A63)*('Modell Erzeugung'!$D$1:$AZ$1='Abgleich Generation'!P$39)*'Modell Erzeugung'!$D$2:$AZ$35)+SUMPRODUCT(('Modell Erzeugung'!$C$2:$C$35='Abgleich Generation'!$A63)*('Modell Erzeugung'!$D$1:$AZ$1='Abgleich Generation'!P$38)*'Modell Erzeugung'!$D$2:$AZ$35))/1000000</f>
        <v>8.3450119670000003E-3</v>
      </c>
      <c r="Q63" s="58">
        <f>(SUMPRODUCT(('Modell Erzeugung'!$C$2:$C$35='Abgleich Generation'!$A63)*('Modell Erzeugung'!$D$1:$AZ$1='Abgleich Generation'!Q$40)*'Modell Erzeugung'!$D$2:$AZ$35)+SUMPRODUCT(('Modell Erzeugung'!$C$2:$C$35='Abgleich Generation'!$A63)*('Modell Erzeugung'!$D$1:$AZ$1='Abgleich Generation'!Q$39)*'Modell Erzeugung'!$D$2:$AZ$35)+SUMPRODUCT(('Modell Erzeugung'!$C$2:$C$35='Abgleich Generation'!$A63)*('Modell Erzeugung'!$D$1:$AZ$1='Abgleich Generation'!Q$38)*'Modell Erzeugung'!$D$2:$AZ$35))/1000000</f>
        <v>0</v>
      </c>
      <c r="R63" s="58">
        <f>(SUMPRODUCT(('Modell Erzeugung'!$C$2:$C$35='Abgleich Generation'!$A63)*('Modell Erzeugung'!$D$1:$AZ$1='Abgleich Generation'!R$40)*'Modell Erzeugung'!$D$2:$AZ$35)+SUMPRODUCT(('Modell Erzeugung'!$C$2:$C$35='Abgleich Generation'!$A63)*('Modell Erzeugung'!$D$1:$AZ$1='Abgleich Generation'!R$39)*'Modell Erzeugung'!$D$2:$AZ$35)+SUMPRODUCT(('Modell Erzeugung'!$C$2:$C$35='Abgleich Generation'!$A63)*('Modell Erzeugung'!$D$1:$AZ$1='Abgleich Generation'!R$38)*'Modell Erzeugung'!$D$2:$AZ$35))/1000000</f>
        <v>4.6841327743000004E-2</v>
      </c>
      <c r="S63" s="58">
        <f>(SUMPRODUCT(('Modell Erzeugung'!$C$2:$C$35='Abgleich Generation'!$A63)*('Modell Erzeugung'!$D$1:$AZ$1='Abgleich Generation'!S$40)*'Modell Erzeugung'!$D$2:$AZ$35)+SUMPRODUCT(('Modell Erzeugung'!$C$2:$C$35='Abgleich Generation'!$A63)*('Modell Erzeugung'!$D$1:$AZ$1='Abgleich Generation'!S$39)*'Modell Erzeugung'!$D$2:$AZ$35)+SUMPRODUCT(('Modell Erzeugung'!$C$2:$C$35='Abgleich Generation'!$A63)*('Modell Erzeugung'!$D$1:$AZ$1='Abgleich Generation'!S$38)*'Modell Erzeugung'!$D$2:$AZ$35))/1000000</f>
        <v>0</v>
      </c>
      <c r="T63" s="58">
        <f>(SUMPRODUCT(('Modell Erzeugung'!$C$2:$C$35='Abgleich Generation'!$A63)*('Modell Erzeugung'!$D$1:$AZ$1='Abgleich Generation'!T$40)*'Modell Erzeugung'!$D$2:$AZ$35)+SUMPRODUCT(('Modell Erzeugung'!$C$2:$C$35='Abgleich Generation'!$A63)*('Modell Erzeugung'!$D$1:$AZ$1='Abgleich Generation'!T$39)*'Modell Erzeugung'!$D$2:$AZ$35)+SUMPRODUCT(('Modell Erzeugung'!$C$2:$C$35='Abgleich Generation'!$A63)*('Modell Erzeugung'!$D$1:$AZ$1='Abgleich Generation'!T$38)*'Modell Erzeugung'!$D$2:$AZ$35))/1000000</f>
        <v>0</v>
      </c>
      <c r="U63" s="58">
        <f>(SUMPRODUCT(('Modell Erzeugung'!$C$2:$C$35='Abgleich Generation'!$A63)*('Modell Erzeugung'!$D$1:$AZ$1='Abgleich Generation'!U$40)*'Modell Erzeugung'!$D$2:$AZ$35)+SUMPRODUCT(('Modell Erzeugung'!$C$2:$C$35='Abgleich Generation'!$A63)*('Modell Erzeugung'!$D$1:$AZ$1='Abgleich Generation'!U$39)*'Modell Erzeugung'!$D$2:$AZ$35)+SUMPRODUCT(('Modell Erzeugung'!$C$2:$C$35='Abgleich Generation'!$A63)*('Modell Erzeugung'!$D$1:$AZ$1='Abgleich Generation'!U$38)*'Modell Erzeugung'!$D$2:$AZ$35))/1000000</f>
        <v>0</v>
      </c>
      <c r="V63" s="59">
        <f t="shared" si="59"/>
        <v>6.4130359707249944</v>
      </c>
      <c r="W63" s="60"/>
      <c r="X63" s="61">
        <f t="shared" si="55"/>
        <v>8.4999981502939939</v>
      </c>
      <c r="Y63" s="61">
        <f>(SUMPRODUCT(('Modell Erzeugung'!$C$2:$C$35='Abgleich Generation'!$A63)*('Modell Erzeugung'!$D$1:$AZ$1='Abgleich Generation'!Y$40)*'Modell Erzeugung'!$D$2:$AZ$35)+SUMPRODUCT(('Modell Erzeugung'!$C$2:$C$35='Abgleich Generation'!$A63)*('Modell Erzeugung'!$D$1:$AZ$1='Abgleich Generation'!Y$39)*'Modell Erzeugung'!$D$2:$AZ$35))/1000000</f>
        <v>2.0869621795689999</v>
      </c>
    </row>
    <row r="64" spans="1:33" x14ac:dyDescent="0.25">
      <c r="A64" s="14" t="s">
        <v>31</v>
      </c>
      <c r="B64" s="25">
        <f t="shared" si="53"/>
        <v>83.555769124465996</v>
      </c>
      <c r="C64" s="26">
        <f>(SUMPRODUCT(('Modell Erzeugung'!$C$2:$C$35='Abgleich Generation'!$A64)*('Modell Erzeugung'!$D$1:$AZ$1='Abgleich Generation'!C$40)*'Modell Erzeugung'!$D$2:$AZ$35)+SUMPRODUCT(('Modell Erzeugung'!$C$2:$C$35='Abgleich Generation'!$A64)*('Modell Erzeugung'!$D$1:$AZ$1='Abgleich Generation'!C$39)*'Modell Erzeugung'!$D$2:$AZ$35)+SUMPRODUCT(('Modell Erzeugung'!$C$2:$C$35='Abgleich Generation'!$A64)*('Modell Erzeugung'!$D$1:$AZ$1='Abgleich Generation'!C$38)*'Modell Erzeugung'!$D$2:$AZ$35))/1000000</f>
        <v>3.5970311999999698</v>
      </c>
      <c r="D64" s="26">
        <f t="shared" si="54"/>
        <v>79.958737924466021</v>
      </c>
      <c r="E64" s="26">
        <f>(SUMPRODUCT(('Modell Erzeugung'!$C$2:$C$35='Abgleich Generation'!$A64)*('Modell Erzeugung'!$D$1:$AZ$1='Abgleich Generation'!E$40)*'Modell Erzeugung'!$D$2:$AZ$35)+SUMPRODUCT(('Modell Erzeugung'!$C$2:$C$35='Abgleich Generation'!$A64)*('Modell Erzeugung'!$D$1:$AZ$1='Abgleich Generation'!E$39)*'Modell Erzeugung'!$D$2:$AZ$35)+SUMPRODUCT(('Modell Erzeugung'!$C$2:$C$35='Abgleich Generation'!$A64)*('Modell Erzeugung'!$D$1:$AZ$1='Abgleich Generation'!E$38)*'Modell Erzeugung'!$D$2:$AZ$35))/1000000</f>
        <v>0</v>
      </c>
      <c r="F64" s="26">
        <f>(SUMPRODUCT(('Modell Erzeugung'!$C$2:$C$35='Abgleich Generation'!$A64)*('Modell Erzeugung'!$D$1:$AZ$1='Abgleich Generation'!F$40)*'Modell Erzeugung'!$D$2:$AZ$35)+SUMPRODUCT(('Modell Erzeugung'!$C$2:$C$35='Abgleich Generation'!$A64)*('Modell Erzeugung'!$D$1:$AZ$1='Abgleich Generation'!F$39)*'Modell Erzeugung'!$D$2:$AZ$35)+SUMPRODUCT(('Modell Erzeugung'!$C$2:$C$35='Abgleich Generation'!$A64)*('Modell Erzeugung'!$D$1:$AZ$1='Abgleich Generation'!F$38)*'Modell Erzeugung'!$D$2:$AZ$35))/1000000</f>
        <v>45.55100810933412</v>
      </c>
      <c r="G64" s="26">
        <f>(SUMPRODUCT(('Modell Erzeugung'!$C$2:$C$35='Abgleich Generation'!$A64)*('Modell Erzeugung'!$D$1:$AZ$1='Abgleich Generation'!G$40)*'Modell Erzeugung'!$D$2:$AZ$35)+SUMPRODUCT(('Modell Erzeugung'!$C$2:$C$35='Abgleich Generation'!$A64)*('Modell Erzeugung'!$D$1:$AZ$1='Abgleich Generation'!G$39)*'Modell Erzeugung'!$D$2:$AZ$35)+SUMPRODUCT(('Modell Erzeugung'!$C$2:$C$35='Abgleich Generation'!$A64)*('Modell Erzeugung'!$D$1:$AZ$1='Abgleich Generation'!G$38)*'Modell Erzeugung'!$D$2:$AZ$35))/1000000</f>
        <v>34.407729815131901</v>
      </c>
      <c r="H64" s="26">
        <f>(SUMPRODUCT(('Modell Erzeugung'!$C$2:$C$35='Abgleich Generation'!$A64)*('Modell Erzeugung'!$D$1:$AZ$1='Abgleich Generation'!H$40)*'Modell Erzeugung'!$D$2:$AZ$35)+SUMPRODUCT(('Modell Erzeugung'!$C$2:$C$35='Abgleich Generation'!$A64)*('Modell Erzeugung'!$D$1:$AZ$1='Abgleich Generation'!H$39)*'Modell Erzeugung'!$D$2:$AZ$35)+SUMPRODUCT(('Modell Erzeugung'!$C$2:$C$35='Abgleich Generation'!$A64)*('Modell Erzeugung'!$D$1:$AZ$1='Abgleich Generation'!H$38)*'Modell Erzeugung'!$D$2:$AZ$35))/1000000</f>
        <v>0</v>
      </c>
      <c r="I64" s="26">
        <f>(SUMPRODUCT(('Modell Erzeugung'!$C$2:$C$35='Abgleich Generation'!$A64)*('Modell Erzeugung'!$D$1:$AZ$1='Abgleich Generation'!I$40)*'Modell Erzeugung'!$D$2:$AZ$35)+SUMPRODUCT(('Modell Erzeugung'!$C$2:$C$35='Abgleich Generation'!$A64)*('Modell Erzeugung'!$D$1:$AZ$1='Abgleich Generation'!I$39)*'Modell Erzeugung'!$D$2:$AZ$35)+SUMPRODUCT(('Modell Erzeugung'!$C$2:$C$35='Abgleich Generation'!$A64)*('Modell Erzeugung'!$D$1:$AZ$1='Abgleich Generation'!I$38)*'Modell Erzeugung'!$D$2:$AZ$35))/1000000</f>
        <v>0</v>
      </c>
      <c r="J64" s="26">
        <f>(SUMPRODUCT(('Modell Erzeugung'!$C$2:$C$35='Abgleich Generation'!$A64)*('Modell Erzeugung'!$D$1:$AZ$1='Abgleich Generation'!J$40)*'Modell Erzeugung'!$D$2:$AZ$35)+SUMPRODUCT(('Modell Erzeugung'!$C$2:$C$35='Abgleich Generation'!$A64)*('Modell Erzeugung'!$D$1:$AZ$1='Abgleich Generation'!J$39)*'Modell Erzeugung'!$D$2:$AZ$35)+SUMPRODUCT(('Modell Erzeugung'!$C$2:$C$35='Abgleich Generation'!$A64)*('Modell Erzeugung'!$D$1:$AZ$1='Abgleich Generation'!J$38)*'Modell Erzeugung'!$D$2:$AZ$35))/1000000</f>
        <v>0</v>
      </c>
      <c r="K64" s="27">
        <f t="shared" si="58"/>
        <v>20.712124457768997</v>
      </c>
      <c r="L64" s="26">
        <f>(SUMPRODUCT(('Modell Erzeugung'!$C$2:$C$35='Abgleich Generation'!$A64)*('Modell Erzeugung'!$D$1:$AZ$1='Abgleich Generation'!L$40)*'Modell Erzeugung'!$D$2:$AZ$35)+SUMPRODUCT(('Modell Erzeugung'!$C$2:$C$35='Abgleich Generation'!$A64)*('Modell Erzeugung'!$D$1:$AZ$1='Abgleich Generation'!L$39)*'Modell Erzeugung'!$D$2:$AZ$35)+SUMPRODUCT(('Modell Erzeugung'!$C$2:$C$35='Abgleich Generation'!$A64)*('Modell Erzeugung'!$D$1:$AZ$1='Abgleich Generation'!L$38)*'Modell Erzeugung'!$D$2:$AZ$35))/1000000</f>
        <v>0.177513959999998</v>
      </c>
      <c r="M64" s="26">
        <f>(SUMPRODUCT(('Modell Erzeugung'!$C$2:$C$35='Abgleich Generation'!$A64)*('Modell Erzeugung'!$D$1:$AZ$1='Abgleich Generation'!M$40)*'Modell Erzeugung'!$D$2:$AZ$35)+SUMPRODUCT(('Modell Erzeugung'!$C$2:$C$35='Abgleich Generation'!$A64)*('Modell Erzeugung'!$D$1:$AZ$1='Abgleich Generation'!M$39)*'Modell Erzeugung'!$D$2:$AZ$35)+SUMPRODUCT(('Modell Erzeugung'!$C$2:$C$35='Abgleich Generation'!$A64)*('Modell Erzeugung'!$D$1:$AZ$1='Abgleich Generation'!M$38)*'Modell Erzeugung'!$D$2:$AZ$35))/1000000</f>
        <v>0</v>
      </c>
      <c r="N64" s="26">
        <f>(SUMPRODUCT(('Modell Erzeugung'!$C$2:$C$35='Abgleich Generation'!$A64)*('Modell Erzeugung'!$D$1:$AZ$1='Abgleich Generation'!N$40)*'Modell Erzeugung'!$D$2:$AZ$35)+SUMPRODUCT(('Modell Erzeugung'!$C$2:$C$35='Abgleich Generation'!$A64)*('Modell Erzeugung'!$D$1:$AZ$1='Abgleich Generation'!N$39)*'Modell Erzeugung'!$D$2:$AZ$35)+SUMPRODUCT(('Modell Erzeugung'!$C$2:$C$35='Abgleich Generation'!$A64)*('Modell Erzeugung'!$D$1:$AZ$1='Abgleich Generation'!N$38)*'Modell Erzeugung'!$D$2:$AZ$35))/1000000</f>
        <v>5.0564292837140004</v>
      </c>
      <c r="O64" s="26">
        <f>(SUMPRODUCT(('Modell Erzeugung'!$C$2:$C$35='Abgleich Generation'!$A64)*('Modell Erzeugung'!$D$1:$AZ$1='Abgleich Generation'!O$40)*'Modell Erzeugung'!$D$2:$AZ$35)+SUMPRODUCT(('Modell Erzeugung'!$C$2:$C$35='Abgleich Generation'!$A64)*('Modell Erzeugung'!$D$1:$AZ$1='Abgleich Generation'!O$39)*'Modell Erzeugung'!$D$2:$AZ$35)+SUMPRODUCT(('Modell Erzeugung'!$C$2:$C$35='Abgleich Generation'!$A64)*('Modell Erzeugung'!$D$1:$AZ$1='Abgleich Generation'!O$38)*'Modell Erzeugung'!$D$2:$AZ$35))/1000000</f>
        <v>7.9452153575809996</v>
      </c>
      <c r="P64" s="26">
        <f>(SUMPRODUCT(('Modell Erzeugung'!$C$2:$C$35='Abgleich Generation'!$A64)*('Modell Erzeugung'!$D$1:$AZ$1='Abgleich Generation'!P$40)*'Modell Erzeugung'!$D$2:$AZ$35)+SUMPRODUCT(('Modell Erzeugung'!$C$2:$C$35='Abgleich Generation'!$A64)*('Modell Erzeugung'!$D$1:$AZ$1='Abgleich Generation'!P$39)*'Modell Erzeugung'!$D$2:$AZ$35)+SUMPRODUCT(('Modell Erzeugung'!$C$2:$C$35='Abgleich Generation'!$A64)*('Modell Erzeugung'!$D$1:$AZ$1='Abgleich Generation'!P$38)*'Modell Erzeugung'!$D$2:$AZ$35))/1000000</f>
        <v>1.9119658564740001</v>
      </c>
      <c r="Q64" s="26">
        <f>(SUMPRODUCT(('Modell Erzeugung'!$C$2:$C$35='Abgleich Generation'!$A64)*('Modell Erzeugung'!$D$1:$AZ$1='Abgleich Generation'!Q$40)*'Modell Erzeugung'!$D$2:$AZ$35)+SUMPRODUCT(('Modell Erzeugung'!$C$2:$C$35='Abgleich Generation'!$A64)*('Modell Erzeugung'!$D$1:$AZ$1='Abgleich Generation'!Q$39)*'Modell Erzeugung'!$D$2:$AZ$35)+SUMPRODUCT(('Modell Erzeugung'!$C$2:$C$35='Abgleich Generation'!$A64)*('Modell Erzeugung'!$D$1:$AZ$1='Abgleich Generation'!Q$38)*'Modell Erzeugung'!$D$2:$AZ$35))/1000000</f>
        <v>0</v>
      </c>
      <c r="R64" s="26">
        <f>(SUMPRODUCT(('Modell Erzeugung'!$C$2:$C$35='Abgleich Generation'!$A64)*('Modell Erzeugung'!$D$1:$AZ$1='Abgleich Generation'!R$40)*'Modell Erzeugung'!$D$2:$AZ$35)+SUMPRODUCT(('Modell Erzeugung'!$C$2:$C$35='Abgleich Generation'!$A64)*('Modell Erzeugung'!$D$1:$AZ$1='Abgleich Generation'!R$39)*'Modell Erzeugung'!$D$2:$AZ$35)+SUMPRODUCT(('Modell Erzeugung'!$C$2:$C$35='Abgleich Generation'!$A64)*('Modell Erzeugung'!$D$1:$AZ$1='Abgleich Generation'!R$38)*'Modell Erzeugung'!$D$2:$AZ$35))/1000000</f>
        <v>5.6210000000000004</v>
      </c>
      <c r="S64" s="26">
        <f>(SUMPRODUCT(('Modell Erzeugung'!$C$2:$C$35='Abgleich Generation'!$A64)*('Modell Erzeugung'!$D$1:$AZ$1='Abgleich Generation'!S$40)*'Modell Erzeugung'!$D$2:$AZ$35)+SUMPRODUCT(('Modell Erzeugung'!$C$2:$C$35='Abgleich Generation'!$A64)*('Modell Erzeugung'!$D$1:$AZ$1='Abgleich Generation'!S$39)*'Modell Erzeugung'!$D$2:$AZ$35)+SUMPRODUCT(('Modell Erzeugung'!$C$2:$C$35='Abgleich Generation'!$A64)*('Modell Erzeugung'!$D$1:$AZ$1='Abgleich Generation'!S$38)*'Modell Erzeugung'!$D$2:$AZ$35))/1000000</f>
        <v>0</v>
      </c>
      <c r="T64" s="26">
        <f>(SUMPRODUCT(('Modell Erzeugung'!$C$2:$C$35='Abgleich Generation'!$A64)*('Modell Erzeugung'!$D$1:$AZ$1='Abgleich Generation'!T$40)*'Modell Erzeugung'!$D$2:$AZ$35)+SUMPRODUCT(('Modell Erzeugung'!$C$2:$C$35='Abgleich Generation'!$A64)*('Modell Erzeugung'!$D$1:$AZ$1='Abgleich Generation'!T$39)*'Modell Erzeugung'!$D$2:$AZ$35)+SUMPRODUCT(('Modell Erzeugung'!$C$2:$C$35='Abgleich Generation'!$A64)*('Modell Erzeugung'!$D$1:$AZ$1='Abgleich Generation'!T$38)*'Modell Erzeugung'!$D$2:$AZ$35))/1000000</f>
        <v>0</v>
      </c>
      <c r="U64" s="26">
        <f>(SUMPRODUCT(('Modell Erzeugung'!$C$2:$C$35='Abgleich Generation'!$A64)*('Modell Erzeugung'!$D$1:$AZ$1='Abgleich Generation'!U$40)*'Modell Erzeugung'!$D$2:$AZ$35)+SUMPRODUCT(('Modell Erzeugung'!$C$2:$C$35='Abgleich Generation'!$A64)*('Modell Erzeugung'!$D$1:$AZ$1='Abgleich Generation'!U$39)*'Modell Erzeugung'!$D$2:$AZ$35)+SUMPRODUCT(('Modell Erzeugung'!$C$2:$C$35='Abgleich Generation'!$A64)*('Modell Erzeugung'!$D$1:$AZ$1='Abgleich Generation'!U$38)*'Modell Erzeugung'!$D$2:$AZ$35))/1000000</f>
        <v>0</v>
      </c>
      <c r="V64" s="27">
        <f t="shared" si="59"/>
        <v>104.26789358223499</v>
      </c>
      <c r="W64" s="28"/>
      <c r="X64" s="29">
        <f t="shared" si="55"/>
        <v>116.65871900095199</v>
      </c>
      <c r="Y64" s="29">
        <f>(SUMPRODUCT(('Modell Erzeugung'!$C$2:$C$35='Abgleich Generation'!$A64)*('Modell Erzeugung'!$D$1:$AZ$1='Abgleich Generation'!Y$40)*'Modell Erzeugung'!$D$2:$AZ$35)+SUMPRODUCT(('Modell Erzeugung'!$C$2:$C$35='Abgleich Generation'!$A64)*('Modell Erzeugung'!$D$1:$AZ$1='Abgleich Generation'!Y$39)*'Modell Erzeugung'!$D$2:$AZ$35))/1000000</f>
        <v>12.390825418717</v>
      </c>
    </row>
    <row r="65" spans="1:27" x14ac:dyDescent="0.25">
      <c r="A65" s="14" t="s">
        <v>32</v>
      </c>
      <c r="B65" s="57">
        <f t="shared" si="53"/>
        <v>2.0069842450939981</v>
      </c>
      <c r="C65" s="58">
        <f>(SUMPRODUCT(('Modell Erzeugung'!$C$2:$C$35='Abgleich Generation'!$A65)*('Modell Erzeugung'!$D$1:$AZ$1='Abgleich Generation'!C$40)*'Modell Erzeugung'!$D$2:$AZ$35)+SUMPRODUCT(('Modell Erzeugung'!$C$2:$C$35='Abgleich Generation'!$A65)*('Modell Erzeugung'!$D$1:$AZ$1='Abgleich Generation'!C$39)*'Modell Erzeugung'!$D$2:$AZ$35)+SUMPRODUCT(('Modell Erzeugung'!$C$2:$C$35='Abgleich Generation'!$A65)*('Modell Erzeugung'!$D$1:$AZ$1='Abgleich Generation'!C$38)*'Modell Erzeugung'!$D$2:$AZ$35))/1000000</f>
        <v>0</v>
      </c>
      <c r="D65" s="58">
        <f t="shared" si="54"/>
        <v>2.0069842450939981</v>
      </c>
      <c r="E65" s="58">
        <f>(SUMPRODUCT(('Modell Erzeugung'!$C$2:$C$35='Abgleich Generation'!$A65)*('Modell Erzeugung'!$D$1:$AZ$1='Abgleich Generation'!E$40)*'Modell Erzeugung'!$D$2:$AZ$35)+SUMPRODUCT(('Modell Erzeugung'!$C$2:$C$35='Abgleich Generation'!$A65)*('Modell Erzeugung'!$D$1:$AZ$1='Abgleich Generation'!E$39)*'Modell Erzeugung'!$D$2:$AZ$35)+SUMPRODUCT(('Modell Erzeugung'!$C$2:$C$35='Abgleich Generation'!$A65)*('Modell Erzeugung'!$D$1:$AZ$1='Abgleich Generation'!E$38)*'Modell Erzeugung'!$D$2:$AZ$35))/1000000</f>
        <v>0</v>
      </c>
      <c r="F65" s="58">
        <f>(SUMPRODUCT(('Modell Erzeugung'!$C$2:$C$35='Abgleich Generation'!$A65)*('Modell Erzeugung'!$D$1:$AZ$1='Abgleich Generation'!F$40)*'Modell Erzeugung'!$D$2:$AZ$35)+SUMPRODUCT(('Modell Erzeugung'!$C$2:$C$35='Abgleich Generation'!$A65)*('Modell Erzeugung'!$D$1:$AZ$1='Abgleich Generation'!F$39)*'Modell Erzeugung'!$D$2:$AZ$35)+SUMPRODUCT(('Modell Erzeugung'!$C$2:$C$35='Abgleich Generation'!$A65)*('Modell Erzeugung'!$D$1:$AZ$1='Abgleich Generation'!F$38)*'Modell Erzeugung'!$D$2:$AZ$35))/1000000</f>
        <v>1.343890148884997</v>
      </c>
      <c r="G65" s="58">
        <f>(SUMPRODUCT(('Modell Erzeugung'!$C$2:$C$35='Abgleich Generation'!$A65)*('Modell Erzeugung'!$D$1:$AZ$1='Abgleich Generation'!G$40)*'Modell Erzeugung'!$D$2:$AZ$35)+SUMPRODUCT(('Modell Erzeugung'!$C$2:$C$35='Abgleich Generation'!$A65)*('Modell Erzeugung'!$D$1:$AZ$1='Abgleich Generation'!G$39)*'Modell Erzeugung'!$D$2:$AZ$35)+SUMPRODUCT(('Modell Erzeugung'!$C$2:$C$35='Abgleich Generation'!$A65)*('Modell Erzeugung'!$D$1:$AZ$1='Abgleich Generation'!G$38)*'Modell Erzeugung'!$D$2:$AZ$35))/1000000</f>
        <v>0.66309409620900106</v>
      </c>
      <c r="H65" s="58">
        <f>(SUMPRODUCT(('Modell Erzeugung'!$C$2:$C$35='Abgleich Generation'!$A65)*('Modell Erzeugung'!$D$1:$AZ$1='Abgleich Generation'!H$40)*'Modell Erzeugung'!$D$2:$AZ$35)+SUMPRODUCT(('Modell Erzeugung'!$C$2:$C$35='Abgleich Generation'!$A65)*('Modell Erzeugung'!$D$1:$AZ$1='Abgleich Generation'!H$39)*'Modell Erzeugung'!$D$2:$AZ$35)+SUMPRODUCT(('Modell Erzeugung'!$C$2:$C$35='Abgleich Generation'!$A65)*('Modell Erzeugung'!$D$1:$AZ$1='Abgleich Generation'!H$38)*'Modell Erzeugung'!$D$2:$AZ$35))/1000000</f>
        <v>0</v>
      </c>
      <c r="I65" s="58">
        <f>(SUMPRODUCT(('Modell Erzeugung'!$C$2:$C$35='Abgleich Generation'!$A65)*('Modell Erzeugung'!$D$1:$AZ$1='Abgleich Generation'!I$40)*'Modell Erzeugung'!$D$2:$AZ$35)+SUMPRODUCT(('Modell Erzeugung'!$C$2:$C$35='Abgleich Generation'!$A65)*('Modell Erzeugung'!$D$1:$AZ$1='Abgleich Generation'!I$39)*'Modell Erzeugung'!$D$2:$AZ$35)+SUMPRODUCT(('Modell Erzeugung'!$C$2:$C$35='Abgleich Generation'!$A65)*('Modell Erzeugung'!$D$1:$AZ$1='Abgleich Generation'!I$38)*'Modell Erzeugung'!$D$2:$AZ$35))/1000000</f>
        <v>0</v>
      </c>
      <c r="J65" s="58">
        <f>(SUMPRODUCT(('Modell Erzeugung'!$C$2:$C$35='Abgleich Generation'!$A65)*('Modell Erzeugung'!$D$1:$AZ$1='Abgleich Generation'!J$40)*'Modell Erzeugung'!$D$2:$AZ$35)+SUMPRODUCT(('Modell Erzeugung'!$C$2:$C$35='Abgleich Generation'!$A65)*('Modell Erzeugung'!$D$1:$AZ$1='Abgleich Generation'!J$39)*'Modell Erzeugung'!$D$2:$AZ$35)+SUMPRODUCT(('Modell Erzeugung'!$C$2:$C$35='Abgleich Generation'!$A65)*('Modell Erzeugung'!$D$1:$AZ$1='Abgleich Generation'!J$38)*'Modell Erzeugung'!$D$2:$AZ$35))/1000000</f>
        <v>0</v>
      </c>
      <c r="K65" s="59">
        <f t="shared" si="58"/>
        <v>143.01862062646401</v>
      </c>
      <c r="L65" s="58">
        <f>(SUMPRODUCT(('Modell Erzeugung'!$C$2:$C$35='Abgleich Generation'!$A65)*('Modell Erzeugung'!$D$1:$AZ$1='Abgleich Generation'!L$40)*'Modell Erzeugung'!$D$2:$AZ$35)+SUMPRODUCT(('Modell Erzeugung'!$C$2:$C$35='Abgleich Generation'!$A65)*('Modell Erzeugung'!$D$1:$AZ$1='Abgleich Generation'!L$39)*'Modell Erzeugung'!$D$2:$AZ$35)+SUMPRODUCT(('Modell Erzeugung'!$C$2:$C$35='Abgleich Generation'!$A65)*('Modell Erzeugung'!$D$1:$AZ$1='Abgleich Generation'!L$38)*'Modell Erzeugung'!$D$2:$AZ$35))/1000000</f>
        <v>137.410231196724</v>
      </c>
      <c r="M65" s="58">
        <f>(SUMPRODUCT(('Modell Erzeugung'!$C$2:$C$35='Abgleich Generation'!$A65)*('Modell Erzeugung'!$D$1:$AZ$1='Abgleich Generation'!M$40)*'Modell Erzeugung'!$D$2:$AZ$35)+SUMPRODUCT(('Modell Erzeugung'!$C$2:$C$35='Abgleich Generation'!$A65)*('Modell Erzeugung'!$D$1:$AZ$1='Abgleich Generation'!M$39)*'Modell Erzeugung'!$D$2:$AZ$35)+SUMPRODUCT(('Modell Erzeugung'!$C$2:$C$35='Abgleich Generation'!$A65)*('Modell Erzeugung'!$D$1:$AZ$1='Abgleich Generation'!M$38)*'Modell Erzeugung'!$D$2:$AZ$35))/1000000</f>
        <v>0</v>
      </c>
      <c r="N65" s="58">
        <f>(SUMPRODUCT(('Modell Erzeugung'!$C$2:$C$35='Abgleich Generation'!$A65)*('Modell Erzeugung'!$D$1:$AZ$1='Abgleich Generation'!N$40)*'Modell Erzeugung'!$D$2:$AZ$35)+SUMPRODUCT(('Modell Erzeugung'!$C$2:$C$35='Abgleich Generation'!$A65)*('Modell Erzeugung'!$D$1:$AZ$1='Abgleich Generation'!N$39)*'Modell Erzeugung'!$D$2:$AZ$35)+SUMPRODUCT(('Modell Erzeugung'!$C$2:$C$35='Abgleich Generation'!$A65)*('Modell Erzeugung'!$D$1:$AZ$1='Abgleich Generation'!N$38)*'Modell Erzeugung'!$D$2:$AZ$35))/1000000</f>
        <v>0</v>
      </c>
      <c r="O65" s="58">
        <f>(SUMPRODUCT(('Modell Erzeugung'!$C$2:$C$35='Abgleich Generation'!$A65)*('Modell Erzeugung'!$D$1:$AZ$1='Abgleich Generation'!O$40)*'Modell Erzeugung'!$D$2:$AZ$35)+SUMPRODUCT(('Modell Erzeugung'!$C$2:$C$35='Abgleich Generation'!$A65)*('Modell Erzeugung'!$D$1:$AZ$1='Abgleich Generation'!O$39)*'Modell Erzeugung'!$D$2:$AZ$35)+SUMPRODUCT(('Modell Erzeugung'!$C$2:$C$35='Abgleich Generation'!$A65)*('Modell Erzeugung'!$D$1:$AZ$1='Abgleich Generation'!O$38)*'Modell Erzeugung'!$D$2:$AZ$35))/1000000</f>
        <v>4.4020168956549997</v>
      </c>
      <c r="P65" s="58">
        <f>(SUMPRODUCT(('Modell Erzeugung'!$C$2:$C$35='Abgleich Generation'!$A65)*('Modell Erzeugung'!$D$1:$AZ$1='Abgleich Generation'!P$40)*'Modell Erzeugung'!$D$2:$AZ$35)+SUMPRODUCT(('Modell Erzeugung'!$C$2:$C$35='Abgleich Generation'!$A65)*('Modell Erzeugung'!$D$1:$AZ$1='Abgleich Generation'!P$39)*'Modell Erzeugung'!$D$2:$AZ$35)+SUMPRODUCT(('Modell Erzeugung'!$C$2:$C$35='Abgleich Generation'!$A65)*('Modell Erzeugung'!$D$1:$AZ$1='Abgleich Generation'!P$38)*'Modell Erzeugung'!$D$2:$AZ$35))/1000000</f>
        <v>1.25176885E-4</v>
      </c>
      <c r="Q65" s="58">
        <f>(SUMPRODUCT(('Modell Erzeugung'!$C$2:$C$35='Abgleich Generation'!$A65)*('Modell Erzeugung'!$D$1:$AZ$1='Abgleich Generation'!Q$40)*'Modell Erzeugung'!$D$2:$AZ$35)+SUMPRODUCT(('Modell Erzeugung'!$C$2:$C$35='Abgleich Generation'!$A65)*('Modell Erzeugung'!$D$1:$AZ$1='Abgleich Generation'!Q$39)*'Modell Erzeugung'!$D$2:$AZ$35)+SUMPRODUCT(('Modell Erzeugung'!$C$2:$C$35='Abgleich Generation'!$A65)*('Modell Erzeugung'!$D$1:$AZ$1='Abgleich Generation'!Q$38)*'Modell Erzeugung'!$D$2:$AZ$35))/1000000</f>
        <v>0</v>
      </c>
      <c r="R65" s="58">
        <f>(SUMPRODUCT(('Modell Erzeugung'!$C$2:$C$35='Abgleich Generation'!$A65)*('Modell Erzeugung'!$D$1:$AZ$1='Abgleich Generation'!R$40)*'Modell Erzeugung'!$D$2:$AZ$35)+SUMPRODUCT(('Modell Erzeugung'!$C$2:$C$35='Abgleich Generation'!$A65)*('Modell Erzeugung'!$D$1:$AZ$1='Abgleich Generation'!R$39)*'Modell Erzeugung'!$D$2:$AZ$35)+SUMPRODUCT(('Modell Erzeugung'!$C$2:$C$35='Abgleich Generation'!$A65)*('Modell Erzeugung'!$D$1:$AZ$1='Abgleich Generation'!R$38)*'Modell Erzeugung'!$D$2:$AZ$35))/1000000</f>
        <v>1.2062473571999999</v>
      </c>
      <c r="S65" s="58">
        <f>(SUMPRODUCT(('Modell Erzeugung'!$C$2:$C$35='Abgleich Generation'!$A65)*('Modell Erzeugung'!$D$1:$AZ$1='Abgleich Generation'!S$40)*'Modell Erzeugung'!$D$2:$AZ$35)+SUMPRODUCT(('Modell Erzeugung'!$C$2:$C$35='Abgleich Generation'!$A65)*('Modell Erzeugung'!$D$1:$AZ$1='Abgleich Generation'!S$39)*'Modell Erzeugung'!$D$2:$AZ$35)+SUMPRODUCT(('Modell Erzeugung'!$C$2:$C$35='Abgleich Generation'!$A65)*('Modell Erzeugung'!$D$1:$AZ$1='Abgleich Generation'!S$38)*'Modell Erzeugung'!$D$2:$AZ$35))/1000000</f>
        <v>0</v>
      </c>
      <c r="T65" s="58">
        <f>(SUMPRODUCT(('Modell Erzeugung'!$C$2:$C$35='Abgleich Generation'!$A65)*('Modell Erzeugung'!$D$1:$AZ$1='Abgleich Generation'!T$40)*'Modell Erzeugung'!$D$2:$AZ$35)+SUMPRODUCT(('Modell Erzeugung'!$C$2:$C$35='Abgleich Generation'!$A65)*('Modell Erzeugung'!$D$1:$AZ$1='Abgleich Generation'!T$39)*'Modell Erzeugung'!$D$2:$AZ$35)+SUMPRODUCT(('Modell Erzeugung'!$C$2:$C$35='Abgleich Generation'!$A65)*('Modell Erzeugung'!$D$1:$AZ$1='Abgleich Generation'!T$38)*'Modell Erzeugung'!$D$2:$AZ$35))/1000000</f>
        <v>0</v>
      </c>
      <c r="U65" s="58">
        <f>(SUMPRODUCT(('Modell Erzeugung'!$C$2:$C$35='Abgleich Generation'!$A65)*('Modell Erzeugung'!$D$1:$AZ$1='Abgleich Generation'!U$40)*'Modell Erzeugung'!$D$2:$AZ$35)+SUMPRODUCT(('Modell Erzeugung'!$C$2:$C$35='Abgleich Generation'!$A65)*('Modell Erzeugung'!$D$1:$AZ$1='Abgleich Generation'!U$39)*'Modell Erzeugung'!$D$2:$AZ$35)+SUMPRODUCT(('Modell Erzeugung'!$C$2:$C$35='Abgleich Generation'!$A65)*('Modell Erzeugung'!$D$1:$AZ$1='Abgleich Generation'!U$38)*'Modell Erzeugung'!$D$2:$AZ$35))/1000000</f>
        <v>0</v>
      </c>
      <c r="V65" s="59">
        <f t="shared" si="59"/>
        <v>145.02560487155802</v>
      </c>
      <c r="W65" s="60"/>
      <c r="X65" s="61">
        <f t="shared" si="55"/>
        <v>131.56806590994802</v>
      </c>
      <c r="Y65" s="61">
        <f>(SUMPRODUCT(('Modell Erzeugung'!$C$2:$C$35='Abgleich Generation'!$A65)*('Modell Erzeugung'!$D$1:$AZ$1='Abgleich Generation'!Y$40)*'Modell Erzeugung'!$D$2:$AZ$35)+SUMPRODUCT(('Modell Erzeugung'!$C$2:$C$35='Abgleich Generation'!$A65)*('Modell Erzeugung'!$D$1:$AZ$1='Abgleich Generation'!Y$39)*'Modell Erzeugung'!$D$2:$AZ$35))/1000000</f>
        <v>-13.45753896161</v>
      </c>
    </row>
    <row r="66" spans="1:27" x14ac:dyDescent="0.25">
      <c r="A66" s="14" t="s">
        <v>33</v>
      </c>
      <c r="B66" s="25">
        <f t="shared" si="53"/>
        <v>118.89263602995788</v>
      </c>
      <c r="C66" s="26">
        <f>(SUMPRODUCT(('Modell Erzeugung'!$C$2:$C$35='Abgleich Generation'!$A66)*('Modell Erzeugung'!$D$1:$AZ$1='Abgleich Generation'!C$40)*'Modell Erzeugung'!$D$2:$AZ$35)+SUMPRODUCT(('Modell Erzeugung'!$C$2:$C$35='Abgleich Generation'!$A66)*('Modell Erzeugung'!$D$1:$AZ$1='Abgleich Generation'!C$39)*'Modell Erzeugung'!$D$2:$AZ$35)+SUMPRODUCT(('Modell Erzeugung'!$C$2:$C$35='Abgleich Generation'!$A66)*('Modell Erzeugung'!$D$1:$AZ$1='Abgleich Generation'!C$38)*'Modell Erzeugung'!$D$2:$AZ$35))/1000000</f>
        <v>0</v>
      </c>
      <c r="D66" s="26">
        <f t="shared" si="54"/>
        <v>118.89263602995788</v>
      </c>
      <c r="E66" s="26">
        <f>(SUMPRODUCT(('Modell Erzeugung'!$C$2:$C$35='Abgleich Generation'!$A66)*('Modell Erzeugung'!$D$1:$AZ$1='Abgleich Generation'!E$40)*'Modell Erzeugung'!$D$2:$AZ$35)+SUMPRODUCT(('Modell Erzeugung'!$C$2:$C$35='Abgleich Generation'!$A66)*('Modell Erzeugung'!$D$1:$AZ$1='Abgleich Generation'!E$39)*'Modell Erzeugung'!$D$2:$AZ$35)+SUMPRODUCT(('Modell Erzeugung'!$C$2:$C$35='Abgleich Generation'!$A66)*('Modell Erzeugung'!$D$1:$AZ$1='Abgleich Generation'!E$38)*'Modell Erzeugung'!$D$2:$AZ$35))/1000000</f>
        <v>47.705632599740902</v>
      </c>
      <c r="F66" s="26">
        <f>(SUMPRODUCT(('Modell Erzeugung'!$C$2:$C$35='Abgleich Generation'!$A66)*('Modell Erzeugung'!$D$1:$AZ$1='Abgleich Generation'!F$40)*'Modell Erzeugung'!$D$2:$AZ$35)+SUMPRODUCT(('Modell Erzeugung'!$C$2:$C$35='Abgleich Generation'!$A66)*('Modell Erzeugung'!$D$1:$AZ$1='Abgleich Generation'!F$39)*'Modell Erzeugung'!$D$2:$AZ$35)+SUMPRODUCT(('Modell Erzeugung'!$C$2:$C$35='Abgleich Generation'!$A66)*('Modell Erzeugung'!$D$1:$AZ$1='Abgleich Generation'!F$38)*'Modell Erzeugung'!$D$2:$AZ$35))/1000000</f>
        <v>7.7556358904689908</v>
      </c>
      <c r="G66" s="26">
        <f>(SUMPRODUCT(('Modell Erzeugung'!$C$2:$C$35='Abgleich Generation'!$A66)*('Modell Erzeugung'!$D$1:$AZ$1='Abgleich Generation'!G$40)*'Modell Erzeugung'!$D$2:$AZ$35)+SUMPRODUCT(('Modell Erzeugung'!$C$2:$C$35='Abgleich Generation'!$A66)*('Modell Erzeugung'!$D$1:$AZ$1='Abgleich Generation'!G$39)*'Modell Erzeugung'!$D$2:$AZ$35)+SUMPRODUCT(('Modell Erzeugung'!$C$2:$C$35='Abgleich Generation'!$A66)*('Modell Erzeugung'!$D$1:$AZ$1='Abgleich Generation'!G$38)*'Modell Erzeugung'!$D$2:$AZ$35))/1000000</f>
        <v>63.431367539747995</v>
      </c>
      <c r="H66" s="26">
        <f>(SUMPRODUCT(('Modell Erzeugung'!$C$2:$C$35='Abgleich Generation'!$A66)*('Modell Erzeugung'!$D$1:$AZ$1='Abgleich Generation'!H$40)*'Modell Erzeugung'!$D$2:$AZ$35)+SUMPRODUCT(('Modell Erzeugung'!$C$2:$C$35='Abgleich Generation'!$A66)*('Modell Erzeugung'!$D$1:$AZ$1='Abgleich Generation'!H$39)*'Modell Erzeugung'!$D$2:$AZ$35)+SUMPRODUCT(('Modell Erzeugung'!$C$2:$C$35='Abgleich Generation'!$A66)*('Modell Erzeugung'!$D$1:$AZ$1='Abgleich Generation'!H$38)*'Modell Erzeugung'!$D$2:$AZ$35))/1000000</f>
        <v>0</v>
      </c>
      <c r="I66" s="26">
        <f>(SUMPRODUCT(('Modell Erzeugung'!$C$2:$C$35='Abgleich Generation'!$A66)*('Modell Erzeugung'!$D$1:$AZ$1='Abgleich Generation'!I$40)*'Modell Erzeugung'!$D$2:$AZ$35)+SUMPRODUCT(('Modell Erzeugung'!$C$2:$C$35='Abgleich Generation'!$A66)*('Modell Erzeugung'!$D$1:$AZ$1='Abgleich Generation'!I$39)*'Modell Erzeugung'!$D$2:$AZ$35)+SUMPRODUCT(('Modell Erzeugung'!$C$2:$C$35='Abgleich Generation'!$A66)*('Modell Erzeugung'!$D$1:$AZ$1='Abgleich Generation'!I$38)*'Modell Erzeugung'!$D$2:$AZ$35))/1000000</f>
        <v>0</v>
      </c>
      <c r="J66" s="26">
        <f>(SUMPRODUCT(('Modell Erzeugung'!$C$2:$C$35='Abgleich Generation'!$A66)*('Modell Erzeugung'!$D$1:$AZ$1='Abgleich Generation'!J$40)*'Modell Erzeugung'!$D$2:$AZ$35)+SUMPRODUCT(('Modell Erzeugung'!$C$2:$C$35='Abgleich Generation'!$A66)*('Modell Erzeugung'!$D$1:$AZ$1='Abgleich Generation'!J$39)*'Modell Erzeugung'!$D$2:$AZ$35)+SUMPRODUCT(('Modell Erzeugung'!$C$2:$C$35='Abgleich Generation'!$A66)*('Modell Erzeugung'!$D$1:$AZ$1='Abgleich Generation'!J$38)*'Modell Erzeugung'!$D$2:$AZ$35))/1000000</f>
        <v>0</v>
      </c>
      <c r="K66" s="27">
        <f t="shared" si="58"/>
        <v>22.96861568699298</v>
      </c>
      <c r="L66" s="26">
        <f>(SUMPRODUCT(('Modell Erzeugung'!$C$2:$C$35='Abgleich Generation'!$A66)*('Modell Erzeugung'!$D$1:$AZ$1='Abgleich Generation'!L$40)*'Modell Erzeugung'!$D$2:$AZ$35)+SUMPRODUCT(('Modell Erzeugung'!$C$2:$C$35='Abgleich Generation'!$A66)*('Modell Erzeugung'!$D$1:$AZ$1='Abgleich Generation'!L$39)*'Modell Erzeugung'!$D$2:$AZ$35)+SUMPRODUCT(('Modell Erzeugung'!$C$2:$C$35='Abgleich Generation'!$A66)*('Modell Erzeugung'!$D$1:$AZ$1='Abgleich Generation'!L$38)*'Modell Erzeugung'!$D$2:$AZ$35))/1000000</f>
        <v>2.6161360967550102</v>
      </c>
      <c r="M66" s="26">
        <f>(SUMPRODUCT(('Modell Erzeugung'!$C$2:$C$35='Abgleich Generation'!$A66)*('Modell Erzeugung'!$D$1:$AZ$1='Abgleich Generation'!M$40)*'Modell Erzeugung'!$D$2:$AZ$35)+SUMPRODUCT(('Modell Erzeugung'!$C$2:$C$35='Abgleich Generation'!$A66)*('Modell Erzeugung'!$D$1:$AZ$1='Abgleich Generation'!M$39)*'Modell Erzeugung'!$D$2:$AZ$35)+SUMPRODUCT(('Modell Erzeugung'!$C$2:$C$35='Abgleich Generation'!$A66)*('Modell Erzeugung'!$D$1:$AZ$1='Abgleich Generation'!M$38)*'Modell Erzeugung'!$D$2:$AZ$35))/1000000</f>
        <v>0</v>
      </c>
      <c r="N66" s="26">
        <f>(SUMPRODUCT(('Modell Erzeugung'!$C$2:$C$35='Abgleich Generation'!$A66)*('Modell Erzeugung'!$D$1:$AZ$1='Abgleich Generation'!N$40)*'Modell Erzeugung'!$D$2:$AZ$35)+SUMPRODUCT(('Modell Erzeugung'!$C$2:$C$35='Abgleich Generation'!$A66)*('Modell Erzeugung'!$D$1:$AZ$1='Abgleich Generation'!N$39)*'Modell Erzeugung'!$D$2:$AZ$35)+SUMPRODUCT(('Modell Erzeugung'!$C$2:$C$35='Abgleich Generation'!$A66)*('Modell Erzeugung'!$D$1:$AZ$1='Abgleich Generation'!N$38)*'Modell Erzeugung'!$D$2:$AZ$35))/1000000</f>
        <v>0</v>
      </c>
      <c r="O66" s="26">
        <f>(SUMPRODUCT(('Modell Erzeugung'!$C$2:$C$35='Abgleich Generation'!$A66)*('Modell Erzeugung'!$D$1:$AZ$1='Abgleich Generation'!O$40)*'Modell Erzeugung'!$D$2:$AZ$35)+SUMPRODUCT(('Modell Erzeugung'!$C$2:$C$35='Abgleich Generation'!$A66)*('Modell Erzeugung'!$D$1:$AZ$1='Abgleich Generation'!O$39)*'Modell Erzeugung'!$D$2:$AZ$35)+SUMPRODUCT(('Modell Erzeugung'!$C$2:$C$35='Abgleich Generation'!$A66)*('Modell Erzeugung'!$D$1:$AZ$1='Abgleich Generation'!O$38)*'Modell Erzeugung'!$D$2:$AZ$35))/1000000</f>
        <v>13.228154597335999</v>
      </c>
      <c r="P66" s="26">
        <f>(SUMPRODUCT(('Modell Erzeugung'!$C$2:$C$35='Abgleich Generation'!$A66)*('Modell Erzeugung'!$D$1:$AZ$1='Abgleich Generation'!P$40)*'Modell Erzeugung'!$D$2:$AZ$35)+SUMPRODUCT(('Modell Erzeugung'!$C$2:$C$35='Abgleich Generation'!$A66)*('Modell Erzeugung'!$D$1:$AZ$1='Abgleich Generation'!P$39)*'Modell Erzeugung'!$D$2:$AZ$35)+SUMPRODUCT(('Modell Erzeugung'!$C$2:$C$35='Abgleich Generation'!$A66)*('Modell Erzeugung'!$D$1:$AZ$1='Abgleich Generation'!P$38)*'Modell Erzeugung'!$D$2:$AZ$35))/1000000</f>
        <v>0.295049992082</v>
      </c>
      <c r="Q66" s="26">
        <f>(SUMPRODUCT(('Modell Erzeugung'!$C$2:$C$35='Abgleich Generation'!$A66)*('Modell Erzeugung'!$D$1:$AZ$1='Abgleich Generation'!Q$40)*'Modell Erzeugung'!$D$2:$AZ$35)+SUMPRODUCT(('Modell Erzeugung'!$C$2:$C$35='Abgleich Generation'!$A66)*('Modell Erzeugung'!$D$1:$AZ$1='Abgleich Generation'!Q$39)*'Modell Erzeugung'!$D$2:$AZ$35)+SUMPRODUCT(('Modell Erzeugung'!$C$2:$C$35='Abgleich Generation'!$A66)*('Modell Erzeugung'!$D$1:$AZ$1='Abgleich Generation'!Q$38)*'Modell Erzeugung'!$D$2:$AZ$35))/1000000</f>
        <v>0</v>
      </c>
      <c r="R66" s="26">
        <f>(SUMPRODUCT(('Modell Erzeugung'!$C$2:$C$35='Abgleich Generation'!$A66)*('Modell Erzeugung'!$D$1:$AZ$1='Abgleich Generation'!R$40)*'Modell Erzeugung'!$D$2:$AZ$35)+SUMPRODUCT(('Modell Erzeugung'!$C$2:$C$35='Abgleich Generation'!$A66)*('Modell Erzeugung'!$D$1:$AZ$1='Abgleich Generation'!R$39)*'Modell Erzeugung'!$D$2:$AZ$35)+SUMPRODUCT(('Modell Erzeugung'!$C$2:$C$35='Abgleich Generation'!$A66)*('Modell Erzeugung'!$D$1:$AZ$1='Abgleich Generation'!R$38)*'Modell Erzeugung'!$D$2:$AZ$35))/1000000</f>
        <v>5.5053750028899699</v>
      </c>
      <c r="S66" s="26">
        <f>(SUMPRODUCT(('Modell Erzeugung'!$C$2:$C$35='Abgleich Generation'!$A66)*('Modell Erzeugung'!$D$1:$AZ$1='Abgleich Generation'!S$40)*'Modell Erzeugung'!$D$2:$AZ$35)+SUMPRODUCT(('Modell Erzeugung'!$C$2:$C$35='Abgleich Generation'!$A66)*('Modell Erzeugung'!$D$1:$AZ$1='Abgleich Generation'!S$39)*'Modell Erzeugung'!$D$2:$AZ$35)+SUMPRODUCT(('Modell Erzeugung'!$C$2:$C$35='Abgleich Generation'!$A66)*('Modell Erzeugung'!$D$1:$AZ$1='Abgleich Generation'!S$38)*'Modell Erzeugung'!$D$2:$AZ$35))/1000000</f>
        <v>1.3238999979300001</v>
      </c>
      <c r="T66" s="26">
        <f>(SUMPRODUCT(('Modell Erzeugung'!$C$2:$C$35='Abgleich Generation'!$A66)*('Modell Erzeugung'!$D$1:$AZ$1='Abgleich Generation'!T$40)*'Modell Erzeugung'!$D$2:$AZ$35)+SUMPRODUCT(('Modell Erzeugung'!$C$2:$C$35='Abgleich Generation'!$A66)*('Modell Erzeugung'!$D$1:$AZ$1='Abgleich Generation'!T$39)*'Modell Erzeugung'!$D$2:$AZ$35)+SUMPRODUCT(('Modell Erzeugung'!$C$2:$C$35='Abgleich Generation'!$A66)*('Modell Erzeugung'!$D$1:$AZ$1='Abgleich Generation'!T$38)*'Modell Erzeugung'!$D$2:$AZ$35))/1000000</f>
        <v>0</v>
      </c>
      <c r="U66" s="26">
        <f>(SUMPRODUCT(('Modell Erzeugung'!$C$2:$C$35='Abgleich Generation'!$A66)*('Modell Erzeugung'!$D$1:$AZ$1='Abgleich Generation'!U$40)*'Modell Erzeugung'!$D$2:$AZ$35)+SUMPRODUCT(('Modell Erzeugung'!$C$2:$C$35='Abgleich Generation'!$A66)*('Modell Erzeugung'!$D$1:$AZ$1='Abgleich Generation'!U$39)*'Modell Erzeugung'!$D$2:$AZ$35)+SUMPRODUCT(('Modell Erzeugung'!$C$2:$C$35='Abgleich Generation'!$A66)*('Modell Erzeugung'!$D$1:$AZ$1='Abgleich Generation'!U$38)*'Modell Erzeugung'!$D$2:$AZ$35))/1000000</f>
        <v>0</v>
      </c>
      <c r="V66" s="27">
        <f t="shared" si="59"/>
        <v>141.86125171695087</v>
      </c>
      <c r="W66" s="28"/>
      <c r="X66" s="29">
        <f t="shared" si="55"/>
        <v>150.44221339881281</v>
      </c>
      <c r="Y66" s="29">
        <f>(SUMPRODUCT(('Modell Erzeugung'!$C$2:$C$35='Abgleich Generation'!$A66)*('Modell Erzeugung'!$D$1:$AZ$1='Abgleich Generation'!Y$40)*'Modell Erzeugung'!$D$2:$AZ$35)+SUMPRODUCT(('Modell Erzeugung'!$C$2:$C$35='Abgleich Generation'!$A66)*('Modell Erzeugung'!$D$1:$AZ$1='Abgleich Generation'!Y$39)*'Modell Erzeugung'!$D$2:$AZ$35))/1000000</f>
        <v>8.5809616818619414</v>
      </c>
    </row>
    <row r="67" spans="1:27" x14ac:dyDescent="0.25">
      <c r="A67" s="14" t="s">
        <v>34</v>
      </c>
      <c r="B67" s="57">
        <f t="shared" si="53"/>
        <v>39.33653985127193</v>
      </c>
      <c r="C67" s="58">
        <f>(SUMPRODUCT(('Modell Erzeugung'!$C$2:$C$35='Abgleich Generation'!$A67)*('Modell Erzeugung'!$D$1:$AZ$1='Abgleich Generation'!C$40)*'Modell Erzeugung'!$D$2:$AZ$35)+SUMPRODUCT(('Modell Erzeugung'!$C$2:$C$35='Abgleich Generation'!$A67)*('Modell Erzeugung'!$D$1:$AZ$1='Abgleich Generation'!C$39)*'Modell Erzeugung'!$D$2:$AZ$35)+SUMPRODUCT(('Modell Erzeugung'!$C$2:$C$35='Abgleich Generation'!$A67)*('Modell Erzeugung'!$D$1:$AZ$1='Abgleich Generation'!C$38)*'Modell Erzeugung'!$D$2:$AZ$35))/1000000</f>
        <v>0</v>
      </c>
      <c r="D67" s="58">
        <f t="shared" si="54"/>
        <v>39.33653985127193</v>
      </c>
      <c r="E67" s="58">
        <f>(SUMPRODUCT(('Modell Erzeugung'!$C$2:$C$35='Abgleich Generation'!$A67)*('Modell Erzeugung'!$D$1:$AZ$1='Abgleich Generation'!E$40)*'Modell Erzeugung'!$D$2:$AZ$35)+SUMPRODUCT(('Modell Erzeugung'!$C$2:$C$35='Abgleich Generation'!$A67)*('Modell Erzeugung'!$D$1:$AZ$1='Abgleich Generation'!E$39)*'Modell Erzeugung'!$D$2:$AZ$35)+SUMPRODUCT(('Modell Erzeugung'!$C$2:$C$35='Abgleich Generation'!$A67)*('Modell Erzeugung'!$D$1:$AZ$1='Abgleich Generation'!E$38)*'Modell Erzeugung'!$D$2:$AZ$35))/1000000</f>
        <v>0</v>
      </c>
      <c r="F67" s="58">
        <f>(SUMPRODUCT(('Modell Erzeugung'!$C$2:$C$35='Abgleich Generation'!$A67)*('Modell Erzeugung'!$D$1:$AZ$1='Abgleich Generation'!F$40)*'Modell Erzeugung'!$D$2:$AZ$35)+SUMPRODUCT(('Modell Erzeugung'!$C$2:$C$35='Abgleich Generation'!$A67)*('Modell Erzeugung'!$D$1:$AZ$1='Abgleich Generation'!F$39)*'Modell Erzeugung'!$D$2:$AZ$35)+SUMPRODUCT(('Modell Erzeugung'!$C$2:$C$35='Abgleich Generation'!$A67)*('Modell Erzeugung'!$D$1:$AZ$1='Abgleich Generation'!F$38)*'Modell Erzeugung'!$D$2:$AZ$35))/1000000</f>
        <v>28.005829739127929</v>
      </c>
      <c r="G67" s="58">
        <f>(SUMPRODUCT(('Modell Erzeugung'!$C$2:$C$35='Abgleich Generation'!$A67)*('Modell Erzeugung'!$D$1:$AZ$1='Abgleich Generation'!G$40)*'Modell Erzeugung'!$D$2:$AZ$35)+SUMPRODUCT(('Modell Erzeugung'!$C$2:$C$35='Abgleich Generation'!$A67)*('Modell Erzeugung'!$D$1:$AZ$1='Abgleich Generation'!G$39)*'Modell Erzeugung'!$D$2:$AZ$35)+SUMPRODUCT(('Modell Erzeugung'!$C$2:$C$35='Abgleich Generation'!$A67)*('Modell Erzeugung'!$D$1:$AZ$1='Abgleich Generation'!G$38)*'Modell Erzeugung'!$D$2:$AZ$35))/1000000</f>
        <v>11.328851384364</v>
      </c>
      <c r="H67" s="58">
        <f>(SUMPRODUCT(('Modell Erzeugung'!$C$2:$C$35='Abgleich Generation'!$A67)*('Modell Erzeugung'!$D$1:$AZ$1='Abgleich Generation'!H$40)*'Modell Erzeugung'!$D$2:$AZ$35)+SUMPRODUCT(('Modell Erzeugung'!$C$2:$C$35='Abgleich Generation'!$A67)*('Modell Erzeugung'!$D$1:$AZ$1='Abgleich Generation'!H$39)*'Modell Erzeugung'!$D$2:$AZ$35)+SUMPRODUCT(('Modell Erzeugung'!$C$2:$C$35='Abgleich Generation'!$A67)*('Modell Erzeugung'!$D$1:$AZ$1='Abgleich Generation'!H$38)*'Modell Erzeugung'!$D$2:$AZ$35))/1000000</f>
        <v>0</v>
      </c>
      <c r="I67" s="58">
        <f>(SUMPRODUCT(('Modell Erzeugung'!$C$2:$C$35='Abgleich Generation'!$A67)*('Modell Erzeugung'!$D$1:$AZ$1='Abgleich Generation'!I$40)*'Modell Erzeugung'!$D$2:$AZ$35)+SUMPRODUCT(('Modell Erzeugung'!$C$2:$C$35='Abgleich Generation'!$A67)*('Modell Erzeugung'!$D$1:$AZ$1='Abgleich Generation'!I$39)*'Modell Erzeugung'!$D$2:$AZ$35)+SUMPRODUCT(('Modell Erzeugung'!$C$2:$C$35='Abgleich Generation'!$A67)*('Modell Erzeugung'!$D$1:$AZ$1='Abgleich Generation'!I$38)*'Modell Erzeugung'!$D$2:$AZ$35))/1000000</f>
        <v>0</v>
      </c>
      <c r="J67" s="58">
        <f>(SUMPRODUCT(('Modell Erzeugung'!$C$2:$C$35='Abgleich Generation'!$A67)*('Modell Erzeugung'!$D$1:$AZ$1='Abgleich Generation'!J$40)*'Modell Erzeugung'!$D$2:$AZ$35)+SUMPRODUCT(('Modell Erzeugung'!$C$2:$C$35='Abgleich Generation'!$A67)*('Modell Erzeugung'!$D$1:$AZ$1='Abgleich Generation'!J$39)*'Modell Erzeugung'!$D$2:$AZ$35)+SUMPRODUCT(('Modell Erzeugung'!$C$2:$C$35='Abgleich Generation'!$A67)*('Modell Erzeugung'!$D$1:$AZ$1='Abgleich Generation'!J$38)*'Modell Erzeugung'!$D$2:$AZ$35))/1000000</f>
        <v>1.85872778E-3</v>
      </c>
      <c r="K67" s="59">
        <f t="shared" si="58"/>
        <v>27.818286640539942</v>
      </c>
      <c r="L67" s="58">
        <f>(SUMPRODUCT(('Modell Erzeugung'!$C$2:$C$35='Abgleich Generation'!$A67)*('Modell Erzeugung'!$D$1:$AZ$1='Abgleich Generation'!L$40)*'Modell Erzeugung'!$D$2:$AZ$35)+SUMPRODUCT(('Modell Erzeugung'!$C$2:$C$35='Abgleich Generation'!$A67)*('Modell Erzeugung'!$D$1:$AZ$1='Abgleich Generation'!L$39)*'Modell Erzeugung'!$D$2:$AZ$35)+SUMPRODUCT(('Modell Erzeugung'!$C$2:$C$35='Abgleich Generation'!$A67)*('Modell Erzeugung'!$D$1:$AZ$1='Abgleich Generation'!L$38)*'Modell Erzeugung'!$D$2:$AZ$35))/1000000</f>
        <v>15.224546608102902</v>
      </c>
      <c r="M67" s="58">
        <f>(SUMPRODUCT(('Modell Erzeugung'!$C$2:$C$35='Abgleich Generation'!$A67)*('Modell Erzeugung'!$D$1:$AZ$1='Abgleich Generation'!M$40)*'Modell Erzeugung'!$D$2:$AZ$35)+SUMPRODUCT(('Modell Erzeugung'!$C$2:$C$35='Abgleich Generation'!$A67)*('Modell Erzeugung'!$D$1:$AZ$1='Abgleich Generation'!M$39)*'Modell Erzeugung'!$D$2:$AZ$35)+SUMPRODUCT(('Modell Erzeugung'!$C$2:$C$35='Abgleich Generation'!$A67)*('Modell Erzeugung'!$D$1:$AZ$1='Abgleich Generation'!M$38)*'Modell Erzeugung'!$D$2:$AZ$35))/1000000</f>
        <v>0</v>
      </c>
      <c r="N67" s="58">
        <f>(SUMPRODUCT(('Modell Erzeugung'!$C$2:$C$35='Abgleich Generation'!$A67)*('Modell Erzeugung'!$D$1:$AZ$1='Abgleich Generation'!N$40)*'Modell Erzeugung'!$D$2:$AZ$35)+SUMPRODUCT(('Modell Erzeugung'!$C$2:$C$35='Abgleich Generation'!$A67)*('Modell Erzeugung'!$D$1:$AZ$1='Abgleich Generation'!N$39)*'Modell Erzeugung'!$D$2:$AZ$35)+SUMPRODUCT(('Modell Erzeugung'!$C$2:$C$35='Abgleich Generation'!$A67)*('Modell Erzeugung'!$D$1:$AZ$1='Abgleich Generation'!N$38)*'Modell Erzeugung'!$D$2:$AZ$35))/1000000</f>
        <v>0.10705235756800001</v>
      </c>
      <c r="O67" s="58">
        <f>(SUMPRODUCT(('Modell Erzeugung'!$C$2:$C$35='Abgleich Generation'!$A67)*('Modell Erzeugung'!$D$1:$AZ$1='Abgleich Generation'!O$40)*'Modell Erzeugung'!$D$2:$AZ$35)+SUMPRODUCT(('Modell Erzeugung'!$C$2:$C$35='Abgleich Generation'!$A67)*('Modell Erzeugung'!$D$1:$AZ$1='Abgleich Generation'!O$39)*'Modell Erzeugung'!$D$2:$AZ$35)+SUMPRODUCT(('Modell Erzeugung'!$C$2:$C$35='Abgleich Generation'!$A67)*('Modell Erzeugung'!$D$1:$AZ$1='Abgleich Generation'!O$38)*'Modell Erzeugung'!$D$2:$AZ$35))/1000000</f>
        <v>9.4315943784409999</v>
      </c>
      <c r="P67" s="58">
        <f>(SUMPRODUCT(('Modell Erzeugung'!$C$2:$C$35='Abgleich Generation'!$A67)*('Modell Erzeugung'!$D$1:$AZ$1='Abgleich Generation'!P$40)*'Modell Erzeugung'!$D$2:$AZ$35)+SUMPRODUCT(('Modell Erzeugung'!$C$2:$C$35='Abgleich Generation'!$A67)*('Modell Erzeugung'!$D$1:$AZ$1='Abgleich Generation'!P$39)*'Modell Erzeugung'!$D$2:$AZ$35)+SUMPRODUCT(('Modell Erzeugung'!$C$2:$C$35='Abgleich Generation'!$A67)*('Modell Erzeugung'!$D$1:$AZ$1='Abgleich Generation'!P$38)*'Modell Erzeugung'!$D$2:$AZ$35))/1000000</f>
        <v>0.78585547854799997</v>
      </c>
      <c r="Q67" s="58">
        <f>(SUMPRODUCT(('Modell Erzeugung'!$C$2:$C$35='Abgleich Generation'!$A67)*('Modell Erzeugung'!$D$1:$AZ$1='Abgleich Generation'!Q$40)*'Modell Erzeugung'!$D$2:$AZ$35)+SUMPRODUCT(('Modell Erzeugung'!$C$2:$C$35='Abgleich Generation'!$A67)*('Modell Erzeugung'!$D$1:$AZ$1='Abgleich Generation'!Q$39)*'Modell Erzeugung'!$D$2:$AZ$35)+SUMPRODUCT(('Modell Erzeugung'!$C$2:$C$35='Abgleich Generation'!$A67)*('Modell Erzeugung'!$D$1:$AZ$1='Abgleich Generation'!Q$38)*'Modell Erzeugung'!$D$2:$AZ$35))/1000000</f>
        <v>0</v>
      </c>
      <c r="R67" s="58">
        <f>(SUMPRODUCT(('Modell Erzeugung'!$C$2:$C$35='Abgleich Generation'!$A67)*('Modell Erzeugung'!$D$1:$AZ$1='Abgleich Generation'!R$40)*'Modell Erzeugung'!$D$2:$AZ$35)+SUMPRODUCT(('Modell Erzeugung'!$C$2:$C$35='Abgleich Generation'!$A67)*('Modell Erzeugung'!$D$1:$AZ$1='Abgleich Generation'!R$39)*'Modell Erzeugung'!$D$2:$AZ$35)+SUMPRODUCT(('Modell Erzeugung'!$C$2:$C$35='Abgleich Generation'!$A67)*('Modell Erzeugung'!$D$1:$AZ$1='Abgleich Generation'!R$38)*'Modell Erzeugung'!$D$2:$AZ$35))/1000000</f>
        <v>2.2692378178800401</v>
      </c>
      <c r="S67" s="58">
        <f>(SUMPRODUCT(('Modell Erzeugung'!$C$2:$C$35='Abgleich Generation'!$A67)*('Modell Erzeugung'!$D$1:$AZ$1='Abgleich Generation'!S$40)*'Modell Erzeugung'!$D$2:$AZ$35)+SUMPRODUCT(('Modell Erzeugung'!$C$2:$C$35='Abgleich Generation'!$A67)*('Modell Erzeugung'!$D$1:$AZ$1='Abgleich Generation'!S$39)*'Modell Erzeugung'!$D$2:$AZ$35)+SUMPRODUCT(('Modell Erzeugung'!$C$2:$C$35='Abgleich Generation'!$A67)*('Modell Erzeugung'!$D$1:$AZ$1='Abgleich Generation'!S$38)*'Modell Erzeugung'!$D$2:$AZ$35))/1000000</f>
        <v>0</v>
      </c>
      <c r="T67" s="58">
        <f>(SUMPRODUCT(('Modell Erzeugung'!$C$2:$C$35='Abgleich Generation'!$A67)*('Modell Erzeugung'!$D$1:$AZ$1='Abgleich Generation'!T$40)*'Modell Erzeugung'!$D$2:$AZ$35)+SUMPRODUCT(('Modell Erzeugung'!$C$2:$C$35='Abgleich Generation'!$A67)*('Modell Erzeugung'!$D$1:$AZ$1='Abgleich Generation'!T$39)*'Modell Erzeugung'!$D$2:$AZ$35)+SUMPRODUCT(('Modell Erzeugung'!$C$2:$C$35='Abgleich Generation'!$A67)*('Modell Erzeugung'!$D$1:$AZ$1='Abgleich Generation'!T$38)*'Modell Erzeugung'!$D$2:$AZ$35))/1000000</f>
        <v>0</v>
      </c>
      <c r="U67" s="58">
        <f>(SUMPRODUCT(('Modell Erzeugung'!$C$2:$C$35='Abgleich Generation'!$A67)*('Modell Erzeugung'!$D$1:$AZ$1='Abgleich Generation'!U$40)*'Modell Erzeugung'!$D$2:$AZ$35)+SUMPRODUCT(('Modell Erzeugung'!$C$2:$C$35='Abgleich Generation'!$A67)*('Modell Erzeugung'!$D$1:$AZ$1='Abgleich Generation'!U$39)*'Modell Erzeugung'!$D$2:$AZ$35)+SUMPRODUCT(('Modell Erzeugung'!$C$2:$C$35='Abgleich Generation'!$A67)*('Modell Erzeugung'!$D$1:$AZ$1='Abgleich Generation'!U$38)*'Modell Erzeugung'!$D$2:$AZ$35))/1000000</f>
        <v>0</v>
      </c>
      <c r="V67" s="59">
        <f t="shared" si="59"/>
        <v>67.154826491811875</v>
      </c>
      <c r="W67" s="60"/>
      <c r="X67" s="61">
        <f t="shared" si="55"/>
        <v>49.407789040739871</v>
      </c>
      <c r="Y67" s="61">
        <f>(SUMPRODUCT(('Modell Erzeugung'!$C$2:$C$35='Abgleich Generation'!$A67)*('Modell Erzeugung'!$D$1:$AZ$1='Abgleich Generation'!Y$40)*'Modell Erzeugung'!$D$2:$AZ$35)+SUMPRODUCT(('Modell Erzeugung'!$C$2:$C$35='Abgleich Generation'!$A67)*('Modell Erzeugung'!$D$1:$AZ$1='Abgleich Generation'!Y$39)*'Modell Erzeugung'!$D$2:$AZ$35))/1000000</f>
        <v>-17.747037451072</v>
      </c>
    </row>
    <row r="68" spans="1:27" x14ac:dyDescent="0.25">
      <c r="A68" s="14" t="s">
        <v>35</v>
      </c>
      <c r="B68" s="25">
        <f t="shared" si="53"/>
        <v>35.055933911961304</v>
      </c>
      <c r="C68" s="26">
        <f>(SUMPRODUCT(('Modell Erzeugung'!$C$2:$C$35='Abgleich Generation'!$A68)*('Modell Erzeugung'!$D$1:$AZ$1='Abgleich Generation'!C$40)*'Modell Erzeugung'!$D$2:$AZ$35)+SUMPRODUCT(('Modell Erzeugung'!$C$2:$C$35='Abgleich Generation'!$A68)*('Modell Erzeugung'!$D$1:$AZ$1='Abgleich Generation'!C$39)*'Modell Erzeugung'!$D$2:$AZ$35)+SUMPRODUCT(('Modell Erzeugung'!$C$2:$C$35='Abgleich Generation'!$A68)*('Modell Erzeugung'!$D$1:$AZ$1='Abgleich Generation'!C$38)*'Modell Erzeugung'!$D$2:$AZ$35))/1000000</f>
        <v>10.0063728000002</v>
      </c>
      <c r="D68" s="26">
        <f t="shared" si="54"/>
        <v>25.049561111961104</v>
      </c>
      <c r="E68" s="26">
        <f>(SUMPRODUCT(('Modell Erzeugung'!$C$2:$C$35='Abgleich Generation'!$A68)*('Modell Erzeugung'!$D$1:$AZ$1='Abgleich Generation'!E$40)*'Modell Erzeugung'!$D$2:$AZ$35)+SUMPRODUCT(('Modell Erzeugung'!$C$2:$C$35='Abgleich Generation'!$A68)*('Modell Erzeugung'!$D$1:$AZ$1='Abgleich Generation'!E$39)*'Modell Erzeugung'!$D$2:$AZ$35)+SUMPRODUCT(('Modell Erzeugung'!$C$2:$C$35='Abgleich Generation'!$A68)*('Modell Erzeugung'!$D$1:$AZ$1='Abgleich Generation'!E$38)*'Modell Erzeugung'!$D$2:$AZ$35))/1000000</f>
        <v>22.253956598972096</v>
      </c>
      <c r="F68" s="26">
        <f>(SUMPRODUCT(('Modell Erzeugung'!$C$2:$C$35='Abgleich Generation'!$A68)*('Modell Erzeugung'!$D$1:$AZ$1='Abgleich Generation'!F$40)*'Modell Erzeugung'!$D$2:$AZ$35)+SUMPRODUCT(('Modell Erzeugung'!$C$2:$C$35='Abgleich Generation'!$A68)*('Modell Erzeugung'!$D$1:$AZ$1='Abgleich Generation'!F$39)*'Modell Erzeugung'!$D$2:$AZ$35)+SUMPRODUCT(('Modell Erzeugung'!$C$2:$C$35='Abgleich Generation'!$A68)*('Modell Erzeugung'!$D$1:$AZ$1='Abgleich Generation'!F$38)*'Modell Erzeugung'!$D$2:$AZ$35))/1000000</f>
        <v>2.72587418498901</v>
      </c>
      <c r="G68" s="26">
        <f>(SUMPRODUCT(('Modell Erzeugung'!$C$2:$C$35='Abgleich Generation'!$A68)*('Modell Erzeugung'!$D$1:$AZ$1='Abgleich Generation'!G$40)*'Modell Erzeugung'!$D$2:$AZ$35)+SUMPRODUCT(('Modell Erzeugung'!$C$2:$C$35='Abgleich Generation'!$A68)*('Modell Erzeugung'!$D$1:$AZ$1='Abgleich Generation'!G$39)*'Modell Erzeugung'!$D$2:$AZ$35)+SUMPRODUCT(('Modell Erzeugung'!$C$2:$C$35='Abgleich Generation'!$A68)*('Modell Erzeugung'!$D$1:$AZ$1='Abgleich Generation'!G$38)*'Modell Erzeugung'!$D$2:$AZ$35))/1000000</f>
        <v>6.9730327999998801E-2</v>
      </c>
      <c r="H68" s="26">
        <f>(SUMPRODUCT(('Modell Erzeugung'!$C$2:$C$35='Abgleich Generation'!$A68)*('Modell Erzeugung'!$D$1:$AZ$1='Abgleich Generation'!H$40)*'Modell Erzeugung'!$D$2:$AZ$35)+SUMPRODUCT(('Modell Erzeugung'!$C$2:$C$35='Abgleich Generation'!$A68)*('Modell Erzeugung'!$D$1:$AZ$1='Abgleich Generation'!H$39)*'Modell Erzeugung'!$D$2:$AZ$35)+SUMPRODUCT(('Modell Erzeugung'!$C$2:$C$35='Abgleich Generation'!$A68)*('Modell Erzeugung'!$D$1:$AZ$1='Abgleich Generation'!H$38)*'Modell Erzeugung'!$D$2:$AZ$35))/1000000</f>
        <v>0</v>
      </c>
      <c r="I68" s="26">
        <f>(SUMPRODUCT(('Modell Erzeugung'!$C$2:$C$35='Abgleich Generation'!$A68)*('Modell Erzeugung'!$D$1:$AZ$1='Abgleich Generation'!I$40)*'Modell Erzeugung'!$D$2:$AZ$35)+SUMPRODUCT(('Modell Erzeugung'!$C$2:$C$35='Abgleich Generation'!$A68)*('Modell Erzeugung'!$D$1:$AZ$1='Abgleich Generation'!I$39)*'Modell Erzeugung'!$D$2:$AZ$35)+SUMPRODUCT(('Modell Erzeugung'!$C$2:$C$35='Abgleich Generation'!$A68)*('Modell Erzeugung'!$D$1:$AZ$1='Abgleich Generation'!I$38)*'Modell Erzeugung'!$D$2:$AZ$35))/1000000</f>
        <v>0</v>
      </c>
      <c r="J68" s="26">
        <f>(SUMPRODUCT(('Modell Erzeugung'!$C$2:$C$35='Abgleich Generation'!$A68)*('Modell Erzeugung'!$D$1:$AZ$1='Abgleich Generation'!J$40)*'Modell Erzeugung'!$D$2:$AZ$35)+SUMPRODUCT(('Modell Erzeugung'!$C$2:$C$35='Abgleich Generation'!$A68)*('Modell Erzeugung'!$D$1:$AZ$1='Abgleich Generation'!J$39)*'Modell Erzeugung'!$D$2:$AZ$35)+SUMPRODUCT(('Modell Erzeugung'!$C$2:$C$35='Abgleich Generation'!$A68)*('Modell Erzeugung'!$D$1:$AZ$1='Abgleich Generation'!J$38)*'Modell Erzeugung'!$D$2:$AZ$35))/1000000</f>
        <v>0</v>
      </c>
      <c r="K68" s="27">
        <f t="shared" si="58"/>
        <v>23.898641757482</v>
      </c>
      <c r="L68" s="26">
        <f>(SUMPRODUCT(('Modell Erzeugung'!$C$2:$C$35='Abgleich Generation'!$A68)*('Modell Erzeugung'!$D$1:$AZ$1='Abgleich Generation'!L$40)*'Modell Erzeugung'!$D$2:$AZ$35)+SUMPRODUCT(('Modell Erzeugung'!$C$2:$C$35='Abgleich Generation'!$A68)*('Modell Erzeugung'!$D$1:$AZ$1='Abgleich Generation'!L$39)*'Modell Erzeugung'!$D$2:$AZ$35)+SUMPRODUCT(('Modell Erzeugung'!$C$2:$C$35='Abgleich Generation'!$A68)*('Modell Erzeugung'!$D$1:$AZ$1='Abgleich Generation'!L$38)*'Modell Erzeugung'!$D$2:$AZ$35))/1000000</f>
        <v>15.489846458009001</v>
      </c>
      <c r="M68" s="26">
        <f>(SUMPRODUCT(('Modell Erzeugung'!$C$2:$C$35='Abgleich Generation'!$A68)*('Modell Erzeugung'!$D$1:$AZ$1='Abgleich Generation'!M$40)*'Modell Erzeugung'!$D$2:$AZ$35)+SUMPRODUCT(('Modell Erzeugung'!$C$2:$C$35='Abgleich Generation'!$A68)*('Modell Erzeugung'!$D$1:$AZ$1='Abgleich Generation'!M$39)*'Modell Erzeugung'!$D$2:$AZ$35)+SUMPRODUCT(('Modell Erzeugung'!$C$2:$C$35='Abgleich Generation'!$A68)*('Modell Erzeugung'!$D$1:$AZ$1='Abgleich Generation'!M$38)*'Modell Erzeugung'!$D$2:$AZ$35))/1000000</f>
        <v>0</v>
      </c>
      <c r="N68" s="26">
        <f>(SUMPRODUCT(('Modell Erzeugung'!$C$2:$C$35='Abgleich Generation'!$A68)*('Modell Erzeugung'!$D$1:$AZ$1='Abgleich Generation'!N$40)*'Modell Erzeugung'!$D$2:$AZ$35)+SUMPRODUCT(('Modell Erzeugung'!$C$2:$C$35='Abgleich Generation'!$A68)*('Modell Erzeugung'!$D$1:$AZ$1='Abgleich Generation'!N$39)*'Modell Erzeugung'!$D$2:$AZ$35)+SUMPRODUCT(('Modell Erzeugung'!$C$2:$C$35='Abgleich Generation'!$A68)*('Modell Erzeugung'!$D$1:$AZ$1='Abgleich Generation'!N$38)*'Modell Erzeugung'!$D$2:$AZ$35))/1000000</f>
        <v>0</v>
      </c>
      <c r="O68" s="26">
        <f>(SUMPRODUCT(('Modell Erzeugung'!$C$2:$C$35='Abgleich Generation'!$A68)*('Modell Erzeugung'!$D$1:$AZ$1='Abgleich Generation'!O$40)*'Modell Erzeugung'!$D$2:$AZ$35)+SUMPRODUCT(('Modell Erzeugung'!$C$2:$C$35='Abgleich Generation'!$A68)*('Modell Erzeugung'!$D$1:$AZ$1='Abgleich Generation'!O$39)*'Modell Erzeugung'!$D$2:$AZ$35)+SUMPRODUCT(('Modell Erzeugung'!$C$2:$C$35='Abgleich Generation'!$A68)*('Modell Erzeugung'!$D$1:$AZ$1='Abgleich Generation'!O$38)*'Modell Erzeugung'!$D$2:$AZ$35))/1000000</f>
        <v>4.4164644350239994</v>
      </c>
      <c r="P68" s="26">
        <f>(SUMPRODUCT(('Modell Erzeugung'!$C$2:$C$35='Abgleich Generation'!$A68)*('Modell Erzeugung'!$D$1:$AZ$1='Abgleich Generation'!P$40)*'Modell Erzeugung'!$D$2:$AZ$35)+SUMPRODUCT(('Modell Erzeugung'!$C$2:$C$35='Abgleich Generation'!$A68)*('Modell Erzeugung'!$D$1:$AZ$1='Abgleich Generation'!P$39)*'Modell Erzeugung'!$D$2:$AZ$35)+SUMPRODUCT(('Modell Erzeugung'!$C$2:$C$35='Abgleich Generation'!$A68)*('Modell Erzeugung'!$D$1:$AZ$1='Abgleich Generation'!P$38)*'Modell Erzeugung'!$D$2:$AZ$35))/1000000</f>
        <v>0.43937128357899996</v>
      </c>
      <c r="Q68" s="26">
        <f>(SUMPRODUCT(('Modell Erzeugung'!$C$2:$C$35='Abgleich Generation'!$A68)*('Modell Erzeugung'!$D$1:$AZ$1='Abgleich Generation'!Q$40)*'Modell Erzeugung'!$D$2:$AZ$35)+SUMPRODUCT(('Modell Erzeugung'!$C$2:$C$35='Abgleich Generation'!$A68)*('Modell Erzeugung'!$D$1:$AZ$1='Abgleich Generation'!Q$39)*'Modell Erzeugung'!$D$2:$AZ$35)+SUMPRODUCT(('Modell Erzeugung'!$C$2:$C$35='Abgleich Generation'!$A68)*('Modell Erzeugung'!$D$1:$AZ$1='Abgleich Generation'!Q$38)*'Modell Erzeugung'!$D$2:$AZ$35))/1000000</f>
        <v>0</v>
      </c>
      <c r="R68" s="26">
        <f>(SUMPRODUCT(('Modell Erzeugung'!$C$2:$C$35='Abgleich Generation'!$A68)*('Modell Erzeugung'!$D$1:$AZ$1='Abgleich Generation'!R$40)*'Modell Erzeugung'!$D$2:$AZ$35)+SUMPRODUCT(('Modell Erzeugung'!$C$2:$C$35='Abgleich Generation'!$A68)*('Modell Erzeugung'!$D$1:$AZ$1='Abgleich Generation'!R$39)*'Modell Erzeugung'!$D$2:$AZ$35)+SUMPRODUCT(('Modell Erzeugung'!$C$2:$C$35='Abgleich Generation'!$A68)*('Modell Erzeugung'!$D$1:$AZ$1='Abgleich Generation'!R$38)*'Modell Erzeugung'!$D$2:$AZ$35))/1000000</f>
        <v>3.5529595808700001</v>
      </c>
      <c r="S68" s="26">
        <f>(SUMPRODUCT(('Modell Erzeugung'!$C$2:$C$35='Abgleich Generation'!$A68)*('Modell Erzeugung'!$D$1:$AZ$1='Abgleich Generation'!S$40)*'Modell Erzeugung'!$D$2:$AZ$35)+SUMPRODUCT(('Modell Erzeugung'!$C$2:$C$35='Abgleich Generation'!$A68)*('Modell Erzeugung'!$D$1:$AZ$1='Abgleich Generation'!S$39)*'Modell Erzeugung'!$D$2:$AZ$35)+SUMPRODUCT(('Modell Erzeugung'!$C$2:$C$35='Abgleich Generation'!$A68)*('Modell Erzeugung'!$D$1:$AZ$1='Abgleich Generation'!S$38)*'Modell Erzeugung'!$D$2:$AZ$35))/1000000</f>
        <v>0</v>
      </c>
      <c r="T68" s="26">
        <f>(SUMPRODUCT(('Modell Erzeugung'!$C$2:$C$35='Abgleich Generation'!$A68)*('Modell Erzeugung'!$D$1:$AZ$1='Abgleich Generation'!T$40)*'Modell Erzeugung'!$D$2:$AZ$35)+SUMPRODUCT(('Modell Erzeugung'!$C$2:$C$35='Abgleich Generation'!$A68)*('Modell Erzeugung'!$D$1:$AZ$1='Abgleich Generation'!T$39)*'Modell Erzeugung'!$D$2:$AZ$35)+SUMPRODUCT(('Modell Erzeugung'!$C$2:$C$35='Abgleich Generation'!$A68)*('Modell Erzeugung'!$D$1:$AZ$1='Abgleich Generation'!T$38)*'Modell Erzeugung'!$D$2:$AZ$35))/1000000</f>
        <v>0</v>
      </c>
      <c r="U68" s="26">
        <f>(SUMPRODUCT(('Modell Erzeugung'!$C$2:$C$35='Abgleich Generation'!$A68)*('Modell Erzeugung'!$D$1:$AZ$1='Abgleich Generation'!U$40)*'Modell Erzeugung'!$D$2:$AZ$35)+SUMPRODUCT(('Modell Erzeugung'!$C$2:$C$35='Abgleich Generation'!$A68)*('Modell Erzeugung'!$D$1:$AZ$1='Abgleich Generation'!U$39)*'Modell Erzeugung'!$D$2:$AZ$35)+SUMPRODUCT(('Modell Erzeugung'!$C$2:$C$35='Abgleich Generation'!$A68)*('Modell Erzeugung'!$D$1:$AZ$1='Abgleich Generation'!U$38)*'Modell Erzeugung'!$D$2:$AZ$35))/1000000</f>
        <v>0</v>
      </c>
      <c r="V68" s="27">
        <f t="shared" si="59"/>
        <v>58.954575669443301</v>
      </c>
      <c r="W68" s="28"/>
      <c r="X68" s="29">
        <f t="shared" si="55"/>
        <v>55.402955756100589</v>
      </c>
      <c r="Y68" s="29">
        <f>(SUMPRODUCT(('Modell Erzeugung'!$C$2:$C$35='Abgleich Generation'!$A68)*('Modell Erzeugung'!$D$1:$AZ$1='Abgleich Generation'!Y$40)*'Modell Erzeugung'!$D$2:$AZ$35)+SUMPRODUCT(('Modell Erzeugung'!$C$2:$C$35='Abgleich Generation'!$A68)*('Modell Erzeugung'!$D$1:$AZ$1='Abgleich Generation'!Y$39)*'Modell Erzeugung'!$D$2:$AZ$35))/1000000</f>
        <v>-3.55161991334271</v>
      </c>
    </row>
    <row r="69" spans="1:27" x14ac:dyDescent="0.25">
      <c r="A69" s="14" t="s">
        <v>36</v>
      </c>
      <c r="B69" s="57">
        <f t="shared" si="53"/>
        <v>29.292841463628999</v>
      </c>
      <c r="C69" s="58">
        <f>(SUMPRODUCT(('Modell Erzeugung'!$C$2:$C$35='Abgleich Generation'!$A69)*('Modell Erzeugung'!$D$1:$AZ$1='Abgleich Generation'!C$40)*'Modell Erzeugung'!$D$2:$AZ$35)+SUMPRODUCT(('Modell Erzeugung'!$C$2:$C$35='Abgleich Generation'!$A69)*('Modell Erzeugung'!$D$1:$AZ$1='Abgleich Generation'!C$39)*'Modell Erzeugung'!$D$2:$AZ$35)+SUMPRODUCT(('Modell Erzeugung'!$C$2:$C$35='Abgleich Generation'!$A69)*('Modell Erzeugung'!$D$1:$AZ$1='Abgleich Generation'!C$38)*'Modell Erzeugung'!$D$2:$AZ$35))/1000000</f>
        <v>0</v>
      </c>
      <c r="D69" s="58">
        <f t="shared" si="54"/>
        <v>29.292841463628999</v>
      </c>
      <c r="E69" s="58">
        <f>(SUMPRODUCT(('Modell Erzeugung'!$C$2:$C$35='Abgleich Generation'!$A69)*('Modell Erzeugung'!$D$1:$AZ$1='Abgleich Generation'!E$40)*'Modell Erzeugung'!$D$2:$AZ$35)+SUMPRODUCT(('Modell Erzeugung'!$C$2:$C$35='Abgleich Generation'!$A69)*('Modell Erzeugung'!$D$1:$AZ$1='Abgleich Generation'!E$39)*'Modell Erzeugung'!$D$2:$AZ$35)+SUMPRODUCT(('Modell Erzeugung'!$C$2:$C$35='Abgleich Generation'!$A69)*('Modell Erzeugung'!$D$1:$AZ$1='Abgleich Generation'!E$38)*'Modell Erzeugung'!$D$2:$AZ$35))/1000000</f>
        <v>28.869609507998</v>
      </c>
      <c r="F69" s="58">
        <f>(SUMPRODUCT(('Modell Erzeugung'!$C$2:$C$35='Abgleich Generation'!$A69)*('Modell Erzeugung'!$D$1:$AZ$1='Abgleich Generation'!F$40)*'Modell Erzeugung'!$D$2:$AZ$35)+SUMPRODUCT(('Modell Erzeugung'!$C$2:$C$35='Abgleich Generation'!$A69)*('Modell Erzeugung'!$D$1:$AZ$1='Abgleich Generation'!F$39)*'Modell Erzeugung'!$D$2:$AZ$35)+SUMPRODUCT(('Modell Erzeugung'!$C$2:$C$35='Abgleich Generation'!$A69)*('Modell Erzeugung'!$D$1:$AZ$1='Abgleich Generation'!F$38)*'Modell Erzeugung'!$D$2:$AZ$35))/1000000</f>
        <v>0.29744915558500001</v>
      </c>
      <c r="G69" s="58">
        <f>(SUMPRODUCT(('Modell Erzeugung'!$C$2:$C$35='Abgleich Generation'!$A69)*('Modell Erzeugung'!$D$1:$AZ$1='Abgleich Generation'!G$40)*'Modell Erzeugung'!$D$2:$AZ$35)+SUMPRODUCT(('Modell Erzeugung'!$C$2:$C$35='Abgleich Generation'!$A69)*('Modell Erzeugung'!$D$1:$AZ$1='Abgleich Generation'!G$39)*'Modell Erzeugung'!$D$2:$AZ$35)+SUMPRODUCT(('Modell Erzeugung'!$C$2:$C$35='Abgleich Generation'!$A69)*('Modell Erzeugung'!$D$1:$AZ$1='Abgleich Generation'!G$38)*'Modell Erzeugung'!$D$2:$AZ$35))/1000000</f>
        <v>0.12578280004599901</v>
      </c>
      <c r="H69" s="58">
        <f>(SUMPRODUCT(('Modell Erzeugung'!$C$2:$C$35='Abgleich Generation'!$A69)*('Modell Erzeugung'!$D$1:$AZ$1='Abgleich Generation'!H$40)*'Modell Erzeugung'!$D$2:$AZ$35)+SUMPRODUCT(('Modell Erzeugung'!$C$2:$C$35='Abgleich Generation'!$A69)*('Modell Erzeugung'!$D$1:$AZ$1='Abgleich Generation'!H$39)*'Modell Erzeugung'!$D$2:$AZ$35)+SUMPRODUCT(('Modell Erzeugung'!$C$2:$C$35='Abgleich Generation'!$A69)*('Modell Erzeugung'!$D$1:$AZ$1='Abgleich Generation'!H$38)*'Modell Erzeugung'!$D$2:$AZ$35))/1000000</f>
        <v>0</v>
      </c>
      <c r="I69" s="58">
        <f>(SUMPRODUCT(('Modell Erzeugung'!$C$2:$C$35='Abgleich Generation'!$A69)*('Modell Erzeugung'!$D$1:$AZ$1='Abgleich Generation'!I$40)*'Modell Erzeugung'!$D$2:$AZ$35)+SUMPRODUCT(('Modell Erzeugung'!$C$2:$C$35='Abgleich Generation'!$A69)*('Modell Erzeugung'!$D$1:$AZ$1='Abgleich Generation'!I$39)*'Modell Erzeugung'!$D$2:$AZ$35)+SUMPRODUCT(('Modell Erzeugung'!$C$2:$C$35='Abgleich Generation'!$A69)*('Modell Erzeugung'!$D$1:$AZ$1='Abgleich Generation'!I$38)*'Modell Erzeugung'!$D$2:$AZ$35))/1000000</f>
        <v>0</v>
      </c>
      <c r="J69" s="58">
        <f>(SUMPRODUCT(('Modell Erzeugung'!$C$2:$C$35='Abgleich Generation'!$A69)*('Modell Erzeugung'!$D$1:$AZ$1='Abgleich Generation'!J$40)*'Modell Erzeugung'!$D$2:$AZ$35)+SUMPRODUCT(('Modell Erzeugung'!$C$2:$C$35='Abgleich Generation'!$A69)*('Modell Erzeugung'!$D$1:$AZ$1='Abgleich Generation'!J$39)*'Modell Erzeugung'!$D$2:$AZ$35)+SUMPRODUCT(('Modell Erzeugung'!$C$2:$C$35='Abgleich Generation'!$A69)*('Modell Erzeugung'!$D$1:$AZ$1='Abgleich Generation'!J$38)*'Modell Erzeugung'!$D$2:$AZ$35))/1000000</f>
        <v>0</v>
      </c>
      <c r="K69" s="59">
        <f t="shared" si="58"/>
        <v>8.6014602543660086</v>
      </c>
      <c r="L69" s="58">
        <f>(SUMPRODUCT(('Modell Erzeugung'!$C$2:$C$35='Abgleich Generation'!$A69)*('Modell Erzeugung'!$D$1:$AZ$1='Abgleich Generation'!L$40)*'Modell Erzeugung'!$D$2:$AZ$35)+SUMPRODUCT(('Modell Erzeugung'!$C$2:$C$35='Abgleich Generation'!$A69)*('Modell Erzeugung'!$D$1:$AZ$1='Abgleich Generation'!L$39)*'Modell Erzeugung'!$D$2:$AZ$35)+SUMPRODUCT(('Modell Erzeugung'!$C$2:$C$35='Abgleich Generation'!$A69)*('Modell Erzeugung'!$D$1:$AZ$1='Abgleich Generation'!L$38)*'Modell Erzeugung'!$D$2:$AZ$35))/1000000</f>
        <v>8.0763850882020094</v>
      </c>
      <c r="M69" s="58">
        <f>(SUMPRODUCT(('Modell Erzeugung'!$C$2:$C$35='Abgleich Generation'!$A69)*('Modell Erzeugung'!$D$1:$AZ$1='Abgleich Generation'!M$40)*'Modell Erzeugung'!$D$2:$AZ$35)+SUMPRODUCT(('Modell Erzeugung'!$C$2:$C$35='Abgleich Generation'!$A69)*('Modell Erzeugung'!$D$1:$AZ$1='Abgleich Generation'!M$39)*'Modell Erzeugung'!$D$2:$AZ$35)+SUMPRODUCT(('Modell Erzeugung'!$C$2:$C$35='Abgleich Generation'!$A69)*('Modell Erzeugung'!$D$1:$AZ$1='Abgleich Generation'!M$38)*'Modell Erzeugung'!$D$2:$AZ$35))/1000000</f>
        <v>0</v>
      </c>
      <c r="N69" s="58">
        <f>(SUMPRODUCT(('Modell Erzeugung'!$C$2:$C$35='Abgleich Generation'!$A69)*('Modell Erzeugung'!$D$1:$AZ$1='Abgleich Generation'!N$40)*'Modell Erzeugung'!$D$2:$AZ$35)+SUMPRODUCT(('Modell Erzeugung'!$C$2:$C$35='Abgleich Generation'!$A69)*('Modell Erzeugung'!$D$1:$AZ$1='Abgleich Generation'!N$39)*'Modell Erzeugung'!$D$2:$AZ$35)+SUMPRODUCT(('Modell Erzeugung'!$C$2:$C$35='Abgleich Generation'!$A69)*('Modell Erzeugung'!$D$1:$AZ$1='Abgleich Generation'!N$38)*'Modell Erzeugung'!$D$2:$AZ$35))/1000000</f>
        <v>0</v>
      </c>
      <c r="O69" s="58">
        <f>(SUMPRODUCT(('Modell Erzeugung'!$C$2:$C$35='Abgleich Generation'!$A69)*('Modell Erzeugung'!$D$1:$AZ$1='Abgleich Generation'!O$40)*'Modell Erzeugung'!$D$2:$AZ$35)+SUMPRODUCT(('Modell Erzeugung'!$C$2:$C$35='Abgleich Generation'!$A69)*('Modell Erzeugung'!$D$1:$AZ$1='Abgleich Generation'!O$39)*'Modell Erzeugung'!$D$2:$AZ$35)+SUMPRODUCT(('Modell Erzeugung'!$C$2:$C$35='Abgleich Generation'!$A69)*('Modell Erzeugung'!$D$1:$AZ$1='Abgleich Generation'!O$38)*'Modell Erzeugung'!$D$2:$AZ$35))/1000000</f>
        <v>0.47397516616399998</v>
      </c>
      <c r="P69" s="58">
        <f>(SUMPRODUCT(('Modell Erzeugung'!$C$2:$C$35='Abgleich Generation'!$A69)*('Modell Erzeugung'!$D$1:$AZ$1='Abgleich Generation'!P$40)*'Modell Erzeugung'!$D$2:$AZ$35)+SUMPRODUCT(('Modell Erzeugung'!$C$2:$C$35='Abgleich Generation'!$A69)*('Modell Erzeugung'!$D$1:$AZ$1='Abgleich Generation'!P$39)*'Modell Erzeugung'!$D$2:$AZ$35)+SUMPRODUCT(('Modell Erzeugung'!$C$2:$C$35='Abgleich Generation'!$A69)*('Modell Erzeugung'!$D$1:$AZ$1='Abgleich Generation'!P$38)*'Modell Erzeugung'!$D$2:$AZ$35))/1000000</f>
        <v>0</v>
      </c>
      <c r="Q69" s="58">
        <f>(SUMPRODUCT(('Modell Erzeugung'!$C$2:$C$35='Abgleich Generation'!$A69)*('Modell Erzeugung'!$D$1:$AZ$1='Abgleich Generation'!Q$40)*'Modell Erzeugung'!$D$2:$AZ$35)+SUMPRODUCT(('Modell Erzeugung'!$C$2:$C$35='Abgleich Generation'!$A69)*('Modell Erzeugung'!$D$1:$AZ$1='Abgleich Generation'!Q$39)*'Modell Erzeugung'!$D$2:$AZ$35)+SUMPRODUCT(('Modell Erzeugung'!$C$2:$C$35='Abgleich Generation'!$A69)*('Modell Erzeugung'!$D$1:$AZ$1='Abgleich Generation'!Q$38)*'Modell Erzeugung'!$D$2:$AZ$35))/1000000</f>
        <v>0</v>
      </c>
      <c r="R69" s="58">
        <f>(SUMPRODUCT(('Modell Erzeugung'!$C$2:$C$35='Abgleich Generation'!$A69)*('Modell Erzeugung'!$D$1:$AZ$1='Abgleich Generation'!R$40)*'Modell Erzeugung'!$D$2:$AZ$35)+SUMPRODUCT(('Modell Erzeugung'!$C$2:$C$35='Abgleich Generation'!$A69)*('Modell Erzeugung'!$D$1:$AZ$1='Abgleich Generation'!R$39)*'Modell Erzeugung'!$D$2:$AZ$35)+SUMPRODUCT(('Modell Erzeugung'!$C$2:$C$35='Abgleich Generation'!$A69)*('Modell Erzeugung'!$D$1:$AZ$1='Abgleich Generation'!R$38)*'Modell Erzeugung'!$D$2:$AZ$35))/1000000</f>
        <v>5.11E-2</v>
      </c>
      <c r="S69" s="58">
        <f>(SUMPRODUCT(('Modell Erzeugung'!$C$2:$C$35='Abgleich Generation'!$A69)*('Modell Erzeugung'!$D$1:$AZ$1='Abgleich Generation'!S$40)*'Modell Erzeugung'!$D$2:$AZ$35)+SUMPRODUCT(('Modell Erzeugung'!$C$2:$C$35='Abgleich Generation'!$A69)*('Modell Erzeugung'!$D$1:$AZ$1='Abgleich Generation'!S$39)*'Modell Erzeugung'!$D$2:$AZ$35)+SUMPRODUCT(('Modell Erzeugung'!$C$2:$C$35='Abgleich Generation'!$A69)*('Modell Erzeugung'!$D$1:$AZ$1='Abgleich Generation'!S$38)*'Modell Erzeugung'!$D$2:$AZ$35))/1000000</f>
        <v>0</v>
      </c>
      <c r="T69" s="58">
        <f>(SUMPRODUCT(('Modell Erzeugung'!$C$2:$C$35='Abgleich Generation'!$A69)*('Modell Erzeugung'!$D$1:$AZ$1='Abgleich Generation'!T$40)*'Modell Erzeugung'!$D$2:$AZ$35)+SUMPRODUCT(('Modell Erzeugung'!$C$2:$C$35='Abgleich Generation'!$A69)*('Modell Erzeugung'!$D$1:$AZ$1='Abgleich Generation'!T$39)*'Modell Erzeugung'!$D$2:$AZ$35)+SUMPRODUCT(('Modell Erzeugung'!$C$2:$C$35='Abgleich Generation'!$A69)*('Modell Erzeugung'!$D$1:$AZ$1='Abgleich Generation'!T$38)*'Modell Erzeugung'!$D$2:$AZ$35))/1000000</f>
        <v>0</v>
      </c>
      <c r="U69" s="58">
        <f>(SUMPRODUCT(('Modell Erzeugung'!$C$2:$C$35='Abgleich Generation'!$A69)*('Modell Erzeugung'!$D$1:$AZ$1='Abgleich Generation'!U$40)*'Modell Erzeugung'!$D$2:$AZ$35)+SUMPRODUCT(('Modell Erzeugung'!$C$2:$C$35='Abgleich Generation'!$A69)*('Modell Erzeugung'!$D$1:$AZ$1='Abgleich Generation'!U$39)*'Modell Erzeugung'!$D$2:$AZ$35)+SUMPRODUCT(('Modell Erzeugung'!$C$2:$C$35='Abgleich Generation'!$A69)*('Modell Erzeugung'!$D$1:$AZ$1='Abgleich Generation'!U$38)*'Modell Erzeugung'!$D$2:$AZ$35))/1000000</f>
        <v>0</v>
      </c>
      <c r="V69" s="59">
        <f t="shared" si="59"/>
        <v>37.894301717995006</v>
      </c>
      <c r="W69" s="60"/>
      <c r="X69" s="61">
        <f t="shared" si="55"/>
        <v>40.361287262632842</v>
      </c>
      <c r="Y69" s="61">
        <f>(SUMPRODUCT(('Modell Erzeugung'!$C$2:$C$35='Abgleich Generation'!$A69)*('Modell Erzeugung'!$D$1:$AZ$1='Abgleich Generation'!Y$40)*'Modell Erzeugung'!$D$2:$AZ$35)+SUMPRODUCT(('Modell Erzeugung'!$C$2:$C$35='Abgleich Generation'!$A69)*('Modell Erzeugung'!$D$1:$AZ$1='Abgleich Generation'!Y$39)*'Modell Erzeugung'!$D$2:$AZ$35))/1000000</f>
        <v>2.4669855446378399</v>
      </c>
    </row>
    <row r="70" spans="1:27" x14ac:dyDescent="0.25">
      <c r="A70" s="14" t="s">
        <v>37</v>
      </c>
      <c r="B70" s="25">
        <f t="shared" si="53"/>
        <v>69.271352758338779</v>
      </c>
      <c r="C70" s="26">
        <f>(SUMPRODUCT(('Modell Erzeugung'!$C$2:$C$35='Abgleich Generation'!$A70)*('Modell Erzeugung'!$D$1:$AZ$1='Abgleich Generation'!C$40)*'Modell Erzeugung'!$D$2:$AZ$35)+SUMPRODUCT(('Modell Erzeugung'!$C$2:$C$35='Abgleich Generation'!$A70)*('Modell Erzeugung'!$D$1:$AZ$1='Abgleich Generation'!C$39)*'Modell Erzeugung'!$D$2:$AZ$35)+SUMPRODUCT(('Modell Erzeugung'!$C$2:$C$35='Abgleich Generation'!$A70)*('Modell Erzeugung'!$D$1:$AZ$1='Abgleich Generation'!C$38)*'Modell Erzeugung'!$D$2:$AZ$35))/1000000</f>
        <v>65.499731180827794</v>
      </c>
      <c r="D70" s="26">
        <f t="shared" si="54"/>
        <v>3.7716215775109907</v>
      </c>
      <c r="E70" s="26">
        <f>(SUMPRODUCT(('Modell Erzeugung'!$C$2:$C$35='Abgleich Generation'!$A70)*('Modell Erzeugung'!$D$1:$AZ$1='Abgleich Generation'!E$40)*'Modell Erzeugung'!$D$2:$AZ$35)+SUMPRODUCT(('Modell Erzeugung'!$C$2:$C$35='Abgleich Generation'!$A70)*('Modell Erzeugung'!$D$1:$AZ$1='Abgleich Generation'!E$39)*'Modell Erzeugung'!$D$2:$AZ$35)+SUMPRODUCT(('Modell Erzeugung'!$C$2:$C$35='Abgleich Generation'!$A70)*('Modell Erzeugung'!$D$1:$AZ$1='Abgleich Generation'!E$38)*'Modell Erzeugung'!$D$2:$AZ$35))/1000000</f>
        <v>0</v>
      </c>
      <c r="F70" s="26">
        <f>(SUMPRODUCT(('Modell Erzeugung'!$C$2:$C$35='Abgleich Generation'!$A70)*('Modell Erzeugung'!$D$1:$AZ$1='Abgleich Generation'!F$40)*'Modell Erzeugung'!$D$2:$AZ$35)+SUMPRODUCT(('Modell Erzeugung'!$C$2:$C$35='Abgleich Generation'!$A70)*('Modell Erzeugung'!$D$1:$AZ$1='Abgleich Generation'!F$39)*'Modell Erzeugung'!$D$2:$AZ$35)+SUMPRODUCT(('Modell Erzeugung'!$C$2:$C$35='Abgleich Generation'!$A70)*('Modell Erzeugung'!$D$1:$AZ$1='Abgleich Generation'!F$38)*'Modell Erzeugung'!$D$2:$AZ$35))/1000000</f>
        <v>3.5488509143109899</v>
      </c>
      <c r="G70" s="26">
        <f>(SUMPRODUCT(('Modell Erzeugung'!$C$2:$C$35='Abgleich Generation'!$A70)*('Modell Erzeugung'!$D$1:$AZ$1='Abgleich Generation'!G$40)*'Modell Erzeugung'!$D$2:$AZ$35)+SUMPRODUCT(('Modell Erzeugung'!$C$2:$C$35='Abgleich Generation'!$A70)*('Modell Erzeugung'!$D$1:$AZ$1='Abgleich Generation'!G$39)*'Modell Erzeugung'!$D$2:$AZ$35)+SUMPRODUCT(('Modell Erzeugung'!$C$2:$C$35='Abgleich Generation'!$A70)*('Modell Erzeugung'!$D$1:$AZ$1='Abgleich Generation'!G$38)*'Modell Erzeugung'!$D$2:$AZ$35))/1000000</f>
        <v>0.222770663200001</v>
      </c>
      <c r="H70" s="26">
        <f>(SUMPRODUCT(('Modell Erzeugung'!$C$2:$C$35='Abgleich Generation'!$A70)*('Modell Erzeugung'!$D$1:$AZ$1='Abgleich Generation'!H$40)*'Modell Erzeugung'!$D$2:$AZ$35)+SUMPRODUCT(('Modell Erzeugung'!$C$2:$C$35='Abgleich Generation'!$A70)*('Modell Erzeugung'!$D$1:$AZ$1='Abgleich Generation'!H$39)*'Modell Erzeugung'!$D$2:$AZ$35)+SUMPRODUCT(('Modell Erzeugung'!$C$2:$C$35='Abgleich Generation'!$A70)*('Modell Erzeugung'!$D$1:$AZ$1='Abgleich Generation'!H$38)*'Modell Erzeugung'!$D$2:$AZ$35))/1000000</f>
        <v>0</v>
      </c>
      <c r="I70" s="26">
        <f>(SUMPRODUCT(('Modell Erzeugung'!$C$2:$C$35='Abgleich Generation'!$A70)*('Modell Erzeugung'!$D$1:$AZ$1='Abgleich Generation'!I$40)*'Modell Erzeugung'!$D$2:$AZ$35)+SUMPRODUCT(('Modell Erzeugung'!$C$2:$C$35='Abgleich Generation'!$A70)*('Modell Erzeugung'!$D$1:$AZ$1='Abgleich Generation'!I$39)*'Modell Erzeugung'!$D$2:$AZ$35)+SUMPRODUCT(('Modell Erzeugung'!$C$2:$C$35='Abgleich Generation'!$A70)*('Modell Erzeugung'!$D$1:$AZ$1='Abgleich Generation'!I$38)*'Modell Erzeugung'!$D$2:$AZ$35))/1000000</f>
        <v>0</v>
      </c>
      <c r="J70" s="26">
        <f>(SUMPRODUCT(('Modell Erzeugung'!$C$2:$C$35='Abgleich Generation'!$A70)*('Modell Erzeugung'!$D$1:$AZ$1='Abgleich Generation'!J$40)*'Modell Erzeugung'!$D$2:$AZ$35)+SUMPRODUCT(('Modell Erzeugung'!$C$2:$C$35='Abgleich Generation'!$A70)*('Modell Erzeugung'!$D$1:$AZ$1='Abgleich Generation'!J$39)*'Modell Erzeugung'!$D$2:$AZ$35)+SUMPRODUCT(('Modell Erzeugung'!$C$2:$C$35='Abgleich Generation'!$A70)*('Modell Erzeugung'!$D$1:$AZ$1='Abgleich Generation'!J$38)*'Modell Erzeugung'!$D$2:$AZ$35))/1000000</f>
        <v>0</v>
      </c>
      <c r="K70" s="27">
        <f t="shared" si="58"/>
        <v>91.688975161185027</v>
      </c>
      <c r="L70" s="26">
        <f>(SUMPRODUCT(('Modell Erzeugung'!$C$2:$C$35='Abgleich Generation'!$A70)*('Modell Erzeugung'!$D$1:$AZ$1='Abgleich Generation'!L$40)*'Modell Erzeugung'!$D$2:$AZ$35)+SUMPRODUCT(('Modell Erzeugung'!$C$2:$C$35='Abgleich Generation'!$A70)*('Modell Erzeugung'!$D$1:$AZ$1='Abgleich Generation'!L$39)*'Modell Erzeugung'!$D$2:$AZ$35)+SUMPRODUCT(('Modell Erzeugung'!$C$2:$C$35='Abgleich Generation'!$A70)*('Modell Erzeugung'!$D$1:$AZ$1='Abgleich Generation'!L$38)*'Modell Erzeugung'!$D$2:$AZ$35))/1000000</f>
        <v>63.452211405664102</v>
      </c>
      <c r="M70" s="26">
        <f>(SUMPRODUCT(('Modell Erzeugung'!$C$2:$C$35='Abgleich Generation'!$A70)*('Modell Erzeugung'!$D$1:$AZ$1='Abgleich Generation'!M$40)*'Modell Erzeugung'!$D$2:$AZ$35)+SUMPRODUCT(('Modell Erzeugung'!$C$2:$C$35='Abgleich Generation'!$A70)*('Modell Erzeugung'!$D$1:$AZ$1='Abgleich Generation'!M$39)*'Modell Erzeugung'!$D$2:$AZ$35)+SUMPRODUCT(('Modell Erzeugung'!$C$2:$C$35='Abgleich Generation'!$A70)*('Modell Erzeugung'!$D$1:$AZ$1='Abgleich Generation'!M$38)*'Modell Erzeugung'!$D$2:$AZ$35))/1000000</f>
        <v>0</v>
      </c>
      <c r="N70" s="26">
        <f>(SUMPRODUCT(('Modell Erzeugung'!$C$2:$C$35='Abgleich Generation'!$A70)*('Modell Erzeugung'!$D$1:$AZ$1='Abgleich Generation'!N$40)*'Modell Erzeugung'!$D$2:$AZ$35)+SUMPRODUCT(('Modell Erzeugung'!$C$2:$C$35='Abgleich Generation'!$A70)*('Modell Erzeugung'!$D$1:$AZ$1='Abgleich Generation'!N$39)*'Modell Erzeugung'!$D$2:$AZ$35)+SUMPRODUCT(('Modell Erzeugung'!$C$2:$C$35='Abgleich Generation'!$A70)*('Modell Erzeugung'!$D$1:$AZ$1='Abgleich Generation'!N$38)*'Modell Erzeugung'!$D$2:$AZ$35))/1000000</f>
        <v>0.876</v>
      </c>
      <c r="O70" s="26">
        <f>(SUMPRODUCT(('Modell Erzeugung'!$C$2:$C$35='Abgleich Generation'!$A70)*('Modell Erzeugung'!$D$1:$AZ$1='Abgleich Generation'!O$40)*'Modell Erzeugung'!$D$2:$AZ$35)+SUMPRODUCT(('Modell Erzeugung'!$C$2:$C$35='Abgleich Generation'!$A70)*('Modell Erzeugung'!$D$1:$AZ$1='Abgleich Generation'!O$39)*'Modell Erzeugung'!$D$2:$AZ$35)+SUMPRODUCT(('Modell Erzeugung'!$C$2:$C$35='Abgleich Generation'!$A70)*('Modell Erzeugung'!$D$1:$AZ$1='Abgleich Generation'!O$38)*'Modell Erzeugung'!$D$2:$AZ$35))/1000000</f>
        <v>17.047379487861001</v>
      </c>
      <c r="P70" s="26">
        <f>(SUMPRODUCT(('Modell Erzeugung'!$C$2:$C$35='Abgleich Generation'!$A70)*('Modell Erzeugung'!$D$1:$AZ$1='Abgleich Generation'!P$40)*'Modell Erzeugung'!$D$2:$AZ$35)+SUMPRODUCT(('Modell Erzeugung'!$C$2:$C$35='Abgleich Generation'!$A70)*('Modell Erzeugung'!$D$1:$AZ$1='Abgleich Generation'!P$39)*'Modell Erzeugung'!$D$2:$AZ$35)+SUMPRODUCT(('Modell Erzeugung'!$C$2:$C$35='Abgleich Generation'!$A70)*('Modell Erzeugung'!$D$1:$AZ$1='Abgleich Generation'!P$38)*'Modell Erzeugung'!$D$2:$AZ$35))/1000000</f>
        <v>0.36769724365999995</v>
      </c>
      <c r="Q70" s="26">
        <f>(SUMPRODUCT(('Modell Erzeugung'!$C$2:$C$35='Abgleich Generation'!$A70)*('Modell Erzeugung'!$D$1:$AZ$1='Abgleich Generation'!Q$40)*'Modell Erzeugung'!$D$2:$AZ$35)+SUMPRODUCT(('Modell Erzeugung'!$C$2:$C$35='Abgleich Generation'!$A70)*('Modell Erzeugung'!$D$1:$AZ$1='Abgleich Generation'!Q$39)*'Modell Erzeugung'!$D$2:$AZ$35)+SUMPRODUCT(('Modell Erzeugung'!$C$2:$C$35='Abgleich Generation'!$A70)*('Modell Erzeugung'!$D$1:$AZ$1='Abgleich Generation'!Q$38)*'Modell Erzeugung'!$D$2:$AZ$35))/1000000</f>
        <v>0</v>
      </c>
      <c r="R70" s="26">
        <f>(SUMPRODUCT(('Modell Erzeugung'!$C$2:$C$35='Abgleich Generation'!$A70)*('Modell Erzeugung'!$D$1:$AZ$1='Abgleich Generation'!R$40)*'Modell Erzeugung'!$D$2:$AZ$35)+SUMPRODUCT(('Modell Erzeugung'!$C$2:$C$35='Abgleich Generation'!$A70)*('Modell Erzeugung'!$D$1:$AZ$1='Abgleich Generation'!R$39)*'Modell Erzeugung'!$D$2:$AZ$35)+SUMPRODUCT(('Modell Erzeugung'!$C$2:$C$35='Abgleich Generation'!$A70)*('Modell Erzeugung'!$D$1:$AZ$1='Abgleich Generation'!R$38)*'Modell Erzeugung'!$D$2:$AZ$35))/1000000</f>
        <v>9.9456870239999287</v>
      </c>
      <c r="S70" s="26">
        <f>(SUMPRODUCT(('Modell Erzeugung'!$C$2:$C$35='Abgleich Generation'!$A70)*('Modell Erzeugung'!$D$1:$AZ$1='Abgleich Generation'!S$40)*'Modell Erzeugung'!$D$2:$AZ$35)+SUMPRODUCT(('Modell Erzeugung'!$C$2:$C$35='Abgleich Generation'!$A70)*('Modell Erzeugung'!$D$1:$AZ$1='Abgleich Generation'!S$39)*'Modell Erzeugung'!$D$2:$AZ$35)+SUMPRODUCT(('Modell Erzeugung'!$C$2:$C$35='Abgleich Generation'!$A70)*('Modell Erzeugung'!$D$1:$AZ$1='Abgleich Generation'!S$38)*'Modell Erzeugung'!$D$2:$AZ$35))/1000000</f>
        <v>0</v>
      </c>
      <c r="T70" s="26">
        <f>(SUMPRODUCT(('Modell Erzeugung'!$C$2:$C$35='Abgleich Generation'!$A70)*('Modell Erzeugung'!$D$1:$AZ$1='Abgleich Generation'!T$40)*'Modell Erzeugung'!$D$2:$AZ$35)+SUMPRODUCT(('Modell Erzeugung'!$C$2:$C$35='Abgleich Generation'!$A70)*('Modell Erzeugung'!$D$1:$AZ$1='Abgleich Generation'!T$39)*'Modell Erzeugung'!$D$2:$AZ$35)+SUMPRODUCT(('Modell Erzeugung'!$C$2:$C$35='Abgleich Generation'!$A70)*('Modell Erzeugung'!$D$1:$AZ$1='Abgleich Generation'!T$38)*'Modell Erzeugung'!$D$2:$AZ$35))/1000000</f>
        <v>0</v>
      </c>
      <c r="U70" s="26">
        <f>(SUMPRODUCT(('Modell Erzeugung'!$C$2:$C$35='Abgleich Generation'!$A70)*('Modell Erzeugung'!$D$1:$AZ$1='Abgleich Generation'!U$40)*'Modell Erzeugung'!$D$2:$AZ$35)+SUMPRODUCT(('Modell Erzeugung'!$C$2:$C$35='Abgleich Generation'!$A70)*('Modell Erzeugung'!$D$1:$AZ$1='Abgleich Generation'!U$39)*'Modell Erzeugung'!$D$2:$AZ$35)+SUMPRODUCT(('Modell Erzeugung'!$C$2:$C$35='Abgleich Generation'!$A70)*('Modell Erzeugung'!$D$1:$AZ$1='Abgleich Generation'!U$38)*'Modell Erzeugung'!$D$2:$AZ$35))/1000000</f>
        <v>0</v>
      </c>
      <c r="V70" s="27">
        <f t="shared" si="59"/>
        <v>160.96032791952382</v>
      </c>
      <c r="W70" s="28"/>
      <c r="X70" s="29">
        <f t="shared" si="55"/>
        <v>142.44853088608042</v>
      </c>
      <c r="Y70" s="29">
        <f>(SUMPRODUCT(('Modell Erzeugung'!$C$2:$C$35='Abgleich Generation'!$A70)*('Modell Erzeugung'!$D$1:$AZ$1='Abgleich Generation'!Y$40)*'Modell Erzeugung'!$D$2:$AZ$35)+SUMPRODUCT(('Modell Erzeugung'!$C$2:$C$35='Abgleich Generation'!$A70)*('Modell Erzeugung'!$D$1:$AZ$1='Abgleich Generation'!Y$39)*'Modell Erzeugung'!$D$2:$AZ$35))/1000000</f>
        <v>-18.511797033443401</v>
      </c>
      <c r="AA70" s="64"/>
    </row>
    <row r="71" spans="1:27" x14ac:dyDescent="0.25">
      <c r="A71" s="14" t="s">
        <v>38</v>
      </c>
      <c r="B71" s="57">
        <f t="shared" si="53"/>
        <v>9.9035307485809998</v>
      </c>
      <c r="C71" s="58">
        <f>(SUMPRODUCT(('Modell Erzeugung'!$C$2:$C$35='Abgleich Generation'!$A71)*('Modell Erzeugung'!$D$1:$AZ$1='Abgleich Generation'!C$40)*'Modell Erzeugung'!$D$2:$AZ$35)+SUMPRODUCT(('Modell Erzeugung'!$C$2:$C$35='Abgleich Generation'!$A71)*('Modell Erzeugung'!$D$1:$AZ$1='Abgleich Generation'!C$39)*'Modell Erzeugung'!$D$2:$AZ$35)+SUMPRODUCT(('Modell Erzeugung'!$C$2:$C$35='Abgleich Generation'!$A71)*('Modell Erzeugung'!$D$1:$AZ$1='Abgleich Generation'!C$38)*'Modell Erzeugung'!$D$2:$AZ$35))/1000000</f>
        <v>4.9128510899999807</v>
      </c>
      <c r="D71" s="58">
        <f t="shared" si="54"/>
        <v>4.9906796585810191</v>
      </c>
      <c r="E71" s="58">
        <f>(SUMPRODUCT(('Modell Erzeugung'!$C$2:$C$35='Abgleich Generation'!$A71)*('Modell Erzeugung'!$D$1:$AZ$1='Abgleich Generation'!E$40)*'Modell Erzeugung'!$D$2:$AZ$35)+SUMPRODUCT(('Modell Erzeugung'!$C$2:$C$35='Abgleich Generation'!$A71)*('Modell Erzeugung'!$D$1:$AZ$1='Abgleich Generation'!E$39)*'Modell Erzeugung'!$D$2:$AZ$35)+SUMPRODUCT(('Modell Erzeugung'!$C$2:$C$35='Abgleich Generation'!$A71)*('Modell Erzeugung'!$D$1:$AZ$1='Abgleich Generation'!E$38)*'Modell Erzeugung'!$D$2:$AZ$35))/1000000</f>
        <v>4.0118568890240205</v>
      </c>
      <c r="F71" s="58">
        <f>(SUMPRODUCT(('Modell Erzeugung'!$C$2:$C$35='Abgleich Generation'!$A71)*('Modell Erzeugung'!$D$1:$AZ$1='Abgleich Generation'!F$40)*'Modell Erzeugung'!$D$2:$AZ$35)+SUMPRODUCT(('Modell Erzeugung'!$C$2:$C$35='Abgleich Generation'!$A71)*('Modell Erzeugung'!$D$1:$AZ$1='Abgleich Generation'!F$39)*'Modell Erzeugung'!$D$2:$AZ$35)+SUMPRODUCT(('Modell Erzeugung'!$C$2:$C$35='Abgleich Generation'!$A71)*('Modell Erzeugung'!$D$1:$AZ$1='Abgleich Generation'!F$38)*'Modell Erzeugung'!$D$2:$AZ$35))/1000000</f>
        <v>0.19590376955699901</v>
      </c>
      <c r="G71" s="58">
        <f>(SUMPRODUCT(('Modell Erzeugung'!$C$2:$C$35='Abgleich Generation'!$A71)*('Modell Erzeugung'!$D$1:$AZ$1='Abgleich Generation'!G$40)*'Modell Erzeugung'!$D$2:$AZ$35)+SUMPRODUCT(('Modell Erzeugung'!$C$2:$C$35='Abgleich Generation'!$A71)*('Modell Erzeugung'!$D$1:$AZ$1='Abgleich Generation'!G$39)*'Modell Erzeugung'!$D$2:$AZ$35)+SUMPRODUCT(('Modell Erzeugung'!$C$2:$C$35='Abgleich Generation'!$A71)*('Modell Erzeugung'!$D$1:$AZ$1='Abgleich Generation'!G$38)*'Modell Erzeugung'!$D$2:$AZ$35))/1000000</f>
        <v>0.78291900000000003</v>
      </c>
      <c r="H71" s="58">
        <f>(SUMPRODUCT(('Modell Erzeugung'!$C$2:$C$35='Abgleich Generation'!$A71)*('Modell Erzeugung'!$D$1:$AZ$1='Abgleich Generation'!H$40)*'Modell Erzeugung'!$D$2:$AZ$35)+SUMPRODUCT(('Modell Erzeugung'!$C$2:$C$35='Abgleich Generation'!$A71)*('Modell Erzeugung'!$D$1:$AZ$1='Abgleich Generation'!H$39)*'Modell Erzeugung'!$D$2:$AZ$35)+SUMPRODUCT(('Modell Erzeugung'!$C$2:$C$35='Abgleich Generation'!$A71)*('Modell Erzeugung'!$D$1:$AZ$1='Abgleich Generation'!H$38)*'Modell Erzeugung'!$D$2:$AZ$35))/1000000</f>
        <v>0</v>
      </c>
      <c r="I71" s="58">
        <f>(SUMPRODUCT(('Modell Erzeugung'!$C$2:$C$35='Abgleich Generation'!$A71)*('Modell Erzeugung'!$D$1:$AZ$1='Abgleich Generation'!I$40)*'Modell Erzeugung'!$D$2:$AZ$35)+SUMPRODUCT(('Modell Erzeugung'!$C$2:$C$35='Abgleich Generation'!$A71)*('Modell Erzeugung'!$D$1:$AZ$1='Abgleich Generation'!I$39)*'Modell Erzeugung'!$D$2:$AZ$35)+SUMPRODUCT(('Modell Erzeugung'!$C$2:$C$35='Abgleich Generation'!$A71)*('Modell Erzeugung'!$D$1:$AZ$1='Abgleich Generation'!I$38)*'Modell Erzeugung'!$D$2:$AZ$35))/1000000</f>
        <v>0</v>
      </c>
      <c r="J71" s="58">
        <f>(SUMPRODUCT(('Modell Erzeugung'!$C$2:$C$35='Abgleich Generation'!$A71)*('Modell Erzeugung'!$D$1:$AZ$1='Abgleich Generation'!J$40)*'Modell Erzeugung'!$D$2:$AZ$35)+SUMPRODUCT(('Modell Erzeugung'!$C$2:$C$35='Abgleich Generation'!$A71)*('Modell Erzeugung'!$D$1:$AZ$1='Abgleich Generation'!J$39)*'Modell Erzeugung'!$D$2:$AZ$35)+SUMPRODUCT(('Modell Erzeugung'!$C$2:$C$35='Abgleich Generation'!$A71)*('Modell Erzeugung'!$D$1:$AZ$1='Abgleich Generation'!J$38)*'Modell Erzeugung'!$D$2:$AZ$35))/1000000</f>
        <v>0</v>
      </c>
      <c r="K71" s="59">
        <f t="shared" si="58"/>
        <v>4.0665245658529985</v>
      </c>
      <c r="L71" s="58">
        <f>(SUMPRODUCT(('Modell Erzeugung'!$C$2:$C$35='Abgleich Generation'!$A71)*('Modell Erzeugung'!$D$1:$AZ$1='Abgleich Generation'!L$40)*'Modell Erzeugung'!$D$2:$AZ$35)+SUMPRODUCT(('Modell Erzeugung'!$C$2:$C$35='Abgleich Generation'!$A71)*('Modell Erzeugung'!$D$1:$AZ$1='Abgleich Generation'!L$39)*'Modell Erzeugung'!$D$2:$AZ$35)+SUMPRODUCT(('Modell Erzeugung'!$C$2:$C$35='Abgleich Generation'!$A71)*('Modell Erzeugung'!$D$1:$AZ$1='Abgleich Generation'!L$38)*'Modell Erzeugung'!$D$2:$AZ$35))/1000000</f>
        <v>3.3185247699859999</v>
      </c>
      <c r="M71" s="58">
        <f>(SUMPRODUCT(('Modell Erzeugung'!$C$2:$C$35='Abgleich Generation'!$A71)*('Modell Erzeugung'!$D$1:$AZ$1='Abgleich Generation'!M$40)*'Modell Erzeugung'!$D$2:$AZ$35)+SUMPRODUCT(('Modell Erzeugung'!$C$2:$C$35='Abgleich Generation'!$A71)*('Modell Erzeugung'!$D$1:$AZ$1='Abgleich Generation'!M$39)*'Modell Erzeugung'!$D$2:$AZ$35)+SUMPRODUCT(('Modell Erzeugung'!$C$2:$C$35='Abgleich Generation'!$A71)*('Modell Erzeugung'!$D$1:$AZ$1='Abgleich Generation'!M$38)*'Modell Erzeugung'!$D$2:$AZ$35))/1000000</f>
        <v>0</v>
      </c>
      <c r="N71" s="58">
        <f>(SUMPRODUCT(('Modell Erzeugung'!$C$2:$C$35='Abgleich Generation'!$A71)*('Modell Erzeugung'!$D$1:$AZ$1='Abgleich Generation'!N$40)*'Modell Erzeugung'!$D$2:$AZ$35)+SUMPRODUCT(('Modell Erzeugung'!$C$2:$C$35='Abgleich Generation'!$A71)*('Modell Erzeugung'!$D$1:$AZ$1='Abgleich Generation'!N$39)*'Modell Erzeugung'!$D$2:$AZ$35)+SUMPRODUCT(('Modell Erzeugung'!$C$2:$C$35='Abgleich Generation'!$A71)*('Modell Erzeugung'!$D$1:$AZ$1='Abgleich Generation'!N$38)*'Modell Erzeugung'!$D$2:$AZ$35))/1000000</f>
        <v>0</v>
      </c>
      <c r="O71" s="58">
        <f>(SUMPRODUCT(('Modell Erzeugung'!$C$2:$C$35='Abgleich Generation'!$A71)*('Modell Erzeugung'!$D$1:$AZ$1='Abgleich Generation'!O$40)*'Modell Erzeugung'!$D$2:$AZ$35)+SUMPRODUCT(('Modell Erzeugung'!$C$2:$C$35='Abgleich Generation'!$A71)*('Modell Erzeugung'!$D$1:$AZ$1='Abgleich Generation'!O$39)*'Modell Erzeugung'!$D$2:$AZ$35)+SUMPRODUCT(('Modell Erzeugung'!$C$2:$C$35='Abgleich Generation'!$A71)*('Modell Erzeugung'!$D$1:$AZ$1='Abgleich Generation'!O$38)*'Modell Erzeugung'!$D$2:$AZ$35))/1000000</f>
        <v>8.8999792236999997E-2</v>
      </c>
      <c r="P71" s="58">
        <f>(SUMPRODUCT(('Modell Erzeugung'!$C$2:$C$35='Abgleich Generation'!$A71)*('Modell Erzeugung'!$D$1:$AZ$1='Abgleich Generation'!P$40)*'Modell Erzeugung'!$D$2:$AZ$35)+SUMPRODUCT(('Modell Erzeugung'!$C$2:$C$35='Abgleich Generation'!$A71)*('Modell Erzeugung'!$D$1:$AZ$1='Abgleich Generation'!P$39)*'Modell Erzeugung'!$D$2:$AZ$35)+SUMPRODUCT(('Modell Erzeugung'!$C$2:$C$35='Abgleich Generation'!$A71)*('Modell Erzeugung'!$D$1:$AZ$1='Abgleich Generation'!P$38)*'Modell Erzeugung'!$D$2:$AZ$35))/1000000</f>
        <v>0</v>
      </c>
      <c r="Q71" s="58">
        <f>(SUMPRODUCT(('Modell Erzeugung'!$C$2:$C$35='Abgleich Generation'!$A71)*('Modell Erzeugung'!$D$1:$AZ$1='Abgleich Generation'!Q$40)*'Modell Erzeugung'!$D$2:$AZ$35)+SUMPRODUCT(('Modell Erzeugung'!$C$2:$C$35='Abgleich Generation'!$A71)*('Modell Erzeugung'!$D$1:$AZ$1='Abgleich Generation'!Q$39)*'Modell Erzeugung'!$D$2:$AZ$35)+SUMPRODUCT(('Modell Erzeugung'!$C$2:$C$35='Abgleich Generation'!$A71)*('Modell Erzeugung'!$D$1:$AZ$1='Abgleich Generation'!Q$38)*'Modell Erzeugung'!$D$2:$AZ$35))/1000000</f>
        <v>0</v>
      </c>
      <c r="R71" s="58">
        <f>(SUMPRODUCT(('Modell Erzeugung'!$C$2:$C$35='Abgleich Generation'!$A71)*('Modell Erzeugung'!$D$1:$AZ$1='Abgleich Generation'!R$40)*'Modell Erzeugung'!$D$2:$AZ$35)+SUMPRODUCT(('Modell Erzeugung'!$C$2:$C$35='Abgleich Generation'!$A71)*('Modell Erzeugung'!$D$1:$AZ$1='Abgleich Generation'!R$39)*'Modell Erzeugung'!$D$2:$AZ$35)+SUMPRODUCT(('Modell Erzeugung'!$C$2:$C$35='Abgleich Generation'!$A71)*('Modell Erzeugung'!$D$1:$AZ$1='Abgleich Generation'!R$38)*'Modell Erzeugung'!$D$2:$AZ$35))/1000000</f>
        <v>0.659000003629999</v>
      </c>
      <c r="S71" s="58">
        <f>(SUMPRODUCT(('Modell Erzeugung'!$C$2:$C$35='Abgleich Generation'!$A71)*('Modell Erzeugung'!$D$1:$AZ$1='Abgleich Generation'!S$40)*'Modell Erzeugung'!$D$2:$AZ$35)+SUMPRODUCT(('Modell Erzeugung'!$C$2:$C$35='Abgleich Generation'!$A71)*('Modell Erzeugung'!$D$1:$AZ$1='Abgleich Generation'!S$39)*'Modell Erzeugung'!$D$2:$AZ$35)+SUMPRODUCT(('Modell Erzeugung'!$C$2:$C$35='Abgleich Generation'!$A71)*('Modell Erzeugung'!$D$1:$AZ$1='Abgleich Generation'!S$38)*'Modell Erzeugung'!$D$2:$AZ$35))/1000000</f>
        <v>0</v>
      </c>
      <c r="T71" s="58">
        <f>(SUMPRODUCT(('Modell Erzeugung'!$C$2:$C$35='Abgleich Generation'!$A71)*('Modell Erzeugung'!$D$1:$AZ$1='Abgleich Generation'!T$40)*'Modell Erzeugung'!$D$2:$AZ$35)+SUMPRODUCT(('Modell Erzeugung'!$C$2:$C$35='Abgleich Generation'!$A71)*('Modell Erzeugung'!$D$1:$AZ$1='Abgleich Generation'!T$39)*'Modell Erzeugung'!$D$2:$AZ$35)+SUMPRODUCT(('Modell Erzeugung'!$C$2:$C$35='Abgleich Generation'!$A71)*('Modell Erzeugung'!$D$1:$AZ$1='Abgleich Generation'!T$38)*'Modell Erzeugung'!$D$2:$AZ$35))/1000000</f>
        <v>0</v>
      </c>
      <c r="U71" s="58">
        <f>(SUMPRODUCT(('Modell Erzeugung'!$C$2:$C$35='Abgleich Generation'!$A71)*('Modell Erzeugung'!$D$1:$AZ$1='Abgleich Generation'!U$40)*'Modell Erzeugung'!$D$2:$AZ$35)+SUMPRODUCT(('Modell Erzeugung'!$C$2:$C$35='Abgleich Generation'!$A71)*('Modell Erzeugung'!$D$1:$AZ$1='Abgleich Generation'!U$39)*'Modell Erzeugung'!$D$2:$AZ$35)+SUMPRODUCT(('Modell Erzeugung'!$C$2:$C$35='Abgleich Generation'!$A71)*('Modell Erzeugung'!$D$1:$AZ$1='Abgleich Generation'!U$38)*'Modell Erzeugung'!$D$2:$AZ$35))/1000000</f>
        <v>0</v>
      </c>
      <c r="V71" s="59">
        <f t="shared" si="59"/>
        <v>13.970055314433999</v>
      </c>
      <c r="W71" s="60"/>
      <c r="X71" s="61">
        <f t="shared" si="55"/>
        <v>13.613899287274277</v>
      </c>
      <c r="Y71" s="61">
        <f>(SUMPRODUCT(('Modell Erzeugung'!$C$2:$C$35='Abgleich Generation'!$A71)*('Modell Erzeugung'!$D$1:$AZ$1='Abgleich Generation'!Y$40)*'Modell Erzeugung'!$D$2:$AZ$35)+SUMPRODUCT(('Modell Erzeugung'!$C$2:$C$35='Abgleich Generation'!$A71)*('Modell Erzeugung'!$D$1:$AZ$1='Abgleich Generation'!Y$39)*'Modell Erzeugung'!$D$2:$AZ$35))/1000000</f>
        <v>-0.356156027159722</v>
      </c>
    </row>
    <row r="72" spans="1:27" x14ac:dyDescent="0.25">
      <c r="A72" s="14" t="s">
        <v>39</v>
      </c>
      <c r="B72" s="25">
        <f t="shared" si="53"/>
        <v>23.233594426116927</v>
      </c>
      <c r="C72" s="26">
        <f>(SUMPRODUCT(('Modell Erzeugung'!$C$2:$C$35='Abgleich Generation'!$A72)*('Modell Erzeugung'!$D$1:$AZ$1='Abgleich Generation'!C$40)*'Modell Erzeugung'!$D$2:$AZ$35)+SUMPRODUCT(('Modell Erzeugung'!$C$2:$C$35='Abgleich Generation'!$A72)*('Modell Erzeugung'!$D$1:$AZ$1='Abgleich Generation'!C$39)*'Modell Erzeugung'!$D$2:$AZ$35)+SUMPRODUCT(('Modell Erzeugung'!$C$2:$C$35='Abgleich Generation'!$A72)*('Modell Erzeugung'!$D$1:$AZ$1='Abgleich Generation'!C$38)*'Modell Erzeugung'!$D$2:$AZ$35))/1000000</f>
        <v>12.0983483999999</v>
      </c>
      <c r="D72" s="26">
        <f t="shared" si="54"/>
        <v>11.135246026117027</v>
      </c>
      <c r="E72" s="26">
        <f>(SUMPRODUCT(('Modell Erzeugung'!$C$2:$C$35='Abgleich Generation'!$A72)*('Modell Erzeugung'!$D$1:$AZ$1='Abgleich Generation'!E$40)*'Modell Erzeugung'!$D$2:$AZ$35)+SUMPRODUCT(('Modell Erzeugung'!$C$2:$C$35='Abgleich Generation'!$A72)*('Modell Erzeugung'!$D$1:$AZ$1='Abgleich Generation'!E$39)*'Modell Erzeugung'!$D$2:$AZ$35)+SUMPRODUCT(('Modell Erzeugung'!$C$2:$C$35='Abgleich Generation'!$A72)*('Modell Erzeugung'!$D$1:$AZ$1='Abgleich Generation'!E$38)*'Modell Erzeugung'!$D$2:$AZ$35))/1000000</f>
        <v>4.162138076253</v>
      </c>
      <c r="F72" s="26">
        <f>(SUMPRODUCT(('Modell Erzeugung'!$C$2:$C$35='Abgleich Generation'!$A72)*('Modell Erzeugung'!$D$1:$AZ$1='Abgleich Generation'!F$40)*'Modell Erzeugung'!$D$2:$AZ$35)+SUMPRODUCT(('Modell Erzeugung'!$C$2:$C$35='Abgleich Generation'!$A72)*('Modell Erzeugung'!$D$1:$AZ$1='Abgleich Generation'!F$39)*'Modell Erzeugung'!$D$2:$AZ$35)+SUMPRODUCT(('Modell Erzeugung'!$C$2:$C$35='Abgleich Generation'!$A72)*('Modell Erzeugung'!$D$1:$AZ$1='Abgleich Generation'!F$38)*'Modell Erzeugung'!$D$2:$AZ$35))/1000000</f>
        <v>5.8135283884020206</v>
      </c>
      <c r="G72" s="26">
        <f>(SUMPRODUCT(('Modell Erzeugung'!$C$2:$C$35='Abgleich Generation'!$A72)*('Modell Erzeugung'!$D$1:$AZ$1='Abgleich Generation'!G$40)*'Modell Erzeugung'!$D$2:$AZ$35)+SUMPRODUCT(('Modell Erzeugung'!$C$2:$C$35='Abgleich Generation'!$A72)*('Modell Erzeugung'!$D$1:$AZ$1='Abgleich Generation'!G$39)*'Modell Erzeugung'!$D$2:$AZ$35)+SUMPRODUCT(('Modell Erzeugung'!$C$2:$C$35='Abgleich Generation'!$A72)*('Modell Erzeugung'!$D$1:$AZ$1='Abgleich Generation'!G$38)*'Modell Erzeugung'!$D$2:$AZ$35))/1000000</f>
        <v>1.159579561462007</v>
      </c>
      <c r="H72" s="26">
        <f>(SUMPRODUCT(('Modell Erzeugung'!$C$2:$C$35='Abgleich Generation'!$A72)*('Modell Erzeugung'!$D$1:$AZ$1='Abgleich Generation'!H$40)*'Modell Erzeugung'!$D$2:$AZ$35)+SUMPRODUCT(('Modell Erzeugung'!$C$2:$C$35='Abgleich Generation'!$A72)*('Modell Erzeugung'!$D$1:$AZ$1='Abgleich Generation'!H$39)*'Modell Erzeugung'!$D$2:$AZ$35)+SUMPRODUCT(('Modell Erzeugung'!$C$2:$C$35='Abgleich Generation'!$A72)*('Modell Erzeugung'!$D$1:$AZ$1='Abgleich Generation'!H$38)*'Modell Erzeugung'!$D$2:$AZ$35))/1000000</f>
        <v>0</v>
      </c>
      <c r="I72" s="26">
        <f>(SUMPRODUCT(('Modell Erzeugung'!$C$2:$C$35='Abgleich Generation'!$A72)*('Modell Erzeugung'!$D$1:$AZ$1='Abgleich Generation'!I$40)*'Modell Erzeugung'!$D$2:$AZ$35)+SUMPRODUCT(('Modell Erzeugung'!$C$2:$C$35='Abgleich Generation'!$A72)*('Modell Erzeugung'!$D$1:$AZ$1='Abgleich Generation'!I$39)*'Modell Erzeugung'!$D$2:$AZ$35)+SUMPRODUCT(('Modell Erzeugung'!$C$2:$C$35='Abgleich Generation'!$A72)*('Modell Erzeugung'!$D$1:$AZ$1='Abgleich Generation'!I$38)*'Modell Erzeugung'!$D$2:$AZ$35))/1000000</f>
        <v>0</v>
      </c>
      <c r="J72" s="26">
        <f>(SUMPRODUCT(('Modell Erzeugung'!$C$2:$C$35='Abgleich Generation'!$A72)*('Modell Erzeugung'!$D$1:$AZ$1='Abgleich Generation'!J$40)*'Modell Erzeugung'!$D$2:$AZ$35)+SUMPRODUCT(('Modell Erzeugung'!$C$2:$C$35='Abgleich Generation'!$A72)*('Modell Erzeugung'!$D$1:$AZ$1='Abgleich Generation'!J$39)*'Modell Erzeugung'!$D$2:$AZ$35)+SUMPRODUCT(('Modell Erzeugung'!$C$2:$C$35='Abgleich Generation'!$A72)*('Modell Erzeugung'!$D$1:$AZ$1='Abgleich Generation'!J$38)*'Modell Erzeugung'!$D$2:$AZ$35))/1000000</f>
        <v>0</v>
      </c>
      <c r="K72" s="27">
        <f t="shared" si="58"/>
        <v>4.1197085134210001</v>
      </c>
      <c r="L72" s="26">
        <f>(SUMPRODUCT(('Modell Erzeugung'!$C$2:$C$35='Abgleich Generation'!$A72)*('Modell Erzeugung'!$D$1:$AZ$1='Abgleich Generation'!L$40)*'Modell Erzeugung'!$D$2:$AZ$35)+SUMPRODUCT(('Modell Erzeugung'!$C$2:$C$35='Abgleich Generation'!$A72)*('Modell Erzeugung'!$D$1:$AZ$1='Abgleich Generation'!L$39)*'Modell Erzeugung'!$D$2:$AZ$35)+SUMPRODUCT(('Modell Erzeugung'!$C$2:$C$35='Abgleich Generation'!$A72)*('Modell Erzeugung'!$D$1:$AZ$1='Abgleich Generation'!L$38)*'Modell Erzeugung'!$D$2:$AZ$35))/1000000</f>
        <v>4.1197085134210001</v>
      </c>
      <c r="M72" s="26">
        <f>(SUMPRODUCT(('Modell Erzeugung'!$C$2:$C$35='Abgleich Generation'!$A72)*('Modell Erzeugung'!$D$1:$AZ$1='Abgleich Generation'!M$40)*'Modell Erzeugung'!$D$2:$AZ$35)+SUMPRODUCT(('Modell Erzeugung'!$C$2:$C$35='Abgleich Generation'!$A72)*('Modell Erzeugung'!$D$1:$AZ$1='Abgleich Generation'!M$39)*'Modell Erzeugung'!$D$2:$AZ$35)+SUMPRODUCT(('Modell Erzeugung'!$C$2:$C$35='Abgleich Generation'!$A72)*('Modell Erzeugung'!$D$1:$AZ$1='Abgleich Generation'!M$38)*'Modell Erzeugung'!$D$2:$AZ$35))/1000000</f>
        <v>0</v>
      </c>
      <c r="N72" s="26">
        <f>(SUMPRODUCT(('Modell Erzeugung'!$C$2:$C$35='Abgleich Generation'!$A72)*('Modell Erzeugung'!$D$1:$AZ$1='Abgleich Generation'!N$40)*'Modell Erzeugung'!$D$2:$AZ$35)+SUMPRODUCT(('Modell Erzeugung'!$C$2:$C$35='Abgleich Generation'!$A72)*('Modell Erzeugung'!$D$1:$AZ$1='Abgleich Generation'!N$39)*'Modell Erzeugung'!$D$2:$AZ$35)+SUMPRODUCT(('Modell Erzeugung'!$C$2:$C$35='Abgleich Generation'!$A72)*('Modell Erzeugung'!$D$1:$AZ$1='Abgleich Generation'!N$38)*'Modell Erzeugung'!$D$2:$AZ$35))/1000000</f>
        <v>0</v>
      </c>
      <c r="O72" s="26">
        <f>(SUMPRODUCT(('Modell Erzeugung'!$C$2:$C$35='Abgleich Generation'!$A72)*('Modell Erzeugung'!$D$1:$AZ$1='Abgleich Generation'!O$40)*'Modell Erzeugung'!$D$2:$AZ$35)+SUMPRODUCT(('Modell Erzeugung'!$C$2:$C$35='Abgleich Generation'!$A72)*('Modell Erzeugung'!$D$1:$AZ$1='Abgleich Generation'!O$39)*'Modell Erzeugung'!$D$2:$AZ$35)+SUMPRODUCT(('Modell Erzeugung'!$C$2:$C$35='Abgleich Generation'!$A72)*('Modell Erzeugung'!$D$1:$AZ$1='Abgleich Generation'!O$38)*'Modell Erzeugung'!$D$2:$AZ$35))/1000000</f>
        <v>0</v>
      </c>
      <c r="P72" s="26">
        <f>(SUMPRODUCT(('Modell Erzeugung'!$C$2:$C$35='Abgleich Generation'!$A72)*('Modell Erzeugung'!$D$1:$AZ$1='Abgleich Generation'!P$40)*'Modell Erzeugung'!$D$2:$AZ$35)+SUMPRODUCT(('Modell Erzeugung'!$C$2:$C$35='Abgleich Generation'!$A72)*('Modell Erzeugung'!$D$1:$AZ$1='Abgleich Generation'!P$39)*'Modell Erzeugung'!$D$2:$AZ$35)+SUMPRODUCT(('Modell Erzeugung'!$C$2:$C$35='Abgleich Generation'!$A72)*('Modell Erzeugung'!$D$1:$AZ$1='Abgleich Generation'!P$38)*'Modell Erzeugung'!$D$2:$AZ$35))/1000000</f>
        <v>0</v>
      </c>
      <c r="Q72" s="26">
        <f>(SUMPRODUCT(('Modell Erzeugung'!$C$2:$C$35='Abgleich Generation'!$A72)*('Modell Erzeugung'!$D$1:$AZ$1='Abgleich Generation'!Q$40)*'Modell Erzeugung'!$D$2:$AZ$35)+SUMPRODUCT(('Modell Erzeugung'!$C$2:$C$35='Abgleich Generation'!$A72)*('Modell Erzeugung'!$D$1:$AZ$1='Abgleich Generation'!Q$39)*'Modell Erzeugung'!$D$2:$AZ$35)+SUMPRODUCT(('Modell Erzeugung'!$C$2:$C$35='Abgleich Generation'!$A72)*('Modell Erzeugung'!$D$1:$AZ$1='Abgleich Generation'!Q$38)*'Modell Erzeugung'!$D$2:$AZ$35))/1000000</f>
        <v>0</v>
      </c>
      <c r="R72" s="26">
        <f>(SUMPRODUCT(('Modell Erzeugung'!$C$2:$C$35='Abgleich Generation'!$A72)*('Modell Erzeugung'!$D$1:$AZ$1='Abgleich Generation'!R$40)*'Modell Erzeugung'!$D$2:$AZ$35)+SUMPRODUCT(('Modell Erzeugung'!$C$2:$C$35='Abgleich Generation'!$A72)*('Modell Erzeugung'!$D$1:$AZ$1='Abgleich Generation'!R$39)*'Modell Erzeugung'!$D$2:$AZ$35)+SUMPRODUCT(('Modell Erzeugung'!$C$2:$C$35='Abgleich Generation'!$A72)*('Modell Erzeugung'!$D$1:$AZ$1='Abgleich Generation'!R$38)*'Modell Erzeugung'!$D$2:$AZ$35))/1000000</f>
        <v>0</v>
      </c>
      <c r="S72" s="26">
        <f>(SUMPRODUCT(('Modell Erzeugung'!$C$2:$C$35='Abgleich Generation'!$A72)*('Modell Erzeugung'!$D$1:$AZ$1='Abgleich Generation'!S$40)*'Modell Erzeugung'!$D$2:$AZ$35)+SUMPRODUCT(('Modell Erzeugung'!$C$2:$C$35='Abgleich Generation'!$A72)*('Modell Erzeugung'!$D$1:$AZ$1='Abgleich Generation'!S$39)*'Modell Erzeugung'!$D$2:$AZ$35)+SUMPRODUCT(('Modell Erzeugung'!$C$2:$C$35='Abgleich Generation'!$A72)*('Modell Erzeugung'!$D$1:$AZ$1='Abgleich Generation'!S$38)*'Modell Erzeugung'!$D$2:$AZ$35))/1000000</f>
        <v>0</v>
      </c>
      <c r="T72" s="26">
        <f>(SUMPRODUCT(('Modell Erzeugung'!$C$2:$C$35='Abgleich Generation'!$A72)*('Modell Erzeugung'!$D$1:$AZ$1='Abgleich Generation'!T$40)*'Modell Erzeugung'!$D$2:$AZ$35)+SUMPRODUCT(('Modell Erzeugung'!$C$2:$C$35='Abgleich Generation'!$A72)*('Modell Erzeugung'!$D$1:$AZ$1='Abgleich Generation'!T$39)*'Modell Erzeugung'!$D$2:$AZ$35)+SUMPRODUCT(('Modell Erzeugung'!$C$2:$C$35='Abgleich Generation'!$A72)*('Modell Erzeugung'!$D$1:$AZ$1='Abgleich Generation'!T$38)*'Modell Erzeugung'!$D$2:$AZ$35))/1000000</f>
        <v>0</v>
      </c>
      <c r="U72" s="26">
        <f>(SUMPRODUCT(('Modell Erzeugung'!$C$2:$C$35='Abgleich Generation'!$A72)*('Modell Erzeugung'!$D$1:$AZ$1='Abgleich Generation'!U$40)*'Modell Erzeugung'!$D$2:$AZ$35)+SUMPRODUCT(('Modell Erzeugung'!$C$2:$C$35='Abgleich Generation'!$A72)*('Modell Erzeugung'!$D$1:$AZ$1='Abgleich Generation'!U$39)*'Modell Erzeugung'!$D$2:$AZ$35)+SUMPRODUCT(('Modell Erzeugung'!$C$2:$C$35='Abgleich Generation'!$A72)*('Modell Erzeugung'!$D$1:$AZ$1='Abgleich Generation'!U$38)*'Modell Erzeugung'!$D$2:$AZ$35))/1000000</f>
        <v>0</v>
      </c>
      <c r="V72" s="27">
        <f t="shared" si="59"/>
        <v>27.353302939537926</v>
      </c>
      <c r="W72" s="28"/>
      <c r="X72" s="29">
        <f t="shared" si="55"/>
        <v>27.525837528397926</v>
      </c>
      <c r="Y72" s="29">
        <f>(SUMPRODUCT(('Modell Erzeugung'!$C$2:$C$35='Abgleich Generation'!$A72)*('Modell Erzeugung'!$D$1:$AZ$1='Abgleich Generation'!Y$40)*'Modell Erzeugung'!$D$2:$AZ$35)+SUMPRODUCT(('Modell Erzeugung'!$C$2:$C$35='Abgleich Generation'!$A72)*('Modell Erzeugung'!$D$1:$AZ$1='Abgleich Generation'!Y$39)*'Modell Erzeugung'!$D$2:$AZ$35))/1000000</f>
        <v>0.17253458885999998</v>
      </c>
    </row>
    <row r="75" spans="1:27" x14ac:dyDescent="0.25">
      <c r="A75" s="50" t="s">
        <v>138</v>
      </c>
    </row>
    <row r="76" spans="1:27" x14ac:dyDescent="0.25">
      <c r="A76" s="41"/>
      <c r="B76" s="42"/>
      <c r="C76" s="42"/>
      <c r="D76" s="42"/>
      <c r="E76" s="42"/>
      <c r="F76" s="42"/>
      <c r="G76" s="42"/>
      <c r="H76" s="42"/>
      <c r="I76" s="51"/>
      <c r="J76" s="42"/>
      <c r="K76" s="42"/>
      <c r="L76" s="51" t="s">
        <v>50</v>
      </c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3"/>
    </row>
    <row r="77" spans="1:27" x14ac:dyDescent="0.25">
      <c r="A77" s="44"/>
      <c r="B77" s="52"/>
      <c r="C77" s="52"/>
      <c r="D77" s="52"/>
      <c r="E77" s="52"/>
      <c r="F77" s="52"/>
      <c r="G77" s="52"/>
      <c r="H77" s="52"/>
      <c r="I77" s="45"/>
      <c r="J77" s="52"/>
      <c r="K77" s="52"/>
      <c r="L77" s="45" t="s">
        <v>51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3"/>
    </row>
    <row r="78" spans="1:27" x14ac:dyDescent="0.25">
      <c r="A78" s="44"/>
      <c r="B78" s="45"/>
      <c r="C78" s="45"/>
      <c r="D78" s="45"/>
      <c r="E78" s="45"/>
      <c r="F78" s="45"/>
      <c r="G78" s="45"/>
      <c r="H78" s="45"/>
      <c r="I78" s="45" t="s">
        <v>148</v>
      </c>
      <c r="J78" s="45"/>
      <c r="K78" s="45"/>
      <c r="L78" s="45" t="s">
        <v>52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6"/>
    </row>
    <row r="79" spans="1:27" x14ac:dyDescent="0.25">
      <c r="A79" s="44"/>
      <c r="B79" s="45"/>
      <c r="C79" s="45"/>
      <c r="D79" s="45"/>
      <c r="E79" s="45"/>
      <c r="F79" s="45"/>
      <c r="G79" s="45"/>
      <c r="H79" s="45"/>
      <c r="I79" s="45" t="s">
        <v>60</v>
      </c>
      <c r="J79" s="45"/>
      <c r="K79" s="45"/>
      <c r="L79" s="45" t="s">
        <v>53</v>
      </c>
      <c r="M79" s="45"/>
      <c r="N79" s="45"/>
      <c r="O79" s="45"/>
      <c r="P79" s="45"/>
      <c r="Q79" s="45"/>
      <c r="R79" s="45"/>
      <c r="S79" s="45"/>
      <c r="T79" s="45"/>
      <c r="U79" s="45" t="s">
        <v>49</v>
      </c>
      <c r="V79" s="45"/>
      <c r="W79" s="45"/>
      <c r="X79" s="45"/>
      <c r="Y79" s="46"/>
    </row>
    <row r="80" spans="1:27" x14ac:dyDescent="0.25">
      <c r="A80" s="44"/>
      <c r="B80" s="45"/>
      <c r="C80" s="45"/>
      <c r="D80" s="45"/>
      <c r="E80" s="45" t="s">
        <v>140</v>
      </c>
      <c r="F80" s="45"/>
      <c r="G80" s="45" t="s">
        <v>145</v>
      </c>
      <c r="H80" s="45"/>
      <c r="I80" s="45" t="s">
        <v>146</v>
      </c>
      <c r="J80" s="45" t="s">
        <v>144</v>
      </c>
      <c r="K80" s="45"/>
      <c r="L80" s="45" t="s">
        <v>59</v>
      </c>
      <c r="M80" s="45"/>
      <c r="N80" s="45"/>
      <c r="O80" s="45"/>
      <c r="P80" s="45"/>
      <c r="Q80" s="45"/>
      <c r="R80" s="45"/>
      <c r="S80" s="45"/>
      <c r="T80" s="45"/>
      <c r="U80" s="45" t="s">
        <v>54</v>
      </c>
      <c r="V80" s="45"/>
      <c r="W80" s="45"/>
      <c r="X80" s="45"/>
      <c r="Y80" s="46"/>
    </row>
    <row r="81" spans="1:25" x14ac:dyDescent="0.25">
      <c r="A81" s="47"/>
      <c r="B81" s="48"/>
      <c r="C81" s="48" t="s">
        <v>57</v>
      </c>
      <c r="D81" s="48"/>
      <c r="E81" s="48" t="s">
        <v>139</v>
      </c>
      <c r="F81" s="48" t="s">
        <v>141</v>
      </c>
      <c r="G81" s="48" t="s">
        <v>142</v>
      </c>
      <c r="H81" s="48"/>
      <c r="I81" s="48" t="s">
        <v>147</v>
      </c>
      <c r="J81" s="48" t="s">
        <v>143</v>
      </c>
      <c r="K81" s="48"/>
      <c r="L81" s="48" t="s">
        <v>149</v>
      </c>
      <c r="M81" s="48" t="s">
        <v>134</v>
      </c>
      <c r="N81" s="48" t="s">
        <v>42</v>
      </c>
      <c r="O81" s="48" t="s">
        <v>43</v>
      </c>
      <c r="P81" s="48" t="s">
        <v>44</v>
      </c>
      <c r="Q81" s="48" t="s">
        <v>45</v>
      </c>
      <c r="R81" s="48" t="s">
        <v>46</v>
      </c>
      <c r="S81" s="48" t="s">
        <v>47</v>
      </c>
      <c r="T81" s="48" t="s">
        <v>48</v>
      </c>
      <c r="U81" s="48" t="s">
        <v>55</v>
      </c>
      <c r="V81" s="48"/>
      <c r="W81" s="48" t="s">
        <v>150</v>
      </c>
      <c r="X81" s="48" t="s">
        <v>151</v>
      </c>
      <c r="Y81" s="49"/>
    </row>
    <row r="82" spans="1:25" ht="73.5" customHeight="1" x14ac:dyDescent="0.25">
      <c r="A82" s="30" t="s">
        <v>0</v>
      </c>
      <c r="B82" s="31" t="s">
        <v>56</v>
      </c>
      <c r="C82" s="32" t="s">
        <v>57</v>
      </c>
      <c r="D82" s="32" t="s">
        <v>58</v>
      </c>
      <c r="E82" s="33" t="s">
        <v>1</v>
      </c>
      <c r="F82" s="33" t="s">
        <v>2</v>
      </c>
      <c r="G82" s="33" t="s">
        <v>3</v>
      </c>
      <c r="H82" s="34" t="s">
        <v>132</v>
      </c>
      <c r="I82" s="33" t="s">
        <v>5</v>
      </c>
      <c r="J82" s="33" t="s">
        <v>4</v>
      </c>
      <c r="K82" s="35" t="s">
        <v>41</v>
      </c>
      <c r="L82" s="36" t="s">
        <v>133</v>
      </c>
      <c r="M82" s="36" t="s">
        <v>134</v>
      </c>
      <c r="N82" s="37" t="s">
        <v>42</v>
      </c>
      <c r="O82" s="37" t="s">
        <v>43</v>
      </c>
      <c r="P82" s="37" t="s">
        <v>44</v>
      </c>
      <c r="Q82" s="37" t="s">
        <v>45</v>
      </c>
      <c r="R82" s="37" t="s">
        <v>46</v>
      </c>
      <c r="S82" s="37" t="s">
        <v>47</v>
      </c>
      <c r="T82" s="37" t="s">
        <v>48</v>
      </c>
      <c r="U82" s="37" t="s">
        <v>54</v>
      </c>
      <c r="V82" s="38" t="s">
        <v>40</v>
      </c>
      <c r="W82" s="39" t="s">
        <v>6</v>
      </c>
      <c r="X82" s="40" t="s">
        <v>7</v>
      </c>
      <c r="Y82" s="38" t="s">
        <v>136</v>
      </c>
    </row>
    <row r="83" spans="1:25" ht="26.25" x14ac:dyDescent="0.25">
      <c r="A83" s="13"/>
      <c r="B83" s="3" t="s">
        <v>8</v>
      </c>
      <c r="C83" s="4" t="s">
        <v>9</v>
      </c>
      <c r="D83" s="5" t="s">
        <v>9</v>
      </c>
      <c r="E83" s="5" t="s">
        <v>9</v>
      </c>
      <c r="F83" s="4" t="s">
        <v>9</v>
      </c>
      <c r="G83" s="5" t="s">
        <v>9</v>
      </c>
      <c r="H83" s="4"/>
      <c r="I83" s="4" t="s">
        <v>9</v>
      </c>
      <c r="J83" s="5" t="s">
        <v>9</v>
      </c>
      <c r="K83" s="6" t="s">
        <v>8</v>
      </c>
      <c r="L83" s="4" t="s">
        <v>9</v>
      </c>
      <c r="M83" s="5" t="s">
        <v>9</v>
      </c>
      <c r="N83" s="7" t="s">
        <v>9</v>
      </c>
      <c r="O83" s="8" t="s">
        <v>9</v>
      </c>
      <c r="P83" s="8" t="s">
        <v>9</v>
      </c>
      <c r="Q83" s="7" t="s">
        <v>9</v>
      </c>
      <c r="R83" s="8" t="s">
        <v>9</v>
      </c>
      <c r="S83" s="8" t="s">
        <v>9</v>
      </c>
      <c r="T83" s="8" t="s">
        <v>9</v>
      </c>
      <c r="U83" s="8" t="s">
        <v>9</v>
      </c>
      <c r="V83" s="9" t="s">
        <v>8</v>
      </c>
      <c r="W83" s="10" t="s">
        <v>9</v>
      </c>
      <c r="X83" s="9" t="s">
        <v>8</v>
      </c>
      <c r="Y83" s="11" t="s">
        <v>152</v>
      </c>
    </row>
    <row r="84" spans="1:25" x14ac:dyDescent="0.25">
      <c r="A84" s="14" t="s">
        <v>10</v>
      </c>
      <c r="B84" s="57" t="e">
        <f>SUM(C84:D84)</f>
        <v>#VALUE!</v>
      </c>
      <c r="C84" s="58" t="e">
        <f>SUMPRODUCT((Generation_Entsoe_SFS_2017!$A$3:$A$40='Abgleich Generation'!$A84)*(Generation_Entsoe_SFS_2017!$D$1:$AL$1='Abgleich Generation'!C$81)*Generation_Entsoe_SFS_2017!$D$3:$AL$40)+SUMPRODUCT((Generation_Entsoe_SFS_2017!$A$3:$A$40='Abgleich Generation'!$A84)*(Generation_Entsoe_SFS_2017!$D$1:$AL$1='Abgleich Generation'!C$80)*Generation_Entsoe_SFS_2017!$D$3:$AL$40)+SUMPRODUCT((Generation_Entsoe_SFS_2017!$A$3:$A$40='Abgleich Generation'!$A84)*(Generation_Entsoe_SFS_2017!$D$1:$AL$1='Abgleich Generation'!C$79)*Generation_Entsoe_SFS_2017!$D$3:$AL$40)+SUMPRODUCT((Generation_Entsoe_SFS_2017!$A$3:$A$40='Abgleich Generation'!$A84)*(Generation_Entsoe_SFS_2017!$D$1:$AL$1='Abgleich Generation'!C$78)*Generation_Entsoe_SFS_2017!$D$3:$AL$40)</f>
        <v>#VALUE!</v>
      </c>
      <c r="D84" s="58" t="e">
        <f>SUM(E84:J84)</f>
        <v>#VALUE!</v>
      </c>
      <c r="E84" s="58" t="e">
        <f>SUMPRODUCT((Generation_Entsoe_SFS_2017!$A$3:$A$40='Abgleich Generation'!$A84)*(Generation_Entsoe_SFS_2017!$D$1:$AL$1='Abgleich Generation'!E$81)*Generation_Entsoe_SFS_2017!$D$3:$AL$40)+SUMPRODUCT((Generation_Entsoe_SFS_2017!$A$3:$A$40='Abgleich Generation'!$A84)*(Generation_Entsoe_SFS_2017!$D$1:$AL$1='Abgleich Generation'!E$80)*Generation_Entsoe_SFS_2017!$D$3:$AL$40)+SUMPRODUCT((Generation_Entsoe_SFS_2017!$A$3:$A$40='Abgleich Generation'!$A84)*(Generation_Entsoe_SFS_2017!$D$1:$AL$1='Abgleich Generation'!E$79)*Generation_Entsoe_SFS_2017!$D$3:$AL$40)+SUMPRODUCT((Generation_Entsoe_SFS_2017!$A$3:$A$40='Abgleich Generation'!$A84)*(Generation_Entsoe_SFS_2017!$D$1:$AL$1='Abgleich Generation'!E$78)*Generation_Entsoe_SFS_2017!$D$3:$AL$40)</f>
        <v>#VALUE!</v>
      </c>
      <c r="F84" s="58" t="e">
        <f>SUMPRODUCT((Generation_Entsoe_SFS_2017!$A$3:$A$40='Abgleich Generation'!$A84)*(Generation_Entsoe_SFS_2017!$D$1:$AL$1='Abgleich Generation'!F$81)*Generation_Entsoe_SFS_2017!$D$3:$AL$40)+SUMPRODUCT((Generation_Entsoe_SFS_2017!$A$3:$A$40='Abgleich Generation'!$A84)*(Generation_Entsoe_SFS_2017!$D$1:$AL$1='Abgleich Generation'!F$80)*Generation_Entsoe_SFS_2017!$D$3:$AL$40)+SUMPRODUCT((Generation_Entsoe_SFS_2017!$A$3:$A$40='Abgleich Generation'!$A84)*(Generation_Entsoe_SFS_2017!$D$1:$AL$1='Abgleich Generation'!F$79)*Generation_Entsoe_SFS_2017!$D$3:$AL$40)+SUMPRODUCT((Generation_Entsoe_SFS_2017!$A$3:$A$40='Abgleich Generation'!$A84)*(Generation_Entsoe_SFS_2017!$D$1:$AL$1='Abgleich Generation'!F$78)*Generation_Entsoe_SFS_2017!$D$3:$AL$40)</f>
        <v>#VALUE!</v>
      </c>
      <c r="G84" s="58" t="e">
        <f>SUMPRODUCT((Generation_Entsoe_SFS_2017!$A$3:$A$40='Abgleich Generation'!$A84)*(Generation_Entsoe_SFS_2017!$D$1:$AL$1='Abgleich Generation'!G$81)*Generation_Entsoe_SFS_2017!$D$3:$AL$40)+SUMPRODUCT((Generation_Entsoe_SFS_2017!$A$3:$A$40='Abgleich Generation'!$A84)*(Generation_Entsoe_SFS_2017!$D$1:$AL$1='Abgleich Generation'!G$80)*Generation_Entsoe_SFS_2017!$D$3:$AL$40)+SUMPRODUCT((Generation_Entsoe_SFS_2017!$A$3:$A$40='Abgleich Generation'!$A84)*(Generation_Entsoe_SFS_2017!$D$1:$AL$1='Abgleich Generation'!G$79)*Generation_Entsoe_SFS_2017!$D$3:$AL$40)+SUMPRODUCT((Generation_Entsoe_SFS_2017!$A$3:$A$40='Abgleich Generation'!$A84)*(Generation_Entsoe_SFS_2017!$D$1:$AL$1='Abgleich Generation'!G$78)*Generation_Entsoe_SFS_2017!$D$3:$AL$40)</f>
        <v>#VALUE!</v>
      </c>
      <c r="H84" s="58" t="e">
        <f>SUMPRODUCT((Generation_Entsoe_SFS_2017!$A$3:$A$40='Abgleich Generation'!$A84)*(Generation_Entsoe_SFS_2017!$D$1:$AL$1='Abgleich Generation'!H$81)*Generation_Entsoe_SFS_2017!$D$3:$AL$40)+SUMPRODUCT((Generation_Entsoe_SFS_2017!$A$3:$A$40='Abgleich Generation'!$A84)*(Generation_Entsoe_SFS_2017!$D$1:$AL$1='Abgleich Generation'!H$80)*Generation_Entsoe_SFS_2017!$D$3:$AL$40)+SUMPRODUCT((Generation_Entsoe_SFS_2017!$A$3:$A$40='Abgleich Generation'!$A84)*(Generation_Entsoe_SFS_2017!$D$1:$AL$1='Abgleich Generation'!H$79)*Generation_Entsoe_SFS_2017!$D$3:$AL$40)+SUMPRODUCT((Generation_Entsoe_SFS_2017!$A$3:$A$40='Abgleich Generation'!$A84)*(Generation_Entsoe_SFS_2017!$D$1:$AL$1='Abgleich Generation'!H$78)*Generation_Entsoe_SFS_2017!$D$3:$AL$40)</f>
        <v>#VALUE!</v>
      </c>
      <c r="I84" s="58" t="e">
        <f>SUMPRODUCT((Generation_Entsoe_SFS_2017!$A$3:$A$40='Abgleich Generation'!$A84)*(Generation_Entsoe_SFS_2017!$D$1:$AL$1='Abgleich Generation'!I$81)*Generation_Entsoe_SFS_2017!$D$3:$AL$40)+SUMPRODUCT((Generation_Entsoe_SFS_2017!$A$3:$A$40='Abgleich Generation'!$A84)*(Generation_Entsoe_SFS_2017!$D$1:$AL$1='Abgleich Generation'!I$80)*Generation_Entsoe_SFS_2017!$D$3:$AL$40)+SUMPRODUCT((Generation_Entsoe_SFS_2017!$A$3:$A$40='Abgleich Generation'!$A84)*(Generation_Entsoe_SFS_2017!$D$1:$AL$1='Abgleich Generation'!I$79)*Generation_Entsoe_SFS_2017!$D$3:$AL$40)+SUMPRODUCT((Generation_Entsoe_SFS_2017!$A$3:$A$40='Abgleich Generation'!$A84)*(Generation_Entsoe_SFS_2017!$D$1:$AL$1='Abgleich Generation'!I$78)*Generation_Entsoe_SFS_2017!$D$3:$AL$40)</f>
        <v>#VALUE!</v>
      </c>
      <c r="J84" s="58" t="e">
        <f>SUMPRODUCT((Generation_Entsoe_SFS_2017!$A$3:$A$40='Abgleich Generation'!$A84)*(Generation_Entsoe_SFS_2017!$D$1:$AL$1='Abgleich Generation'!J$81)*Generation_Entsoe_SFS_2017!$D$3:$AL$40)+SUMPRODUCT((Generation_Entsoe_SFS_2017!$A$3:$A$40='Abgleich Generation'!$A84)*(Generation_Entsoe_SFS_2017!$D$1:$AL$1='Abgleich Generation'!J$80)*Generation_Entsoe_SFS_2017!$D$3:$AL$40)+SUMPRODUCT((Generation_Entsoe_SFS_2017!$A$3:$A$40='Abgleich Generation'!$A84)*(Generation_Entsoe_SFS_2017!$D$1:$AL$1='Abgleich Generation'!J$79)*Generation_Entsoe_SFS_2017!$D$3:$AL$40)+SUMPRODUCT((Generation_Entsoe_SFS_2017!$A$3:$A$40='Abgleich Generation'!$A84)*(Generation_Entsoe_SFS_2017!$D$1:$AL$1='Abgleich Generation'!J$78)*Generation_Entsoe_SFS_2017!$D$3:$AL$40)</f>
        <v>#VALUE!</v>
      </c>
      <c r="K84" s="59" t="e">
        <f>SUM(L84:U84)</f>
        <v>#VALUE!</v>
      </c>
      <c r="L84" s="58" t="e">
        <f>SUMPRODUCT((Generation_Entsoe_SFS_2017!$A$3:$A$40='Abgleich Generation'!$A84)*(Generation_Entsoe_SFS_2017!$D$1:$AL$1='Abgleich Generation'!L$81)*Generation_Entsoe_SFS_2017!$D$3:$AL$40)+SUMPRODUCT((Generation_Entsoe_SFS_2017!$A$3:$A$40='Abgleich Generation'!$A84)*(Generation_Entsoe_SFS_2017!$D$1:$AL$1='Abgleich Generation'!L$80)*Generation_Entsoe_SFS_2017!$D$3:$AL$40)+SUMPRODUCT((Generation_Entsoe_SFS_2017!$A$3:$A$40='Abgleich Generation'!$A84)*(Generation_Entsoe_SFS_2017!$D$1:$AL$1='Abgleich Generation'!L$79)*Generation_Entsoe_SFS_2017!$D$3:$AL$40)+SUMPRODUCT((Generation_Entsoe_SFS_2017!$A$3:$A$40='Abgleich Generation'!$A84)*(Generation_Entsoe_SFS_2017!$D$1:$AL$1='Abgleich Generation'!L$78)*Generation_Entsoe_SFS_2017!$D$3:$AL$40)+SUMPRODUCT((Generation_Entsoe_SFS_2017!$A$3:$A$40='Abgleich Generation'!$A84)*(Generation_Entsoe_SFS_2017!$D$1:$AL$1='Abgleich Generation'!L$77)*Generation_Entsoe_SFS_2017!$D$3:$AL$40)+SUMPRODUCT((Generation_Entsoe_SFS_2017!$A$3:$A$40='Abgleich Generation'!$A84)*(Generation_Entsoe_SFS_2017!$D$1:$AL$1='Abgleich Generation'!L$76)*Generation_Entsoe_SFS_2017!$D$3:$AL$40)</f>
        <v>#VALUE!</v>
      </c>
      <c r="M84" s="58" t="e">
        <f>SUMPRODUCT((Generation_Entsoe_SFS_2017!$A$3:$A$40='Abgleich Generation'!$A84)*(Generation_Entsoe_SFS_2017!$D$1:$AL$1='Abgleich Generation'!M$81)*Generation_Entsoe_SFS_2017!$D$3:$AL$40)+SUMPRODUCT((Generation_Entsoe_SFS_2017!$A$3:$A$40='Abgleich Generation'!$A84)*(Generation_Entsoe_SFS_2017!$D$1:$AL$1='Abgleich Generation'!M$80)*Generation_Entsoe_SFS_2017!$D$3:$AL$40)+SUMPRODUCT((Generation_Entsoe_SFS_2017!$A$3:$A$40='Abgleich Generation'!$A84)*(Generation_Entsoe_SFS_2017!$D$1:$AL$1='Abgleich Generation'!M$79)*Generation_Entsoe_SFS_2017!$D$3:$AL$40)+SUMPRODUCT((Generation_Entsoe_SFS_2017!$A$3:$A$40='Abgleich Generation'!$A84)*(Generation_Entsoe_SFS_2017!$D$1:$AL$1='Abgleich Generation'!M$78)*Generation_Entsoe_SFS_2017!$D$3:$AL$40)+SUMPRODUCT((Generation_Entsoe_SFS_2017!$A$3:$A$40='Abgleich Generation'!$A84)*(Generation_Entsoe_SFS_2017!$D$1:$AL$1='Abgleich Generation'!M$77)*Generation_Entsoe_SFS_2017!$D$3:$AL$40)+SUMPRODUCT((Generation_Entsoe_SFS_2017!$A$3:$A$40='Abgleich Generation'!$A84)*(Generation_Entsoe_SFS_2017!$D$1:$AL$1='Abgleich Generation'!M$76)*Generation_Entsoe_SFS_2017!$D$3:$AL$40)</f>
        <v>#VALUE!</v>
      </c>
      <c r="N84" s="58" t="e">
        <f>SUMPRODUCT((Generation_Entsoe_SFS_2017!$A$3:$A$40='Abgleich Generation'!$A84)*(Generation_Entsoe_SFS_2017!$D$1:$AL$1='Abgleich Generation'!N$81)*Generation_Entsoe_SFS_2017!$D$3:$AL$40)+SUMPRODUCT((Generation_Entsoe_SFS_2017!$A$3:$A$40='Abgleich Generation'!$A84)*(Generation_Entsoe_SFS_2017!$D$1:$AL$1='Abgleich Generation'!N$80)*Generation_Entsoe_SFS_2017!$D$3:$AL$40)+SUMPRODUCT((Generation_Entsoe_SFS_2017!$A$3:$A$40='Abgleich Generation'!$A84)*(Generation_Entsoe_SFS_2017!$D$1:$AL$1='Abgleich Generation'!N$79)*Generation_Entsoe_SFS_2017!$D$3:$AL$40)+SUMPRODUCT((Generation_Entsoe_SFS_2017!$A$3:$A$40='Abgleich Generation'!$A84)*(Generation_Entsoe_SFS_2017!$D$1:$AL$1='Abgleich Generation'!N$78)*Generation_Entsoe_SFS_2017!$D$3:$AL$40)+SUMPRODUCT((Generation_Entsoe_SFS_2017!$A$3:$A$40='Abgleich Generation'!$A84)*(Generation_Entsoe_SFS_2017!$D$1:$AL$1='Abgleich Generation'!N$77)*Generation_Entsoe_SFS_2017!$D$3:$AL$40)+SUMPRODUCT((Generation_Entsoe_SFS_2017!$A$3:$A$40='Abgleich Generation'!$A84)*(Generation_Entsoe_SFS_2017!$D$1:$AL$1='Abgleich Generation'!N$76)*Generation_Entsoe_SFS_2017!$D$3:$AL$40)</f>
        <v>#VALUE!</v>
      </c>
      <c r="O84" s="58" t="e">
        <f>SUMPRODUCT((Generation_Entsoe_SFS_2017!$A$3:$A$40='Abgleich Generation'!$A84)*(Generation_Entsoe_SFS_2017!$D$1:$AL$1='Abgleich Generation'!O$81)*Generation_Entsoe_SFS_2017!$D$3:$AL$40)+SUMPRODUCT((Generation_Entsoe_SFS_2017!$A$3:$A$40='Abgleich Generation'!$A84)*(Generation_Entsoe_SFS_2017!$D$1:$AL$1='Abgleich Generation'!O$80)*Generation_Entsoe_SFS_2017!$D$3:$AL$40)+SUMPRODUCT((Generation_Entsoe_SFS_2017!$A$3:$A$40='Abgleich Generation'!$A84)*(Generation_Entsoe_SFS_2017!$D$1:$AL$1='Abgleich Generation'!O$79)*Generation_Entsoe_SFS_2017!$D$3:$AL$40)+SUMPRODUCT((Generation_Entsoe_SFS_2017!$A$3:$A$40='Abgleich Generation'!$A84)*(Generation_Entsoe_SFS_2017!$D$1:$AL$1='Abgleich Generation'!O$78)*Generation_Entsoe_SFS_2017!$D$3:$AL$40)+SUMPRODUCT((Generation_Entsoe_SFS_2017!$A$3:$A$40='Abgleich Generation'!$A84)*(Generation_Entsoe_SFS_2017!$D$1:$AL$1='Abgleich Generation'!O$77)*Generation_Entsoe_SFS_2017!$D$3:$AL$40)+SUMPRODUCT((Generation_Entsoe_SFS_2017!$A$3:$A$40='Abgleich Generation'!$A84)*(Generation_Entsoe_SFS_2017!$D$1:$AL$1='Abgleich Generation'!O$76)*Generation_Entsoe_SFS_2017!$D$3:$AL$40)</f>
        <v>#VALUE!</v>
      </c>
      <c r="P84" s="58" t="e">
        <f>SUMPRODUCT((Generation_Entsoe_SFS_2017!$A$3:$A$40='Abgleich Generation'!$A84)*(Generation_Entsoe_SFS_2017!$D$1:$AL$1='Abgleich Generation'!P$81)*Generation_Entsoe_SFS_2017!$D$3:$AL$40)+SUMPRODUCT((Generation_Entsoe_SFS_2017!$A$3:$A$40='Abgleich Generation'!$A84)*(Generation_Entsoe_SFS_2017!$D$1:$AL$1='Abgleich Generation'!P$80)*Generation_Entsoe_SFS_2017!$D$3:$AL$40)+SUMPRODUCT((Generation_Entsoe_SFS_2017!$A$3:$A$40='Abgleich Generation'!$A84)*(Generation_Entsoe_SFS_2017!$D$1:$AL$1='Abgleich Generation'!P$79)*Generation_Entsoe_SFS_2017!$D$3:$AL$40)+SUMPRODUCT((Generation_Entsoe_SFS_2017!$A$3:$A$40='Abgleich Generation'!$A84)*(Generation_Entsoe_SFS_2017!$D$1:$AL$1='Abgleich Generation'!P$78)*Generation_Entsoe_SFS_2017!$D$3:$AL$40)+SUMPRODUCT((Generation_Entsoe_SFS_2017!$A$3:$A$40='Abgleich Generation'!$A84)*(Generation_Entsoe_SFS_2017!$D$1:$AL$1='Abgleich Generation'!P$77)*Generation_Entsoe_SFS_2017!$D$3:$AL$40)+SUMPRODUCT((Generation_Entsoe_SFS_2017!$A$3:$A$40='Abgleich Generation'!$A84)*(Generation_Entsoe_SFS_2017!$D$1:$AL$1='Abgleich Generation'!P$76)*Generation_Entsoe_SFS_2017!$D$3:$AL$40)</f>
        <v>#VALUE!</v>
      </c>
      <c r="Q84" s="58" t="e">
        <f>SUMPRODUCT((Generation_Entsoe_SFS_2017!$A$3:$A$40='Abgleich Generation'!$A84)*(Generation_Entsoe_SFS_2017!$D$1:$AL$1='Abgleich Generation'!Q$81)*Generation_Entsoe_SFS_2017!$D$3:$AL$40)+SUMPRODUCT((Generation_Entsoe_SFS_2017!$A$3:$A$40='Abgleich Generation'!$A84)*(Generation_Entsoe_SFS_2017!$D$1:$AL$1='Abgleich Generation'!Q$80)*Generation_Entsoe_SFS_2017!$D$3:$AL$40)+SUMPRODUCT((Generation_Entsoe_SFS_2017!$A$3:$A$40='Abgleich Generation'!$A84)*(Generation_Entsoe_SFS_2017!$D$1:$AL$1='Abgleich Generation'!Q$79)*Generation_Entsoe_SFS_2017!$D$3:$AL$40)+SUMPRODUCT((Generation_Entsoe_SFS_2017!$A$3:$A$40='Abgleich Generation'!$A84)*(Generation_Entsoe_SFS_2017!$D$1:$AL$1='Abgleich Generation'!Q$78)*Generation_Entsoe_SFS_2017!$D$3:$AL$40)+SUMPRODUCT((Generation_Entsoe_SFS_2017!$A$3:$A$40='Abgleich Generation'!$A84)*(Generation_Entsoe_SFS_2017!$D$1:$AL$1='Abgleich Generation'!Q$77)*Generation_Entsoe_SFS_2017!$D$3:$AL$40)+SUMPRODUCT((Generation_Entsoe_SFS_2017!$A$3:$A$40='Abgleich Generation'!$A84)*(Generation_Entsoe_SFS_2017!$D$1:$AL$1='Abgleich Generation'!Q$76)*Generation_Entsoe_SFS_2017!$D$3:$AL$40)</f>
        <v>#VALUE!</v>
      </c>
      <c r="R84" s="58" t="e">
        <f>SUMPRODUCT((Generation_Entsoe_SFS_2017!$A$3:$A$40='Abgleich Generation'!$A84)*(Generation_Entsoe_SFS_2017!$D$1:$AL$1='Abgleich Generation'!R$81)*Generation_Entsoe_SFS_2017!$D$3:$AL$40)+SUMPRODUCT((Generation_Entsoe_SFS_2017!$A$3:$A$40='Abgleich Generation'!$A84)*(Generation_Entsoe_SFS_2017!$D$1:$AL$1='Abgleich Generation'!R$80)*Generation_Entsoe_SFS_2017!$D$3:$AL$40)+SUMPRODUCT((Generation_Entsoe_SFS_2017!$A$3:$A$40='Abgleich Generation'!$A84)*(Generation_Entsoe_SFS_2017!$D$1:$AL$1='Abgleich Generation'!R$79)*Generation_Entsoe_SFS_2017!$D$3:$AL$40)+SUMPRODUCT((Generation_Entsoe_SFS_2017!$A$3:$A$40='Abgleich Generation'!$A84)*(Generation_Entsoe_SFS_2017!$D$1:$AL$1='Abgleich Generation'!R$78)*Generation_Entsoe_SFS_2017!$D$3:$AL$40)+SUMPRODUCT((Generation_Entsoe_SFS_2017!$A$3:$A$40='Abgleich Generation'!$A84)*(Generation_Entsoe_SFS_2017!$D$1:$AL$1='Abgleich Generation'!R$77)*Generation_Entsoe_SFS_2017!$D$3:$AL$40)+SUMPRODUCT((Generation_Entsoe_SFS_2017!$A$3:$A$40='Abgleich Generation'!$A84)*(Generation_Entsoe_SFS_2017!$D$1:$AL$1='Abgleich Generation'!R$76)*Generation_Entsoe_SFS_2017!$D$3:$AL$40)</f>
        <v>#VALUE!</v>
      </c>
      <c r="S84" s="58" t="e">
        <f>SUMPRODUCT((Generation_Entsoe_SFS_2017!$A$3:$A$40='Abgleich Generation'!$A84)*(Generation_Entsoe_SFS_2017!$D$1:$AL$1='Abgleich Generation'!S$81)*Generation_Entsoe_SFS_2017!$D$3:$AL$40)+SUMPRODUCT((Generation_Entsoe_SFS_2017!$A$3:$A$40='Abgleich Generation'!$A84)*(Generation_Entsoe_SFS_2017!$D$1:$AL$1='Abgleich Generation'!S$80)*Generation_Entsoe_SFS_2017!$D$3:$AL$40)+SUMPRODUCT((Generation_Entsoe_SFS_2017!$A$3:$A$40='Abgleich Generation'!$A84)*(Generation_Entsoe_SFS_2017!$D$1:$AL$1='Abgleich Generation'!S$79)*Generation_Entsoe_SFS_2017!$D$3:$AL$40)+SUMPRODUCT((Generation_Entsoe_SFS_2017!$A$3:$A$40='Abgleich Generation'!$A84)*(Generation_Entsoe_SFS_2017!$D$1:$AL$1='Abgleich Generation'!S$78)*Generation_Entsoe_SFS_2017!$D$3:$AL$40)+SUMPRODUCT((Generation_Entsoe_SFS_2017!$A$3:$A$40='Abgleich Generation'!$A84)*(Generation_Entsoe_SFS_2017!$D$1:$AL$1='Abgleich Generation'!S$77)*Generation_Entsoe_SFS_2017!$D$3:$AL$40)+SUMPRODUCT((Generation_Entsoe_SFS_2017!$A$3:$A$40='Abgleich Generation'!$A84)*(Generation_Entsoe_SFS_2017!$D$1:$AL$1='Abgleich Generation'!S$76)*Generation_Entsoe_SFS_2017!$D$3:$AL$40)</f>
        <v>#VALUE!</v>
      </c>
      <c r="T84" s="58" t="e">
        <f>SUMPRODUCT((Generation_Entsoe_SFS_2017!$A$3:$A$40='Abgleich Generation'!$A84)*(Generation_Entsoe_SFS_2017!$D$1:$AL$1='Abgleich Generation'!T$81)*Generation_Entsoe_SFS_2017!$D$3:$AL$40)+SUMPRODUCT((Generation_Entsoe_SFS_2017!$A$3:$A$40='Abgleich Generation'!$A84)*(Generation_Entsoe_SFS_2017!$D$1:$AL$1='Abgleich Generation'!T$80)*Generation_Entsoe_SFS_2017!$D$3:$AL$40)+SUMPRODUCT((Generation_Entsoe_SFS_2017!$A$3:$A$40='Abgleich Generation'!$A84)*(Generation_Entsoe_SFS_2017!$D$1:$AL$1='Abgleich Generation'!T$79)*Generation_Entsoe_SFS_2017!$D$3:$AL$40)+SUMPRODUCT((Generation_Entsoe_SFS_2017!$A$3:$A$40='Abgleich Generation'!$A84)*(Generation_Entsoe_SFS_2017!$D$1:$AL$1='Abgleich Generation'!T$78)*Generation_Entsoe_SFS_2017!$D$3:$AL$40)+SUMPRODUCT((Generation_Entsoe_SFS_2017!$A$3:$A$40='Abgleich Generation'!$A84)*(Generation_Entsoe_SFS_2017!$D$1:$AL$1='Abgleich Generation'!T$77)*Generation_Entsoe_SFS_2017!$D$3:$AL$40)+SUMPRODUCT((Generation_Entsoe_SFS_2017!$A$3:$A$40='Abgleich Generation'!$A84)*(Generation_Entsoe_SFS_2017!$D$1:$AL$1='Abgleich Generation'!T$76)*Generation_Entsoe_SFS_2017!$D$3:$AL$40)</f>
        <v>#VALUE!</v>
      </c>
      <c r="U84" s="58" t="e">
        <f>SUMPRODUCT((Generation_Entsoe_SFS_2017!$A$3:$A$40='Abgleich Generation'!$A84)*(Generation_Entsoe_SFS_2017!$D$1:$AL$1='Abgleich Generation'!U$81)*Generation_Entsoe_SFS_2017!$D$3:$AL$40)+SUMPRODUCT((Generation_Entsoe_SFS_2017!$A$3:$A$40='Abgleich Generation'!$A84)*(Generation_Entsoe_SFS_2017!$D$1:$AL$1='Abgleich Generation'!U$80)*Generation_Entsoe_SFS_2017!$D$3:$AL$40)+SUMPRODUCT((Generation_Entsoe_SFS_2017!$A$3:$A$40='Abgleich Generation'!$A84)*(Generation_Entsoe_SFS_2017!$D$1:$AL$1='Abgleich Generation'!U$79)*Generation_Entsoe_SFS_2017!$D$3:$AL$40)+SUMPRODUCT((Generation_Entsoe_SFS_2017!$A$3:$A$40='Abgleich Generation'!$A84)*(Generation_Entsoe_SFS_2017!$D$1:$AL$1='Abgleich Generation'!U$78)*Generation_Entsoe_SFS_2017!$D$3:$AL$40)+SUMPRODUCT((Generation_Entsoe_SFS_2017!$A$3:$A$40='Abgleich Generation'!$A84)*(Generation_Entsoe_SFS_2017!$D$1:$AL$1='Abgleich Generation'!U$77)*Generation_Entsoe_SFS_2017!$D$3:$AL$40)+SUMPRODUCT((Generation_Entsoe_SFS_2017!$A$3:$A$40='Abgleich Generation'!$A84)*(Generation_Entsoe_SFS_2017!$D$1:$AL$1='Abgleich Generation'!U$76)*Generation_Entsoe_SFS_2017!$D$3:$AL$40)</f>
        <v>#VALUE!</v>
      </c>
      <c r="V84" s="59" t="e">
        <f>K84+B84</f>
        <v>#VALUE!</v>
      </c>
      <c r="W84" s="60" t="e">
        <f>SUMPRODUCT((Generation_Entsoe_SFS_2017!$A$3:$A$40='Abgleich Generation'!$A84)*(Generation_Entsoe_SFS_2017!$D$1:$AL$1='Abgleich Generation'!W$81)*Generation_Entsoe_SFS_2017!$D$3:$AL$40)+SUMPRODUCT((Generation_Entsoe_SFS_2017!$A$3:$A$40='Abgleich Generation'!$A84)*(Generation_Entsoe_SFS_2017!$D$1:$AL$1='Abgleich Generation'!W$80)*Generation_Entsoe_SFS_2017!$D$3:$AL$40)+SUMPRODUCT((Generation_Entsoe_SFS_2017!$A$3:$A$40='Abgleich Generation'!$A84)*(Generation_Entsoe_SFS_2017!$D$1:$AL$1='Abgleich Generation'!W$79)*Generation_Entsoe_SFS_2017!$D$3:$AL$40)+SUMPRODUCT((Generation_Entsoe_SFS_2017!$A$3:$A$40='Abgleich Generation'!$A84)*(Generation_Entsoe_SFS_2017!$D$1:$AL$1='Abgleich Generation'!W$78)*Generation_Entsoe_SFS_2017!$D$3:$AL$40)+SUMPRODUCT((Generation_Entsoe_SFS_2017!$A$3:$A$40='Abgleich Generation'!$A84)*(Generation_Entsoe_SFS_2017!$D$1:$AL$1='Abgleich Generation'!W$77)*Generation_Entsoe_SFS_2017!$D$3:$AL$40)+SUMPRODUCT((Generation_Entsoe_SFS_2017!$A$3:$A$40='Abgleich Generation'!$A84)*(Generation_Entsoe_SFS_2017!$D$1:$AL$1='Abgleich Generation'!W$76)*Generation_Entsoe_SFS_2017!$D$3:$AL$40)</f>
        <v>#VALUE!</v>
      </c>
      <c r="X84" s="61" t="e">
        <f>SUMPRODUCT((Generation_Entsoe_SFS_2017!$A$3:$A$40='Abgleich Generation'!$A84)*(Generation_Entsoe_SFS_2017!$D$1:$AL$1='Abgleich Generation'!X$81)*Generation_Entsoe_SFS_2017!$D$3:$AL$40)+SUMPRODUCT((Generation_Entsoe_SFS_2017!$A$3:$A$40='Abgleich Generation'!$A84)*(Generation_Entsoe_SFS_2017!$D$1:$AL$1='Abgleich Generation'!X$80)*Generation_Entsoe_SFS_2017!$D$3:$AL$40)+SUMPRODUCT((Generation_Entsoe_SFS_2017!$A$3:$A$40='Abgleich Generation'!$A84)*(Generation_Entsoe_SFS_2017!$D$1:$AL$1='Abgleich Generation'!X$79)*Generation_Entsoe_SFS_2017!$D$3:$AL$40)+SUMPRODUCT((Generation_Entsoe_SFS_2017!$A$3:$A$40='Abgleich Generation'!$A84)*(Generation_Entsoe_SFS_2017!$D$1:$AL$1='Abgleich Generation'!X$78)*Generation_Entsoe_SFS_2017!$D$3:$AL$40)+SUMPRODUCT((Generation_Entsoe_SFS_2017!$A$3:$A$40='Abgleich Generation'!$A84)*(Generation_Entsoe_SFS_2017!$D$1:$AL$1='Abgleich Generation'!X$77)*Generation_Entsoe_SFS_2017!$D$3:$AL$40)+SUMPRODUCT((Generation_Entsoe_SFS_2017!$A$3:$A$40='Abgleich Generation'!$A84)*(Generation_Entsoe_SFS_2017!$D$1:$AL$1='Abgleich Generation'!X$76)*Generation_Entsoe_SFS_2017!$D$3:$AL$40)</f>
        <v>#VALUE!</v>
      </c>
      <c r="Y84" s="61" t="e">
        <f>X84+W84-V84</f>
        <v>#VALUE!</v>
      </c>
    </row>
    <row r="85" spans="1:25" x14ac:dyDescent="0.25">
      <c r="A85" s="14" t="s">
        <v>11</v>
      </c>
      <c r="B85" s="25" t="e">
        <f t="shared" ref="B85:B113" si="60">SUM(C85:D85)</f>
        <v>#VALUE!</v>
      </c>
      <c r="C85" s="26" t="e">
        <f>SUMPRODUCT((Generation_Entsoe_SFS_2017!$A$3:$A$40='Abgleich Generation'!$A85)*(Generation_Entsoe_SFS_2017!$D$1:$AL$1='Abgleich Generation'!C$81)*Generation_Entsoe_SFS_2017!$D$3:$AL$40)+SUMPRODUCT((Generation_Entsoe_SFS_2017!$A$3:$A$40='Abgleich Generation'!$A85)*(Generation_Entsoe_SFS_2017!$D$1:$AL$1='Abgleich Generation'!C$80)*Generation_Entsoe_SFS_2017!$D$3:$AL$40)+SUMPRODUCT((Generation_Entsoe_SFS_2017!$A$3:$A$40='Abgleich Generation'!$A85)*(Generation_Entsoe_SFS_2017!$D$1:$AL$1='Abgleich Generation'!C$79)*Generation_Entsoe_SFS_2017!$D$3:$AL$40)+SUMPRODUCT((Generation_Entsoe_SFS_2017!$A$3:$A$40='Abgleich Generation'!$A85)*(Generation_Entsoe_SFS_2017!$D$1:$AL$1='Abgleich Generation'!C$78)*Generation_Entsoe_SFS_2017!$D$3:$AL$40)</f>
        <v>#VALUE!</v>
      </c>
      <c r="D85" s="26" t="e">
        <f t="shared" ref="D85:D113" si="61">SUM(E85:J85)</f>
        <v>#VALUE!</v>
      </c>
      <c r="E85" s="26" t="e">
        <f>SUMPRODUCT((Generation_Entsoe_SFS_2017!$A$3:$A$40='Abgleich Generation'!$A85)*(Generation_Entsoe_SFS_2017!$D$1:$AL$1='Abgleich Generation'!E$81)*Generation_Entsoe_SFS_2017!$D$3:$AL$40)+SUMPRODUCT((Generation_Entsoe_SFS_2017!$A$3:$A$40='Abgleich Generation'!$A85)*(Generation_Entsoe_SFS_2017!$D$1:$AL$1='Abgleich Generation'!E$80)*Generation_Entsoe_SFS_2017!$D$3:$AL$40)+SUMPRODUCT((Generation_Entsoe_SFS_2017!$A$3:$A$40='Abgleich Generation'!$A85)*(Generation_Entsoe_SFS_2017!$D$1:$AL$1='Abgleich Generation'!E$79)*Generation_Entsoe_SFS_2017!$D$3:$AL$40)+SUMPRODUCT((Generation_Entsoe_SFS_2017!$A$3:$A$40='Abgleich Generation'!$A85)*(Generation_Entsoe_SFS_2017!$D$1:$AL$1='Abgleich Generation'!E$78)*Generation_Entsoe_SFS_2017!$D$3:$AL$40)</f>
        <v>#VALUE!</v>
      </c>
      <c r="F85" s="26" t="e">
        <f>SUMPRODUCT((Generation_Entsoe_SFS_2017!$A$3:$A$40='Abgleich Generation'!$A85)*(Generation_Entsoe_SFS_2017!$D$1:$AL$1='Abgleich Generation'!F$81)*Generation_Entsoe_SFS_2017!$D$3:$AL$40)+SUMPRODUCT((Generation_Entsoe_SFS_2017!$A$3:$A$40='Abgleich Generation'!$A85)*(Generation_Entsoe_SFS_2017!$D$1:$AL$1='Abgleich Generation'!F$80)*Generation_Entsoe_SFS_2017!$D$3:$AL$40)+SUMPRODUCT((Generation_Entsoe_SFS_2017!$A$3:$A$40='Abgleich Generation'!$A85)*(Generation_Entsoe_SFS_2017!$D$1:$AL$1='Abgleich Generation'!F$79)*Generation_Entsoe_SFS_2017!$D$3:$AL$40)+SUMPRODUCT((Generation_Entsoe_SFS_2017!$A$3:$A$40='Abgleich Generation'!$A85)*(Generation_Entsoe_SFS_2017!$D$1:$AL$1='Abgleich Generation'!F$78)*Generation_Entsoe_SFS_2017!$D$3:$AL$40)</f>
        <v>#VALUE!</v>
      </c>
      <c r="G85" s="26" t="e">
        <f>SUMPRODUCT((Generation_Entsoe_SFS_2017!$A$3:$A$40='Abgleich Generation'!$A85)*(Generation_Entsoe_SFS_2017!$D$1:$AL$1='Abgleich Generation'!G$81)*Generation_Entsoe_SFS_2017!$D$3:$AL$40)+SUMPRODUCT((Generation_Entsoe_SFS_2017!$A$3:$A$40='Abgleich Generation'!$A85)*(Generation_Entsoe_SFS_2017!$D$1:$AL$1='Abgleich Generation'!G$80)*Generation_Entsoe_SFS_2017!$D$3:$AL$40)+SUMPRODUCT((Generation_Entsoe_SFS_2017!$A$3:$A$40='Abgleich Generation'!$A85)*(Generation_Entsoe_SFS_2017!$D$1:$AL$1='Abgleich Generation'!G$79)*Generation_Entsoe_SFS_2017!$D$3:$AL$40)+SUMPRODUCT((Generation_Entsoe_SFS_2017!$A$3:$A$40='Abgleich Generation'!$A85)*(Generation_Entsoe_SFS_2017!$D$1:$AL$1='Abgleich Generation'!G$78)*Generation_Entsoe_SFS_2017!$D$3:$AL$40)</f>
        <v>#VALUE!</v>
      </c>
      <c r="H85" s="26" t="e">
        <f>SUMPRODUCT((Generation_Entsoe_SFS_2017!$A$3:$A$40='Abgleich Generation'!$A85)*(Generation_Entsoe_SFS_2017!$D$1:$AL$1='Abgleich Generation'!H$81)*Generation_Entsoe_SFS_2017!$D$3:$AL$40)+SUMPRODUCT((Generation_Entsoe_SFS_2017!$A$3:$A$40='Abgleich Generation'!$A85)*(Generation_Entsoe_SFS_2017!$D$1:$AL$1='Abgleich Generation'!H$80)*Generation_Entsoe_SFS_2017!$D$3:$AL$40)+SUMPRODUCT((Generation_Entsoe_SFS_2017!$A$3:$A$40='Abgleich Generation'!$A85)*(Generation_Entsoe_SFS_2017!$D$1:$AL$1='Abgleich Generation'!H$79)*Generation_Entsoe_SFS_2017!$D$3:$AL$40)+SUMPRODUCT((Generation_Entsoe_SFS_2017!$A$3:$A$40='Abgleich Generation'!$A85)*(Generation_Entsoe_SFS_2017!$D$1:$AL$1='Abgleich Generation'!H$78)*Generation_Entsoe_SFS_2017!$D$3:$AL$40)</f>
        <v>#VALUE!</v>
      </c>
      <c r="I85" s="26" t="e">
        <f>SUMPRODUCT((Generation_Entsoe_SFS_2017!$A$3:$A$40='Abgleich Generation'!$A85)*(Generation_Entsoe_SFS_2017!$D$1:$AL$1='Abgleich Generation'!I$81)*Generation_Entsoe_SFS_2017!$D$3:$AL$40)+SUMPRODUCT((Generation_Entsoe_SFS_2017!$A$3:$A$40='Abgleich Generation'!$A85)*(Generation_Entsoe_SFS_2017!$D$1:$AL$1='Abgleich Generation'!I$80)*Generation_Entsoe_SFS_2017!$D$3:$AL$40)+SUMPRODUCT((Generation_Entsoe_SFS_2017!$A$3:$A$40='Abgleich Generation'!$A85)*(Generation_Entsoe_SFS_2017!$D$1:$AL$1='Abgleich Generation'!I$79)*Generation_Entsoe_SFS_2017!$D$3:$AL$40)+SUMPRODUCT((Generation_Entsoe_SFS_2017!$A$3:$A$40='Abgleich Generation'!$A85)*(Generation_Entsoe_SFS_2017!$D$1:$AL$1='Abgleich Generation'!I$78)*Generation_Entsoe_SFS_2017!$D$3:$AL$40)</f>
        <v>#VALUE!</v>
      </c>
      <c r="J85" s="26" t="e">
        <f>SUMPRODUCT((Generation_Entsoe_SFS_2017!$A$3:$A$40='Abgleich Generation'!$A85)*(Generation_Entsoe_SFS_2017!$D$1:$AL$1='Abgleich Generation'!J$81)*Generation_Entsoe_SFS_2017!$D$3:$AL$40)+SUMPRODUCT((Generation_Entsoe_SFS_2017!$A$3:$A$40='Abgleich Generation'!$A85)*(Generation_Entsoe_SFS_2017!$D$1:$AL$1='Abgleich Generation'!J$80)*Generation_Entsoe_SFS_2017!$D$3:$AL$40)+SUMPRODUCT((Generation_Entsoe_SFS_2017!$A$3:$A$40='Abgleich Generation'!$A85)*(Generation_Entsoe_SFS_2017!$D$1:$AL$1='Abgleich Generation'!J$79)*Generation_Entsoe_SFS_2017!$D$3:$AL$40)+SUMPRODUCT((Generation_Entsoe_SFS_2017!$A$3:$A$40='Abgleich Generation'!$A85)*(Generation_Entsoe_SFS_2017!$D$1:$AL$1='Abgleich Generation'!J$78)*Generation_Entsoe_SFS_2017!$D$3:$AL$40)</f>
        <v>#VALUE!</v>
      </c>
      <c r="K85" s="27" t="e">
        <f t="shared" ref="K85:K113" si="62">SUM(L85:U85)</f>
        <v>#VALUE!</v>
      </c>
      <c r="L85" s="26" t="e">
        <f>SUMPRODUCT((Generation_Entsoe_SFS_2017!$A$3:$A$40='Abgleich Generation'!$A85)*(Generation_Entsoe_SFS_2017!$D$1:$AL$1='Abgleich Generation'!L$81)*Generation_Entsoe_SFS_2017!$D$3:$AL$40)+SUMPRODUCT((Generation_Entsoe_SFS_2017!$A$3:$A$40='Abgleich Generation'!$A85)*(Generation_Entsoe_SFS_2017!$D$1:$AL$1='Abgleich Generation'!L$80)*Generation_Entsoe_SFS_2017!$D$3:$AL$40)+SUMPRODUCT((Generation_Entsoe_SFS_2017!$A$3:$A$40='Abgleich Generation'!$A85)*(Generation_Entsoe_SFS_2017!$D$1:$AL$1='Abgleich Generation'!L$79)*Generation_Entsoe_SFS_2017!$D$3:$AL$40)+SUMPRODUCT((Generation_Entsoe_SFS_2017!$A$3:$A$40='Abgleich Generation'!$A85)*(Generation_Entsoe_SFS_2017!$D$1:$AL$1='Abgleich Generation'!L$78)*Generation_Entsoe_SFS_2017!$D$3:$AL$40)+SUMPRODUCT((Generation_Entsoe_SFS_2017!$A$3:$A$40='Abgleich Generation'!$A85)*(Generation_Entsoe_SFS_2017!$D$1:$AL$1='Abgleich Generation'!L$77)*Generation_Entsoe_SFS_2017!$D$3:$AL$40)+SUMPRODUCT((Generation_Entsoe_SFS_2017!$A$3:$A$40='Abgleich Generation'!$A85)*(Generation_Entsoe_SFS_2017!$D$1:$AL$1='Abgleich Generation'!L$76)*Generation_Entsoe_SFS_2017!$D$3:$AL$40)</f>
        <v>#VALUE!</v>
      </c>
      <c r="M85" s="26" t="e">
        <f>SUMPRODUCT((Generation_Entsoe_SFS_2017!$A$3:$A$40='Abgleich Generation'!$A85)*(Generation_Entsoe_SFS_2017!$D$1:$AL$1='Abgleich Generation'!M$81)*Generation_Entsoe_SFS_2017!$D$3:$AL$40)+SUMPRODUCT((Generation_Entsoe_SFS_2017!$A$3:$A$40='Abgleich Generation'!$A85)*(Generation_Entsoe_SFS_2017!$D$1:$AL$1='Abgleich Generation'!M$80)*Generation_Entsoe_SFS_2017!$D$3:$AL$40)+SUMPRODUCT((Generation_Entsoe_SFS_2017!$A$3:$A$40='Abgleich Generation'!$A85)*(Generation_Entsoe_SFS_2017!$D$1:$AL$1='Abgleich Generation'!M$79)*Generation_Entsoe_SFS_2017!$D$3:$AL$40)+SUMPRODUCT((Generation_Entsoe_SFS_2017!$A$3:$A$40='Abgleich Generation'!$A85)*(Generation_Entsoe_SFS_2017!$D$1:$AL$1='Abgleich Generation'!M$78)*Generation_Entsoe_SFS_2017!$D$3:$AL$40)+SUMPRODUCT((Generation_Entsoe_SFS_2017!$A$3:$A$40='Abgleich Generation'!$A85)*(Generation_Entsoe_SFS_2017!$D$1:$AL$1='Abgleich Generation'!M$77)*Generation_Entsoe_SFS_2017!$D$3:$AL$40)+SUMPRODUCT((Generation_Entsoe_SFS_2017!$A$3:$A$40='Abgleich Generation'!$A85)*(Generation_Entsoe_SFS_2017!$D$1:$AL$1='Abgleich Generation'!M$76)*Generation_Entsoe_SFS_2017!$D$3:$AL$40)</f>
        <v>#VALUE!</v>
      </c>
      <c r="N85" s="26" t="e">
        <f>SUMPRODUCT((Generation_Entsoe_SFS_2017!$A$3:$A$40='Abgleich Generation'!$A85)*(Generation_Entsoe_SFS_2017!$D$1:$AL$1='Abgleich Generation'!N$81)*Generation_Entsoe_SFS_2017!$D$3:$AL$40)+SUMPRODUCT((Generation_Entsoe_SFS_2017!$A$3:$A$40='Abgleich Generation'!$A85)*(Generation_Entsoe_SFS_2017!$D$1:$AL$1='Abgleich Generation'!N$80)*Generation_Entsoe_SFS_2017!$D$3:$AL$40)+SUMPRODUCT((Generation_Entsoe_SFS_2017!$A$3:$A$40='Abgleich Generation'!$A85)*(Generation_Entsoe_SFS_2017!$D$1:$AL$1='Abgleich Generation'!N$79)*Generation_Entsoe_SFS_2017!$D$3:$AL$40)+SUMPRODUCT((Generation_Entsoe_SFS_2017!$A$3:$A$40='Abgleich Generation'!$A85)*(Generation_Entsoe_SFS_2017!$D$1:$AL$1='Abgleich Generation'!N$78)*Generation_Entsoe_SFS_2017!$D$3:$AL$40)+SUMPRODUCT((Generation_Entsoe_SFS_2017!$A$3:$A$40='Abgleich Generation'!$A85)*(Generation_Entsoe_SFS_2017!$D$1:$AL$1='Abgleich Generation'!N$77)*Generation_Entsoe_SFS_2017!$D$3:$AL$40)+SUMPRODUCT((Generation_Entsoe_SFS_2017!$A$3:$A$40='Abgleich Generation'!$A85)*(Generation_Entsoe_SFS_2017!$D$1:$AL$1='Abgleich Generation'!N$76)*Generation_Entsoe_SFS_2017!$D$3:$AL$40)</f>
        <v>#VALUE!</v>
      </c>
      <c r="O85" s="26" t="e">
        <f>SUMPRODUCT((Generation_Entsoe_SFS_2017!$A$3:$A$40='Abgleich Generation'!$A85)*(Generation_Entsoe_SFS_2017!$D$1:$AL$1='Abgleich Generation'!O$81)*Generation_Entsoe_SFS_2017!$D$3:$AL$40)+SUMPRODUCT((Generation_Entsoe_SFS_2017!$A$3:$A$40='Abgleich Generation'!$A85)*(Generation_Entsoe_SFS_2017!$D$1:$AL$1='Abgleich Generation'!O$80)*Generation_Entsoe_SFS_2017!$D$3:$AL$40)+SUMPRODUCT((Generation_Entsoe_SFS_2017!$A$3:$A$40='Abgleich Generation'!$A85)*(Generation_Entsoe_SFS_2017!$D$1:$AL$1='Abgleich Generation'!O$79)*Generation_Entsoe_SFS_2017!$D$3:$AL$40)+SUMPRODUCT((Generation_Entsoe_SFS_2017!$A$3:$A$40='Abgleich Generation'!$A85)*(Generation_Entsoe_SFS_2017!$D$1:$AL$1='Abgleich Generation'!O$78)*Generation_Entsoe_SFS_2017!$D$3:$AL$40)+SUMPRODUCT((Generation_Entsoe_SFS_2017!$A$3:$A$40='Abgleich Generation'!$A85)*(Generation_Entsoe_SFS_2017!$D$1:$AL$1='Abgleich Generation'!O$77)*Generation_Entsoe_SFS_2017!$D$3:$AL$40)+SUMPRODUCT((Generation_Entsoe_SFS_2017!$A$3:$A$40='Abgleich Generation'!$A85)*(Generation_Entsoe_SFS_2017!$D$1:$AL$1='Abgleich Generation'!O$76)*Generation_Entsoe_SFS_2017!$D$3:$AL$40)</f>
        <v>#VALUE!</v>
      </c>
      <c r="P85" s="26" t="e">
        <f>SUMPRODUCT((Generation_Entsoe_SFS_2017!$A$3:$A$40='Abgleich Generation'!$A85)*(Generation_Entsoe_SFS_2017!$D$1:$AL$1='Abgleich Generation'!P$81)*Generation_Entsoe_SFS_2017!$D$3:$AL$40)+SUMPRODUCT((Generation_Entsoe_SFS_2017!$A$3:$A$40='Abgleich Generation'!$A85)*(Generation_Entsoe_SFS_2017!$D$1:$AL$1='Abgleich Generation'!P$80)*Generation_Entsoe_SFS_2017!$D$3:$AL$40)+SUMPRODUCT((Generation_Entsoe_SFS_2017!$A$3:$A$40='Abgleich Generation'!$A85)*(Generation_Entsoe_SFS_2017!$D$1:$AL$1='Abgleich Generation'!P$79)*Generation_Entsoe_SFS_2017!$D$3:$AL$40)+SUMPRODUCT((Generation_Entsoe_SFS_2017!$A$3:$A$40='Abgleich Generation'!$A85)*(Generation_Entsoe_SFS_2017!$D$1:$AL$1='Abgleich Generation'!P$78)*Generation_Entsoe_SFS_2017!$D$3:$AL$40)+SUMPRODUCT((Generation_Entsoe_SFS_2017!$A$3:$A$40='Abgleich Generation'!$A85)*(Generation_Entsoe_SFS_2017!$D$1:$AL$1='Abgleich Generation'!P$77)*Generation_Entsoe_SFS_2017!$D$3:$AL$40)+SUMPRODUCT((Generation_Entsoe_SFS_2017!$A$3:$A$40='Abgleich Generation'!$A85)*(Generation_Entsoe_SFS_2017!$D$1:$AL$1='Abgleich Generation'!P$76)*Generation_Entsoe_SFS_2017!$D$3:$AL$40)</f>
        <v>#VALUE!</v>
      </c>
      <c r="Q85" s="26" t="e">
        <f>SUMPRODUCT((Generation_Entsoe_SFS_2017!$A$3:$A$40='Abgleich Generation'!$A85)*(Generation_Entsoe_SFS_2017!$D$1:$AL$1='Abgleich Generation'!Q$81)*Generation_Entsoe_SFS_2017!$D$3:$AL$40)+SUMPRODUCT((Generation_Entsoe_SFS_2017!$A$3:$A$40='Abgleich Generation'!$A85)*(Generation_Entsoe_SFS_2017!$D$1:$AL$1='Abgleich Generation'!Q$80)*Generation_Entsoe_SFS_2017!$D$3:$AL$40)+SUMPRODUCT((Generation_Entsoe_SFS_2017!$A$3:$A$40='Abgleich Generation'!$A85)*(Generation_Entsoe_SFS_2017!$D$1:$AL$1='Abgleich Generation'!Q$79)*Generation_Entsoe_SFS_2017!$D$3:$AL$40)+SUMPRODUCT((Generation_Entsoe_SFS_2017!$A$3:$A$40='Abgleich Generation'!$A85)*(Generation_Entsoe_SFS_2017!$D$1:$AL$1='Abgleich Generation'!Q$78)*Generation_Entsoe_SFS_2017!$D$3:$AL$40)+SUMPRODUCT((Generation_Entsoe_SFS_2017!$A$3:$A$40='Abgleich Generation'!$A85)*(Generation_Entsoe_SFS_2017!$D$1:$AL$1='Abgleich Generation'!Q$77)*Generation_Entsoe_SFS_2017!$D$3:$AL$40)+SUMPRODUCT((Generation_Entsoe_SFS_2017!$A$3:$A$40='Abgleich Generation'!$A85)*(Generation_Entsoe_SFS_2017!$D$1:$AL$1='Abgleich Generation'!Q$76)*Generation_Entsoe_SFS_2017!$D$3:$AL$40)</f>
        <v>#VALUE!</v>
      </c>
      <c r="R85" s="26" t="e">
        <f>SUMPRODUCT((Generation_Entsoe_SFS_2017!$A$3:$A$40='Abgleich Generation'!$A85)*(Generation_Entsoe_SFS_2017!$D$1:$AL$1='Abgleich Generation'!R$81)*Generation_Entsoe_SFS_2017!$D$3:$AL$40)+SUMPRODUCT((Generation_Entsoe_SFS_2017!$A$3:$A$40='Abgleich Generation'!$A85)*(Generation_Entsoe_SFS_2017!$D$1:$AL$1='Abgleich Generation'!R$80)*Generation_Entsoe_SFS_2017!$D$3:$AL$40)+SUMPRODUCT((Generation_Entsoe_SFS_2017!$A$3:$A$40='Abgleich Generation'!$A85)*(Generation_Entsoe_SFS_2017!$D$1:$AL$1='Abgleich Generation'!R$79)*Generation_Entsoe_SFS_2017!$D$3:$AL$40)+SUMPRODUCT((Generation_Entsoe_SFS_2017!$A$3:$A$40='Abgleich Generation'!$A85)*(Generation_Entsoe_SFS_2017!$D$1:$AL$1='Abgleich Generation'!R$78)*Generation_Entsoe_SFS_2017!$D$3:$AL$40)+SUMPRODUCT((Generation_Entsoe_SFS_2017!$A$3:$A$40='Abgleich Generation'!$A85)*(Generation_Entsoe_SFS_2017!$D$1:$AL$1='Abgleich Generation'!R$77)*Generation_Entsoe_SFS_2017!$D$3:$AL$40)+SUMPRODUCT((Generation_Entsoe_SFS_2017!$A$3:$A$40='Abgleich Generation'!$A85)*(Generation_Entsoe_SFS_2017!$D$1:$AL$1='Abgleich Generation'!R$76)*Generation_Entsoe_SFS_2017!$D$3:$AL$40)</f>
        <v>#VALUE!</v>
      </c>
      <c r="S85" s="26" t="e">
        <f>SUMPRODUCT((Generation_Entsoe_SFS_2017!$A$3:$A$40='Abgleich Generation'!$A85)*(Generation_Entsoe_SFS_2017!$D$1:$AL$1='Abgleich Generation'!S$81)*Generation_Entsoe_SFS_2017!$D$3:$AL$40)+SUMPRODUCT((Generation_Entsoe_SFS_2017!$A$3:$A$40='Abgleich Generation'!$A85)*(Generation_Entsoe_SFS_2017!$D$1:$AL$1='Abgleich Generation'!S$80)*Generation_Entsoe_SFS_2017!$D$3:$AL$40)+SUMPRODUCT((Generation_Entsoe_SFS_2017!$A$3:$A$40='Abgleich Generation'!$A85)*(Generation_Entsoe_SFS_2017!$D$1:$AL$1='Abgleich Generation'!S$79)*Generation_Entsoe_SFS_2017!$D$3:$AL$40)+SUMPRODUCT((Generation_Entsoe_SFS_2017!$A$3:$A$40='Abgleich Generation'!$A85)*(Generation_Entsoe_SFS_2017!$D$1:$AL$1='Abgleich Generation'!S$78)*Generation_Entsoe_SFS_2017!$D$3:$AL$40)+SUMPRODUCT((Generation_Entsoe_SFS_2017!$A$3:$A$40='Abgleich Generation'!$A85)*(Generation_Entsoe_SFS_2017!$D$1:$AL$1='Abgleich Generation'!S$77)*Generation_Entsoe_SFS_2017!$D$3:$AL$40)+SUMPRODUCT((Generation_Entsoe_SFS_2017!$A$3:$A$40='Abgleich Generation'!$A85)*(Generation_Entsoe_SFS_2017!$D$1:$AL$1='Abgleich Generation'!S$76)*Generation_Entsoe_SFS_2017!$D$3:$AL$40)</f>
        <v>#VALUE!</v>
      </c>
      <c r="T85" s="26" t="e">
        <f>SUMPRODUCT((Generation_Entsoe_SFS_2017!$A$3:$A$40='Abgleich Generation'!$A85)*(Generation_Entsoe_SFS_2017!$D$1:$AL$1='Abgleich Generation'!T$81)*Generation_Entsoe_SFS_2017!$D$3:$AL$40)+SUMPRODUCT((Generation_Entsoe_SFS_2017!$A$3:$A$40='Abgleich Generation'!$A85)*(Generation_Entsoe_SFS_2017!$D$1:$AL$1='Abgleich Generation'!T$80)*Generation_Entsoe_SFS_2017!$D$3:$AL$40)+SUMPRODUCT((Generation_Entsoe_SFS_2017!$A$3:$A$40='Abgleich Generation'!$A85)*(Generation_Entsoe_SFS_2017!$D$1:$AL$1='Abgleich Generation'!T$79)*Generation_Entsoe_SFS_2017!$D$3:$AL$40)+SUMPRODUCT((Generation_Entsoe_SFS_2017!$A$3:$A$40='Abgleich Generation'!$A85)*(Generation_Entsoe_SFS_2017!$D$1:$AL$1='Abgleich Generation'!T$78)*Generation_Entsoe_SFS_2017!$D$3:$AL$40)+SUMPRODUCT((Generation_Entsoe_SFS_2017!$A$3:$A$40='Abgleich Generation'!$A85)*(Generation_Entsoe_SFS_2017!$D$1:$AL$1='Abgleich Generation'!T$77)*Generation_Entsoe_SFS_2017!$D$3:$AL$40)+SUMPRODUCT((Generation_Entsoe_SFS_2017!$A$3:$A$40='Abgleich Generation'!$A85)*(Generation_Entsoe_SFS_2017!$D$1:$AL$1='Abgleich Generation'!T$76)*Generation_Entsoe_SFS_2017!$D$3:$AL$40)</f>
        <v>#VALUE!</v>
      </c>
      <c r="U85" s="26" t="e">
        <f>SUMPRODUCT((Generation_Entsoe_SFS_2017!$A$3:$A$40='Abgleich Generation'!$A85)*(Generation_Entsoe_SFS_2017!$D$1:$AL$1='Abgleich Generation'!U$81)*Generation_Entsoe_SFS_2017!$D$3:$AL$40)+SUMPRODUCT((Generation_Entsoe_SFS_2017!$A$3:$A$40='Abgleich Generation'!$A85)*(Generation_Entsoe_SFS_2017!$D$1:$AL$1='Abgleich Generation'!U$80)*Generation_Entsoe_SFS_2017!$D$3:$AL$40)+SUMPRODUCT((Generation_Entsoe_SFS_2017!$A$3:$A$40='Abgleich Generation'!$A85)*(Generation_Entsoe_SFS_2017!$D$1:$AL$1='Abgleich Generation'!U$79)*Generation_Entsoe_SFS_2017!$D$3:$AL$40)+SUMPRODUCT((Generation_Entsoe_SFS_2017!$A$3:$A$40='Abgleich Generation'!$A85)*(Generation_Entsoe_SFS_2017!$D$1:$AL$1='Abgleich Generation'!U$78)*Generation_Entsoe_SFS_2017!$D$3:$AL$40)+SUMPRODUCT((Generation_Entsoe_SFS_2017!$A$3:$A$40='Abgleich Generation'!$A85)*(Generation_Entsoe_SFS_2017!$D$1:$AL$1='Abgleich Generation'!U$77)*Generation_Entsoe_SFS_2017!$D$3:$AL$40)+SUMPRODUCT((Generation_Entsoe_SFS_2017!$A$3:$A$40='Abgleich Generation'!$A85)*(Generation_Entsoe_SFS_2017!$D$1:$AL$1='Abgleich Generation'!U$76)*Generation_Entsoe_SFS_2017!$D$3:$AL$40)</f>
        <v>#VALUE!</v>
      </c>
      <c r="V85" s="27" t="e">
        <f t="shared" ref="V85:V113" si="63">K85+B85</f>
        <v>#VALUE!</v>
      </c>
      <c r="W85" s="28" t="e">
        <f>SUMPRODUCT((Generation_Entsoe_SFS_2017!$A$3:$A$40='Abgleich Generation'!$A85)*(Generation_Entsoe_SFS_2017!$D$1:$AL$1='Abgleich Generation'!W$81)*Generation_Entsoe_SFS_2017!$D$3:$AL$40)+SUMPRODUCT((Generation_Entsoe_SFS_2017!$A$3:$A$40='Abgleich Generation'!$A85)*(Generation_Entsoe_SFS_2017!$D$1:$AL$1='Abgleich Generation'!W$80)*Generation_Entsoe_SFS_2017!$D$3:$AL$40)+SUMPRODUCT((Generation_Entsoe_SFS_2017!$A$3:$A$40='Abgleich Generation'!$A85)*(Generation_Entsoe_SFS_2017!$D$1:$AL$1='Abgleich Generation'!W$79)*Generation_Entsoe_SFS_2017!$D$3:$AL$40)+SUMPRODUCT((Generation_Entsoe_SFS_2017!$A$3:$A$40='Abgleich Generation'!$A85)*(Generation_Entsoe_SFS_2017!$D$1:$AL$1='Abgleich Generation'!W$78)*Generation_Entsoe_SFS_2017!$D$3:$AL$40)+SUMPRODUCT((Generation_Entsoe_SFS_2017!$A$3:$A$40='Abgleich Generation'!$A85)*(Generation_Entsoe_SFS_2017!$D$1:$AL$1='Abgleich Generation'!W$77)*Generation_Entsoe_SFS_2017!$D$3:$AL$40)+SUMPRODUCT((Generation_Entsoe_SFS_2017!$A$3:$A$40='Abgleich Generation'!$A85)*(Generation_Entsoe_SFS_2017!$D$1:$AL$1='Abgleich Generation'!W$76)*Generation_Entsoe_SFS_2017!$D$3:$AL$40)</f>
        <v>#VALUE!</v>
      </c>
      <c r="X85" s="29" t="e">
        <f>SUMPRODUCT((Generation_Entsoe_SFS_2017!$A$3:$A$40='Abgleich Generation'!$A85)*(Generation_Entsoe_SFS_2017!$D$1:$AL$1='Abgleich Generation'!X$81)*Generation_Entsoe_SFS_2017!$D$3:$AL$40)+SUMPRODUCT((Generation_Entsoe_SFS_2017!$A$3:$A$40='Abgleich Generation'!$A85)*(Generation_Entsoe_SFS_2017!$D$1:$AL$1='Abgleich Generation'!X$80)*Generation_Entsoe_SFS_2017!$D$3:$AL$40)+SUMPRODUCT((Generation_Entsoe_SFS_2017!$A$3:$A$40='Abgleich Generation'!$A85)*(Generation_Entsoe_SFS_2017!$D$1:$AL$1='Abgleich Generation'!X$79)*Generation_Entsoe_SFS_2017!$D$3:$AL$40)+SUMPRODUCT((Generation_Entsoe_SFS_2017!$A$3:$A$40='Abgleich Generation'!$A85)*(Generation_Entsoe_SFS_2017!$D$1:$AL$1='Abgleich Generation'!X$78)*Generation_Entsoe_SFS_2017!$D$3:$AL$40)+SUMPRODUCT((Generation_Entsoe_SFS_2017!$A$3:$A$40='Abgleich Generation'!$A85)*(Generation_Entsoe_SFS_2017!$D$1:$AL$1='Abgleich Generation'!X$77)*Generation_Entsoe_SFS_2017!$D$3:$AL$40)+SUMPRODUCT((Generation_Entsoe_SFS_2017!$A$3:$A$40='Abgleich Generation'!$A85)*(Generation_Entsoe_SFS_2017!$D$1:$AL$1='Abgleich Generation'!X$76)*Generation_Entsoe_SFS_2017!$D$3:$AL$40)</f>
        <v>#VALUE!</v>
      </c>
      <c r="Y85" s="29" t="e">
        <f t="shared" ref="Y85:Y113" si="64">X85+W85-V85</f>
        <v>#VALUE!</v>
      </c>
    </row>
    <row r="86" spans="1:25" x14ac:dyDescent="0.25">
      <c r="A86" s="14" t="s">
        <v>12</v>
      </c>
      <c r="B86" s="57" t="e">
        <f t="shared" si="60"/>
        <v>#VALUE!</v>
      </c>
      <c r="C86" s="58" t="e">
        <f>SUMPRODUCT((Generation_Entsoe_SFS_2017!$A$3:$A$40='Abgleich Generation'!$A86)*(Generation_Entsoe_SFS_2017!$D$1:$AL$1='Abgleich Generation'!C$81)*Generation_Entsoe_SFS_2017!$D$3:$AL$40)+SUMPRODUCT((Generation_Entsoe_SFS_2017!$A$3:$A$40='Abgleich Generation'!$A86)*(Generation_Entsoe_SFS_2017!$D$1:$AL$1='Abgleich Generation'!C$80)*Generation_Entsoe_SFS_2017!$D$3:$AL$40)+SUMPRODUCT((Generation_Entsoe_SFS_2017!$A$3:$A$40='Abgleich Generation'!$A86)*(Generation_Entsoe_SFS_2017!$D$1:$AL$1='Abgleich Generation'!C$79)*Generation_Entsoe_SFS_2017!$D$3:$AL$40)+SUMPRODUCT((Generation_Entsoe_SFS_2017!$A$3:$A$40='Abgleich Generation'!$A86)*(Generation_Entsoe_SFS_2017!$D$1:$AL$1='Abgleich Generation'!C$78)*Generation_Entsoe_SFS_2017!$D$3:$AL$40)</f>
        <v>#VALUE!</v>
      </c>
      <c r="D86" s="58" t="e">
        <f t="shared" si="61"/>
        <v>#VALUE!</v>
      </c>
      <c r="E86" s="58" t="e">
        <f>SUMPRODUCT((Generation_Entsoe_SFS_2017!$A$3:$A$40='Abgleich Generation'!$A86)*(Generation_Entsoe_SFS_2017!$D$1:$AL$1='Abgleich Generation'!E$81)*Generation_Entsoe_SFS_2017!$D$3:$AL$40)+SUMPRODUCT((Generation_Entsoe_SFS_2017!$A$3:$A$40='Abgleich Generation'!$A86)*(Generation_Entsoe_SFS_2017!$D$1:$AL$1='Abgleich Generation'!E$80)*Generation_Entsoe_SFS_2017!$D$3:$AL$40)+SUMPRODUCT((Generation_Entsoe_SFS_2017!$A$3:$A$40='Abgleich Generation'!$A86)*(Generation_Entsoe_SFS_2017!$D$1:$AL$1='Abgleich Generation'!E$79)*Generation_Entsoe_SFS_2017!$D$3:$AL$40)+SUMPRODUCT((Generation_Entsoe_SFS_2017!$A$3:$A$40='Abgleich Generation'!$A86)*(Generation_Entsoe_SFS_2017!$D$1:$AL$1='Abgleich Generation'!E$78)*Generation_Entsoe_SFS_2017!$D$3:$AL$40)</f>
        <v>#VALUE!</v>
      </c>
      <c r="F86" s="58" t="e">
        <f>SUMPRODUCT((Generation_Entsoe_SFS_2017!$A$3:$A$40='Abgleich Generation'!$A86)*(Generation_Entsoe_SFS_2017!$D$1:$AL$1='Abgleich Generation'!F$81)*Generation_Entsoe_SFS_2017!$D$3:$AL$40)+SUMPRODUCT((Generation_Entsoe_SFS_2017!$A$3:$A$40='Abgleich Generation'!$A86)*(Generation_Entsoe_SFS_2017!$D$1:$AL$1='Abgleich Generation'!F$80)*Generation_Entsoe_SFS_2017!$D$3:$AL$40)+SUMPRODUCT((Generation_Entsoe_SFS_2017!$A$3:$A$40='Abgleich Generation'!$A86)*(Generation_Entsoe_SFS_2017!$D$1:$AL$1='Abgleich Generation'!F$79)*Generation_Entsoe_SFS_2017!$D$3:$AL$40)+SUMPRODUCT((Generation_Entsoe_SFS_2017!$A$3:$A$40='Abgleich Generation'!$A86)*(Generation_Entsoe_SFS_2017!$D$1:$AL$1='Abgleich Generation'!F$78)*Generation_Entsoe_SFS_2017!$D$3:$AL$40)</f>
        <v>#VALUE!</v>
      </c>
      <c r="G86" s="58" t="e">
        <f>SUMPRODUCT((Generation_Entsoe_SFS_2017!$A$3:$A$40='Abgleich Generation'!$A86)*(Generation_Entsoe_SFS_2017!$D$1:$AL$1='Abgleich Generation'!G$81)*Generation_Entsoe_SFS_2017!$D$3:$AL$40)+SUMPRODUCT((Generation_Entsoe_SFS_2017!$A$3:$A$40='Abgleich Generation'!$A86)*(Generation_Entsoe_SFS_2017!$D$1:$AL$1='Abgleich Generation'!G$80)*Generation_Entsoe_SFS_2017!$D$3:$AL$40)+SUMPRODUCT((Generation_Entsoe_SFS_2017!$A$3:$A$40='Abgleich Generation'!$A86)*(Generation_Entsoe_SFS_2017!$D$1:$AL$1='Abgleich Generation'!G$79)*Generation_Entsoe_SFS_2017!$D$3:$AL$40)+SUMPRODUCT((Generation_Entsoe_SFS_2017!$A$3:$A$40='Abgleich Generation'!$A86)*(Generation_Entsoe_SFS_2017!$D$1:$AL$1='Abgleich Generation'!G$78)*Generation_Entsoe_SFS_2017!$D$3:$AL$40)</f>
        <v>#VALUE!</v>
      </c>
      <c r="H86" s="58" t="e">
        <f>SUMPRODUCT((Generation_Entsoe_SFS_2017!$A$3:$A$40='Abgleich Generation'!$A86)*(Generation_Entsoe_SFS_2017!$D$1:$AL$1='Abgleich Generation'!H$81)*Generation_Entsoe_SFS_2017!$D$3:$AL$40)+SUMPRODUCT((Generation_Entsoe_SFS_2017!$A$3:$A$40='Abgleich Generation'!$A86)*(Generation_Entsoe_SFS_2017!$D$1:$AL$1='Abgleich Generation'!H$80)*Generation_Entsoe_SFS_2017!$D$3:$AL$40)+SUMPRODUCT((Generation_Entsoe_SFS_2017!$A$3:$A$40='Abgleich Generation'!$A86)*(Generation_Entsoe_SFS_2017!$D$1:$AL$1='Abgleich Generation'!H$79)*Generation_Entsoe_SFS_2017!$D$3:$AL$40)+SUMPRODUCT((Generation_Entsoe_SFS_2017!$A$3:$A$40='Abgleich Generation'!$A86)*(Generation_Entsoe_SFS_2017!$D$1:$AL$1='Abgleich Generation'!H$78)*Generation_Entsoe_SFS_2017!$D$3:$AL$40)</f>
        <v>#VALUE!</v>
      </c>
      <c r="I86" s="58" t="e">
        <f>SUMPRODUCT((Generation_Entsoe_SFS_2017!$A$3:$A$40='Abgleich Generation'!$A86)*(Generation_Entsoe_SFS_2017!$D$1:$AL$1='Abgleich Generation'!I$81)*Generation_Entsoe_SFS_2017!$D$3:$AL$40)+SUMPRODUCT((Generation_Entsoe_SFS_2017!$A$3:$A$40='Abgleich Generation'!$A86)*(Generation_Entsoe_SFS_2017!$D$1:$AL$1='Abgleich Generation'!I$80)*Generation_Entsoe_SFS_2017!$D$3:$AL$40)+SUMPRODUCT((Generation_Entsoe_SFS_2017!$A$3:$A$40='Abgleich Generation'!$A86)*(Generation_Entsoe_SFS_2017!$D$1:$AL$1='Abgleich Generation'!I$79)*Generation_Entsoe_SFS_2017!$D$3:$AL$40)+SUMPRODUCT((Generation_Entsoe_SFS_2017!$A$3:$A$40='Abgleich Generation'!$A86)*(Generation_Entsoe_SFS_2017!$D$1:$AL$1='Abgleich Generation'!I$78)*Generation_Entsoe_SFS_2017!$D$3:$AL$40)</f>
        <v>#VALUE!</v>
      </c>
      <c r="J86" s="58" t="e">
        <f>SUMPRODUCT((Generation_Entsoe_SFS_2017!$A$3:$A$40='Abgleich Generation'!$A86)*(Generation_Entsoe_SFS_2017!$D$1:$AL$1='Abgleich Generation'!J$81)*Generation_Entsoe_SFS_2017!$D$3:$AL$40)+SUMPRODUCT((Generation_Entsoe_SFS_2017!$A$3:$A$40='Abgleich Generation'!$A86)*(Generation_Entsoe_SFS_2017!$D$1:$AL$1='Abgleich Generation'!J$80)*Generation_Entsoe_SFS_2017!$D$3:$AL$40)+SUMPRODUCT((Generation_Entsoe_SFS_2017!$A$3:$A$40='Abgleich Generation'!$A86)*(Generation_Entsoe_SFS_2017!$D$1:$AL$1='Abgleich Generation'!J$79)*Generation_Entsoe_SFS_2017!$D$3:$AL$40)+SUMPRODUCT((Generation_Entsoe_SFS_2017!$A$3:$A$40='Abgleich Generation'!$A86)*(Generation_Entsoe_SFS_2017!$D$1:$AL$1='Abgleich Generation'!J$78)*Generation_Entsoe_SFS_2017!$D$3:$AL$40)</f>
        <v>#VALUE!</v>
      </c>
      <c r="K86" s="59" t="e">
        <f t="shared" si="62"/>
        <v>#VALUE!</v>
      </c>
      <c r="L86" s="58" t="e">
        <f>SUMPRODUCT((Generation_Entsoe_SFS_2017!$A$3:$A$40='Abgleich Generation'!$A86)*(Generation_Entsoe_SFS_2017!$D$1:$AL$1='Abgleich Generation'!L$81)*Generation_Entsoe_SFS_2017!$D$3:$AL$40)+SUMPRODUCT((Generation_Entsoe_SFS_2017!$A$3:$A$40='Abgleich Generation'!$A86)*(Generation_Entsoe_SFS_2017!$D$1:$AL$1='Abgleich Generation'!L$80)*Generation_Entsoe_SFS_2017!$D$3:$AL$40)+SUMPRODUCT((Generation_Entsoe_SFS_2017!$A$3:$A$40='Abgleich Generation'!$A86)*(Generation_Entsoe_SFS_2017!$D$1:$AL$1='Abgleich Generation'!L$79)*Generation_Entsoe_SFS_2017!$D$3:$AL$40)+SUMPRODUCT((Generation_Entsoe_SFS_2017!$A$3:$A$40='Abgleich Generation'!$A86)*(Generation_Entsoe_SFS_2017!$D$1:$AL$1='Abgleich Generation'!L$78)*Generation_Entsoe_SFS_2017!$D$3:$AL$40)+SUMPRODUCT((Generation_Entsoe_SFS_2017!$A$3:$A$40='Abgleich Generation'!$A86)*(Generation_Entsoe_SFS_2017!$D$1:$AL$1='Abgleich Generation'!L$77)*Generation_Entsoe_SFS_2017!$D$3:$AL$40)+SUMPRODUCT((Generation_Entsoe_SFS_2017!$A$3:$A$40='Abgleich Generation'!$A86)*(Generation_Entsoe_SFS_2017!$D$1:$AL$1='Abgleich Generation'!L$76)*Generation_Entsoe_SFS_2017!$D$3:$AL$40)</f>
        <v>#VALUE!</v>
      </c>
      <c r="M86" s="58" t="e">
        <f>SUMPRODUCT((Generation_Entsoe_SFS_2017!$A$3:$A$40='Abgleich Generation'!$A86)*(Generation_Entsoe_SFS_2017!$D$1:$AL$1='Abgleich Generation'!M$81)*Generation_Entsoe_SFS_2017!$D$3:$AL$40)+SUMPRODUCT((Generation_Entsoe_SFS_2017!$A$3:$A$40='Abgleich Generation'!$A86)*(Generation_Entsoe_SFS_2017!$D$1:$AL$1='Abgleich Generation'!M$80)*Generation_Entsoe_SFS_2017!$D$3:$AL$40)+SUMPRODUCT((Generation_Entsoe_SFS_2017!$A$3:$A$40='Abgleich Generation'!$A86)*(Generation_Entsoe_SFS_2017!$D$1:$AL$1='Abgleich Generation'!M$79)*Generation_Entsoe_SFS_2017!$D$3:$AL$40)+SUMPRODUCT((Generation_Entsoe_SFS_2017!$A$3:$A$40='Abgleich Generation'!$A86)*(Generation_Entsoe_SFS_2017!$D$1:$AL$1='Abgleich Generation'!M$78)*Generation_Entsoe_SFS_2017!$D$3:$AL$40)+SUMPRODUCT((Generation_Entsoe_SFS_2017!$A$3:$A$40='Abgleich Generation'!$A86)*(Generation_Entsoe_SFS_2017!$D$1:$AL$1='Abgleich Generation'!M$77)*Generation_Entsoe_SFS_2017!$D$3:$AL$40)+SUMPRODUCT((Generation_Entsoe_SFS_2017!$A$3:$A$40='Abgleich Generation'!$A86)*(Generation_Entsoe_SFS_2017!$D$1:$AL$1='Abgleich Generation'!M$76)*Generation_Entsoe_SFS_2017!$D$3:$AL$40)</f>
        <v>#VALUE!</v>
      </c>
      <c r="N86" s="58" t="e">
        <f>SUMPRODUCT((Generation_Entsoe_SFS_2017!$A$3:$A$40='Abgleich Generation'!$A86)*(Generation_Entsoe_SFS_2017!$D$1:$AL$1='Abgleich Generation'!N$81)*Generation_Entsoe_SFS_2017!$D$3:$AL$40)+SUMPRODUCT((Generation_Entsoe_SFS_2017!$A$3:$A$40='Abgleich Generation'!$A86)*(Generation_Entsoe_SFS_2017!$D$1:$AL$1='Abgleich Generation'!N$80)*Generation_Entsoe_SFS_2017!$D$3:$AL$40)+SUMPRODUCT((Generation_Entsoe_SFS_2017!$A$3:$A$40='Abgleich Generation'!$A86)*(Generation_Entsoe_SFS_2017!$D$1:$AL$1='Abgleich Generation'!N$79)*Generation_Entsoe_SFS_2017!$D$3:$AL$40)+SUMPRODUCT((Generation_Entsoe_SFS_2017!$A$3:$A$40='Abgleich Generation'!$A86)*(Generation_Entsoe_SFS_2017!$D$1:$AL$1='Abgleich Generation'!N$78)*Generation_Entsoe_SFS_2017!$D$3:$AL$40)+SUMPRODUCT((Generation_Entsoe_SFS_2017!$A$3:$A$40='Abgleich Generation'!$A86)*(Generation_Entsoe_SFS_2017!$D$1:$AL$1='Abgleich Generation'!N$77)*Generation_Entsoe_SFS_2017!$D$3:$AL$40)+SUMPRODUCT((Generation_Entsoe_SFS_2017!$A$3:$A$40='Abgleich Generation'!$A86)*(Generation_Entsoe_SFS_2017!$D$1:$AL$1='Abgleich Generation'!N$76)*Generation_Entsoe_SFS_2017!$D$3:$AL$40)</f>
        <v>#VALUE!</v>
      </c>
      <c r="O86" s="58" t="e">
        <f>SUMPRODUCT((Generation_Entsoe_SFS_2017!$A$3:$A$40='Abgleich Generation'!$A86)*(Generation_Entsoe_SFS_2017!$D$1:$AL$1='Abgleich Generation'!O$81)*Generation_Entsoe_SFS_2017!$D$3:$AL$40)+SUMPRODUCT((Generation_Entsoe_SFS_2017!$A$3:$A$40='Abgleich Generation'!$A86)*(Generation_Entsoe_SFS_2017!$D$1:$AL$1='Abgleich Generation'!O$80)*Generation_Entsoe_SFS_2017!$D$3:$AL$40)+SUMPRODUCT((Generation_Entsoe_SFS_2017!$A$3:$A$40='Abgleich Generation'!$A86)*(Generation_Entsoe_SFS_2017!$D$1:$AL$1='Abgleich Generation'!O$79)*Generation_Entsoe_SFS_2017!$D$3:$AL$40)+SUMPRODUCT((Generation_Entsoe_SFS_2017!$A$3:$A$40='Abgleich Generation'!$A86)*(Generation_Entsoe_SFS_2017!$D$1:$AL$1='Abgleich Generation'!O$78)*Generation_Entsoe_SFS_2017!$D$3:$AL$40)+SUMPRODUCT((Generation_Entsoe_SFS_2017!$A$3:$A$40='Abgleich Generation'!$A86)*(Generation_Entsoe_SFS_2017!$D$1:$AL$1='Abgleich Generation'!O$77)*Generation_Entsoe_SFS_2017!$D$3:$AL$40)+SUMPRODUCT((Generation_Entsoe_SFS_2017!$A$3:$A$40='Abgleich Generation'!$A86)*(Generation_Entsoe_SFS_2017!$D$1:$AL$1='Abgleich Generation'!O$76)*Generation_Entsoe_SFS_2017!$D$3:$AL$40)</f>
        <v>#VALUE!</v>
      </c>
      <c r="P86" s="58" t="e">
        <f>SUMPRODUCT((Generation_Entsoe_SFS_2017!$A$3:$A$40='Abgleich Generation'!$A86)*(Generation_Entsoe_SFS_2017!$D$1:$AL$1='Abgleich Generation'!P$81)*Generation_Entsoe_SFS_2017!$D$3:$AL$40)+SUMPRODUCT((Generation_Entsoe_SFS_2017!$A$3:$A$40='Abgleich Generation'!$A86)*(Generation_Entsoe_SFS_2017!$D$1:$AL$1='Abgleich Generation'!P$80)*Generation_Entsoe_SFS_2017!$D$3:$AL$40)+SUMPRODUCT((Generation_Entsoe_SFS_2017!$A$3:$A$40='Abgleich Generation'!$A86)*(Generation_Entsoe_SFS_2017!$D$1:$AL$1='Abgleich Generation'!P$79)*Generation_Entsoe_SFS_2017!$D$3:$AL$40)+SUMPRODUCT((Generation_Entsoe_SFS_2017!$A$3:$A$40='Abgleich Generation'!$A86)*(Generation_Entsoe_SFS_2017!$D$1:$AL$1='Abgleich Generation'!P$78)*Generation_Entsoe_SFS_2017!$D$3:$AL$40)+SUMPRODUCT((Generation_Entsoe_SFS_2017!$A$3:$A$40='Abgleich Generation'!$A86)*(Generation_Entsoe_SFS_2017!$D$1:$AL$1='Abgleich Generation'!P$77)*Generation_Entsoe_SFS_2017!$D$3:$AL$40)+SUMPRODUCT((Generation_Entsoe_SFS_2017!$A$3:$A$40='Abgleich Generation'!$A86)*(Generation_Entsoe_SFS_2017!$D$1:$AL$1='Abgleich Generation'!P$76)*Generation_Entsoe_SFS_2017!$D$3:$AL$40)</f>
        <v>#VALUE!</v>
      </c>
      <c r="Q86" s="58" t="e">
        <f>SUMPRODUCT((Generation_Entsoe_SFS_2017!$A$3:$A$40='Abgleich Generation'!$A86)*(Generation_Entsoe_SFS_2017!$D$1:$AL$1='Abgleich Generation'!Q$81)*Generation_Entsoe_SFS_2017!$D$3:$AL$40)+SUMPRODUCT((Generation_Entsoe_SFS_2017!$A$3:$A$40='Abgleich Generation'!$A86)*(Generation_Entsoe_SFS_2017!$D$1:$AL$1='Abgleich Generation'!Q$80)*Generation_Entsoe_SFS_2017!$D$3:$AL$40)+SUMPRODUCT((Generation_Entsoe_SFS_2017!$A$3:$A$40='Abgleich Generation'!$A86)*(Generation_Entsoe_SFS_2017!$D$1:$AL$1='Abgleich Generation'!Q$79)*Generation_Entsoe_SFS_2017!$D$3:$AL$40)+SUMPRODUCT((Generation_Entsoe_SFS_2017!$A$3:$A$40='Abgleich Generation'!$A86)*(Generation_Entsoe_SFS_2017!$D$1:$AL$1='Abgleich Generation'!Q$78)*Generation_Entsoe_SFS_2017!$D$3:$AL$40)+SUMPRODUCT((Generation_Entsoe_SFS_2017!$A$3:$A$40='Abgleich Generation'!$A86)*(Generation_Entsoe_SFS_2017!$D$1:$AL$1='Abgleich Generation'!Q$77)*Generation_Entsoe_SFS_2017!$D$3:$AL$40)+SUMPRODUCT((Generation_Entsoe_SFS_2017!$A$3:$A$40='Abgleich Generation'!$A86)*(Generation_Entsoe_SFS_2017!$D$1:$AL$1='Abgleich Generation'!Q$76)*Generation_Entsoe_SFS_2017!$D$3:$AL$40)</f>
        <v>#VALUE!</v>
      </c>
      <c r="R86" s="58" t="e">
        <f>SUMPRODUCT((Generation_Entsoe_SFS_2017!$A$3:$A$40='Abgleich Generation'!$A86)*(Generation_Entsoe_SFS_2017!$D$1:$AL$1='Abgleich Generation'!R$81)*Generation_Entsoe_SFS_2017!$D$3:$AL$40)+SUMPRODUCT((Generation_Entsoe_SFS_2017!$A$3:$A$40='Abgleich Generation'!$A86)*(Generation_Entsoe_SFS_2017!$D$1:$AL$1='Abgleich Generation'!R$80)*Generation_Entsoe_SFS_2017!$D$3:$AL$40)+SUMPRODUCT((Generation_Entsoe_SFS_2017!$A$3:$A$40='Abgleich Generation'!$A86)*(Generation_Entsoe_SFS_2017!$D$1:$AL$1='Abgleich Generation'!R$79)*Generation_Entsoe_SFS_2017!$D$3:$AL$40)+SUMPRODUCT((Generation_Entsoe_SFS_2017!$A$3:$A$40='Abgleich Generation'!$A86)*(Generation_Entsoe_SFS_2017!$D$1:$AL$1='Abgleich Generation'!R$78)*Generation_Entsoe_SFS_2017!$D$3:$AL$40)+SUMPRODUCT((Generation_Entsoe_SFS_2017!$A$3:$A$40='Abgleich Generation'!$A86)*(Generation_Entsoe_SFS_2017!$D$1:$AL$1='Abgleich Generation'!R$77)*Generation_Entsoe_SFS_2017!$D$3:$AL$40)+SUMPRODUCT((Generation_Entsoe_SFS_2017!$A$3:$A$40='Abgleich Generation'!$A86)*(Generation_Entsoe_SFS_2017!$D$1:$AL$1='Abgleich Generation'!R$76)*Generation_Entsoe_SFS_2017!$D$3:$AL$40)</f>
        <v>#VALUE!</v>
      </c>
      <c r="S86" s="58" t="e">
        <f>SUMPRODUCT((Generation_Entsoe_SFS_2017!$A$3:$A$40='Abgleich Generation'!$A86)*(Generation_Entsoe_SFS_2017!$D$1:$AL$1='Abgleich Generation'!S$81)*Generation_Entsoe_SFS_2017!$D$3:$AL$40)+SUMPRODUCT((Generation_Entsoe_SFS_2017!$A$3:$A$40='Abgleich Generation'!$A86)*(Generation_Entsoe_SFS_2017!$D$1:$AL$1='Abgleich Generation'!S$80)*Generation_Entsoe_SFS_2017!$D$3:$AL$40)+SUMPRODUCT((Generation_Entsoe_SFS_2017!$A$3:$A$40='Abgleich Generation'!$A86)*(Generation_Entsoe_SFS_2017!$D$1:$AL$1='Abgleich Generation'!S$79)*Generation_Entsoe_SFS_2017!$D$3:$AL$40)+SUMPRODUCT((Generation_Entsoe_SFS_2017!$A$3:$A$40='Abgleich Generation'!$A86)*(Generation_Entsoe_SFS_2017!$D$1:$AL$1='Abgleich Generation'!S$78)*Generation_Entsoe_SFS_2017!$D$3:$AL$40)+SUMPRODUCT((Generation_Entsoe_SFS_2017!$A$3:$A$40='Abgleich Generation'!$A86)*(Generation_Entsoe_SFS_2017!$D$1:$AL$1='Abgleich Generation'!S$77)*Generation_Entsoe_SFS_2017!$D$3:$AL$40)+SUMPRODUCT((Generation_Entsoe_SFS_2017!$A$3:$A$40='Abgleich Generation'!$A86)*(Generation_Entsoe_SFS_2017!$D$1:$AL$1='Abgleich Generation'!S$76)*Generation_Entsoe_SFS_2017!$D$3:$AL$40)</f>
        <v>#VALUE!</v>
      </c>
      <c r="T86" s="58" t="e">
        <f>SUMPRODUCT((Generation_Entsoe_SFS_2017!$A$3:$A$40='Abgleich Generation'!$A86)*(Generation_Entsoe_SFS_2017!$D$1:$AL$1='Abgleich Generation'!T$81)*Generation_Entsoe_SFS_2017!$D$3:$AL$40)+SUMPRODUCT((Generation_Entsoe_SFS_2017!$A$3:$A$40='Abgleich Generation'!$A86)*(Generation_Entsoe_SFS_2017!$D$1:$AL$1='Abgleich Generation'!T$80)*Generation_Entsoe_SFS_2017!$D$3:$AL$40)+SUMPRODUCT((Generation_Entsoe_SFS_2017!$A$3:$A$40='Abgleich Generation'!$A86)*(Generation_Entsoe_SFS_2017!$D$1:$AL$1='Abgleich Generation'!T$79)*Generation_Entsoe_SFS_2017!$D$3:$AL$40)+SUMPRODUCT((Generation_Entsoe_SFS_2017!$A$3:$A$40='Abgleich Generation'!$A86)*(Generation_Entsoe_SFS_2017!$D$1:$AL$1='Abgleich Generation'!T$78)*Generation_Entsoe_SFS_2017!$D$3:$AL$40)+SUMPRODUCT((Generation_Entsoe_SFS_2017!$A$3:$A$40='Abgleich Generation'!$A86)*(Generation_Entsoe_SFS_2017!$D$1:$AL$1='Abgleich Generation'!T$77)*Generation_Entsoe_SFS_2017!$D$3:$AL$40)+SUMPRODUCT((Generation_Entsoe_SFS_2017!$A$3:$A$40='Abgleich Generation'!$A86)*(Generation_Entsoe_SFS_2017!$D$1:$AL$1='Abgleich Generation'!T$76)*Generation_Entsoe_SFS_2017!$D$3:$AL$40)</f>
        <v>#VALUE!</v>
      </c>
      <c r="U86" s="58" t="e">
        <f>SUMPRODUCT((Generation_Entsoe_SFS_2017!$A$3:$A$40='Abgleich Generation'!$A86)*(Generation_Entsoe_SFS_2017!$D$1:$AL$1='Abgleich Generation'!U$81)*Generation_Entsoe_SFS_2017!$D$3:$AL$40)+SUMPRODUCT((Generation_Entsoe_SFS_2017!$A$3:$A$40='Abgleich Generation'!$A86)*(Generation_Entsoe_SFS_2017!$D$1:$AL$1='Abgleich Generation'!U$80)*Generation_Entsoe_SFS_2017!$D$3:$AL$40)+SUMPRODUCT((Generation_Entsoe_SFS_2017!$A$3:$A$40='Abgleich Generation'!$A86)*(Generation_Entsoe_SFS_2017!$D$1:$AL$1='Abgleich Generation'!U$79)*Generation_Entsoe_SFS_2017!$D$3:$AL$40)+SUMPRODUCT((Generation_Entsoe_SFS_2017!$A$3:$A$40='Abgleich Generation'!$A86)*(Generation_Entsoe_SFS_2017!$D$1:$AL$1='Abgleich Generation'!U$78)*Generation_Entsoe_SFS_2017!$D$3:$AL$40)+SUMPRODUCT((Generation_Entsoe_SFS_2017!$A$3:$A$40='Abgleich Generation'!$A86)*(Generation_Entsoe_SFS_2017!$D$1:$AL$1='Abgleich Generation'!U$77)*Generation_Entsoe_SFS_2017!$D$3:$AL$40)+SUMPRODUCT((Generation_Entsoe_SFS_2017!$A$3:$A$40='Abgleich Generation'!$A86)*(Generation_Entsoe_SFS_2017!$D$1:$AL$1='Abgleich Generation'!U$76)*Generation_Entsoe_SFS_2017!$D$3:$AL$40)</f>
        <v>#VALUE!</v>
      </c>
      <c r="V86" s="59" t="e">
        <f t="shared" si="63"/>
        <v>#VALUE!</v>
      </c>
      <c r="W86" s="60" t="e">
        <f>SUMPRODUCT((Generation_Entsoe_SFS_2017!$A$3:$A$40='Abgleich Generation'!$A86)*(Generation_Entsoe_SFS_2017!$D$1:$AL$1='Abgleich Generation'!W$81)*Generation_Entsoe_SFS_2017!$D$3:$AL$40)+SUMPRODUCT((Generation_Entsoe_SFS_2017!$A$3:$A$40='Abgleich Generation'!$A86)*(Generation_Entsoe_SFS_2017!$D$1:$AL$1='Abgleich Generation'!W$80)*Generation_Entsoe_SFS_2017!$D$3:$AL$40)+SUMPRODUCT((Generation_Entsoe_SFS_2017!$A$3:$A$40='Abgleich Generation'!$A86)*(Generation_Entsoe_SFS_2017!$D$1:$AL$1='Abgleich Generation'!W$79)*Generation_Entsoe_SFS_2017!$D$3:$AL$40)+SUMPRODUCT((Generation_Entsoe_SFS_2017!$A$3:$A$40='Abgleich Generation'!$A86)*(Generation_Entsoe_SFS_2017!$D$1:$AL$1='Abgleich Generation'!W$78)*Generation_Entsoe_SFS_2017!$D$3:$AL$40)+SUMPRODUCT((Generation_Entsoe_SFS_2017!$A$3:$A$40='Abgleich Generation'!$A86)*(Generation_Entsoe_SFS_2017!$D$1:$AL$1='Abgleich Generation'!W$77)*Generation_Entsoe_SFS_2017!$D$3:$AL$40)+SUMPRODUCT((Generation_Entsoe_SFS_2017!$A$3:$A$40='Abgleich Generation'!$A86)*(Generation_Entsoe_SFS_2017!$D$1:$AL$1='Abgleich Generation'!W$76)*Generation_Entsoe_SFS_2017!$D$3:$AL$40)</f>
        <v>#VALUE!</v>
      </c>
      <c r="X86" s="61" t="e">
        <f>SUMPRODUCT((Generation_Entsoe_SFS_2017!$A$3:$A$40='Abgleich Generation'!$A86)*(Generation_Entsoe_SFS_2017!$D$1:$AL$1='Abgleich Generation'!X$81)*Generation_Entsoe_SFS_2017!$D$3:$AL$40)+SUMPRODUCT((Generation_Entsoe_SFS_2017!$A$3:$A$40='Abgleich Generation'!$A86)*(Generation_Entsoe_SFS_2017!$D$1:$AL$1='Abgleich Generation'!X$80)*Generation_Entsoe_SFS_2017!$D$3:$AL$40)+SUMPRODUCT((Generation_Entsoe_SFS_2017!$A$3:$A$40='Abgleich Generation'!$A86)*(Generation_Entsoe_SFS_2017!$D$1:$AL$1='Abgleich Generation'!X$79)*Generation_Entsoe_SFS_2017!$D$3:$AL$40)+SUMPRODUCT((Generation_Entsoe_SFS_2017!$A$3:$A$40='Abgleich Generation'!$A86)*(Generation_Entsoe_SFS_2017!$D$1:$AL$1='Abgleich Generation'!X$78)*Generation_Entsoe_SFS_2017!$D$3:$AL$40)+SUMPRODUCT((Generation_Entsoe_SFS_2017!$A$3:$A$40='Abgleich Generation'!$A86)*(Generation_Entsoe_SFS_2017!$D$1:$AL$1='Abgleich Generation'!X$77)*Generation_Entsoe_SFS_2017!$D$3:$AL$40)+SUMPRODUCT((Generation_Entsoe_SFS_2017!$A$3:$A$40='Abgleich Generation'!$A86)*(Generation_Entsoe_SFS_2017!$D$1:$AL$1='Abgleich Generation'!X$76)*Generation_Entsoe_SFS_2017!$D$3:$AL$40)</f>
        <v>#VALUE!</v>
      </c>
      <c r="Y86" s="61" t="e">
        <f t="shared" si="64"/>
        <v>#VALUE!</v>
      </c>
    </row>
    <row r="87" spans="1:25" x14ac:dyDescent="0.25">
      <c r="A87" s="14" t="s">
        <v>13</v>
      </c>
      <c r="B87" s="25" t="e">
        <f t="shared" si="60"/>
        <v>#VALUE!</v>
      </c>
      <c r="C87" s="26" t="e">
        <f>SUMPRODUCT((Generation_Entsoe_SFS_2017!$A$3:$A$40='Abgleich Generation'!$A87)*(Generation_Entsoe_SFS_2017!$D$1:$AL$1='Abgleich Generation'!C$81)*Generation_Entsoe_SFS_2017!$D$3:$AL$40)+SUMPRODUCT((Generation_Entsoe_SFS_2017!$A$3:$A$40='Abgleich Generation'!$A87)*(Generation_Entsoe_SFS_2017!$D$1:$AL$1='Abgleich Generation'!C$80)*Generation_Entsoe_SFS_2017!$D$3:$AL$40)+SUMPRODUCT((Generation_Entsoe_SFS_2017!$A$3:$A$40='Abgleich Generation'!$A87)*(Generation_Entsoe_SFS_2017!$D$1:$AL$1='Abgleich Generation'!C$79)*Generation_Entsoe_SFS_2017!$D$3:$AL$40)+SUMPRODUCT((Generation_Entsoe_SFS_2017!$A$3:$A$40='Abgleich Generation'!$A87)*(Generation_Entsoe_SFS_2017!$D$1:$AL$1='Abgleich Generation'!C$78)*Generation_Entsoe_SFS_2017!$D$3:$AL$40)</f>
        <v>#VALUE!</v>
      </c>
      <c r="D87" s="26" t="e">
        <f t="shared" si="61"/>
        <v>#VALUE!</v>
      </c>
      <c r="E87" s="26" t="e">
        <f>SUMPRODUCT((Generation_Entsoe_SFS_2017!$A$3:$A$40='Abgleich Generation'!$A87)*(Generation_Entsoe_SFS_2017!$D$1:$AL$1='Abgleich Generation'!E$81)*Generation_Entsoe_SFS_2017!$D$3:$AL$40)+SUMPRODUCT((Generation_Entsoe_SFS_2017!$A$3:$A$40='Abgleich Generation'!$A87)*(Generation_Entsoe_SFS_2017!$D$1:$AL$1='Abgleich Generation'!E$80)*Generation_Entsoe_SFS_2017!$D$3:$AL$40)+SUMPRODUCT((Generation_Entsoe_SFS_2017!$A$3:$A$40='Abgleich Generation'!$A87)*(Generation_Entsoe_SFS_2017!$D$1:$AL$1='Abgleich Generation'!E$79)*Generation_Entsoe_SFS_2017!$D$3:$AL$40)+SUMPRODUCT((Generation_Entsoe_SFS_2017!$A$3:$A$40='Abgleich Generation'!$A87)*(Generation_Entsoe_SFS_2017!$D$1:$AL$1='Abgleich Generation'!E$78)*Generation_Entsoe_SFS_2017!$D$3:$AL$40)</f>
        <v>#VALUE!</v>
      </c>
      <c r="F87" s="26" t="e">
        <f>SUMPRODUCT((Generation_Entsoe_SFS_2017!$A$3:$A$40='Abgleich Generation'!$A87)*(Generation_Entsoe_SFS_2017!$D$1:$AL$1='Abgleich Generation'!F$81)*Generation_Entsoe_SFS_2017!$D$3:$AL$40)+SUMPRODUCT((Generation_Entsoe_SFS_2017!$A$3:$A$40='Abgleich Generation'!$A87)*(Generation_Entsoe_SFS_2017!$D$1:$AL$1='Abgleich Generation'!F$80)*Generation_Entsoe_SFS_2017!$D$3:$AL$40)+SUMPRODUCT((Generation_Entsoe_SFS_2017!$A$3:$A$40='Abgleich Generation'!$A87)*(Generation_Entsoe_SFS_2017!$D$1:$AL$1='Abgleich Generation'!F$79)*Generation_Entsoe_SFS_2017!$D$3:$AL$40)+SUMPRODUCT((Generation_Entsoe_SFS_2017!$A$3:$A$40='Abgleich Generation'!$A87)*(Generation_Entsoe_SFS_2017!$D$1:$AL$1='Abgleich Generation'!F$78)*Generation_Entsoe_SFS_2017!$D$3:$AL$40)</f>
        <v>#VALUE!</v>
      </c>
      <c r="G87" s="26" t="e">
        <f>SUMPRODUCT((Generation_Entsoe_SFS_2017!$A$3:$A$40='Abgleich Generation'!$A87)*(Generation_Entsoe_SFS_2017!$D$1:$AL$1='Abgleich Generation'!G$81)*Generation_Entsoe_SFS_2017!$D$3:$AL$40)+SUMPRODUCT((Generation_Entsoe_SFS_2017!$A$3:$A$40='Abgleich Generation'!$A87)*(Generation_Entsoe_SFS_2017!$D$1:$AL$1='Abgleich Generation'!G$80)*Generation_Entsoe_SFS_2017!$D$3:$AL$40)+SUMPRODUCT((Generation_Entsoe_SFS_2017!$A$3:$A$40='Abgleich Generation'!$A87)*(Generation_Entsoe_SFS_2017!$D$1:$AL$1='Abgleich Generation'!G$79)*Generation_Entsoe_SFS_2017!$D$3:$AL$40)+SUMPRODUCT((Generation_Entsoe_SFS_2017!$A$3:$A$40='Abgleich Generation'!$A87)*(Generation_Entsoe_SFS_2017!$D$1:$AL$1='Abgleich Generation'!G$78)*Generation_Entsoe_SFS_2017!$D$3:$AL$40)</f>
        <v>#VALUE!</v>
      </c>
      <c r="H87" s="26" t="e">
        <f>SUMPRODUCT((Generation_Entsoe_SFS_2017!$A$3:$A$40='Abgleich Generation'!$A87)*(Generation_Entsoe_SFS_2017!$D$1:$AL$1='Abgleich Generation'!H$81)*Generation_Entsoe_SFS_2017!$D$3:$AL$40)+SUMPRODUCT((Generation_Entsoe_SFS_2017!$A$3:$A$40='Abgleich Generation'!$A87)*(Generation_Entsoe_SFS_2017!$D$1:$AL$1='Abgleich Generation'!H$80)*Generation_Entsoe_SFS_2017!$D$3:$AL$40)+SUMPRODUCT((Generation_Entsoe_SFS_2017!$A$3:$A$40='Abgleich Generation'!$A87)*(Generation_Entsoe_SFS_2017!$D$1:$AL$1='Abgleich Generation'!H$79)*Generation_Entsoe_SFS_2017!$D$3:$AL$40)+SUMPRODUCT((Generation_Entsoe_SFS_2017!$A$3:$A$40='Abgleich Generation'!$A87)*(Generation_Entsoe_SFS_2017!$D$1:$AL$1='Abgleich Generation'!H$78)*Generation_Entsoe_SFS_2017!$D$3:$AL$40)</f>
        <v>#VALUE!</v>
      </c>
      <c r="I87" s="26" t="e">
        <f>SUMPRODUCT((Generation_Entsoe_SFS_2017!$A$3:$A$40='Abgleich Generation'!$A87)*(Generation_Entsoe_SFS_2017!$D$1:$AL$1='Abgleich Generation'!I$81)*Generation_Entsoe_SFS_2017!$D$3:$AL$40)+SUMPRODUCT((Generation_Entsoe_SFS_2017!$A$3:$A$40='Abgleich Generation'!$A87)*(Generation_Entsoe_SFS_2017!$D$1:$AL$1='Abgleich Generation'!I$80)*Generation_Entsoe_SFS_2017!$D$3:$AL$40)+SUMPRODUCT((Generation_Entsoe_SFS_2017!$A$3:$A$40='Abgleich Generation'!$A87)*(Generation_Entsoe_SFS_2017!$D$1:$AL$1='Abgleich Generation'!I$79)*Generation_Entsoe_SFS_2017!$D$3:$AL$40)+SUMPRODUCT((Generation_Entsoe_SFS_2017!$A$3:$A$40='Abgleich Generation'!$A87)*(Generation_Entsoe_SFS_2017!$D$1:$AL$1='Abgleich Generation'!I$78)*Generation_Entsoe_SFS_2017!$D$3:$AL$40)</f>
        <v>#VALUE!</v>
      </c>
      <c r="J87" s="26" t="e">
        <f>SUMPRODUCT((Generation_Entsoe_SFS_2017!$A$3:$A$40='Abgleich Generation'!$A87)*(Generation_Entsoe_SFS_2017!$D$1:$AL$1='Abgleich Generation'!J$81)*Generation_Entsoe_SFS_2017!$D$3:$AL$40)+SUMPRODUCT((Generation_Entsoe_SFS_2017!$A$3:$A$40='Abgleich Generation'!$A87)*(Generation_Entsoe_SFS_2017!$D$1:$AL$1='Abgleich Generation'!J$80)*Generation_Entsoe_SFS_2017!$D$3:$AL$40)+SUMPRODUCT((Generation_Entsoe_SFS_2017!$A$3:$A$40='Abgleich Generation'!$A87)*(Generation_Entsoe_SFS_2017!$D$1:$AL$1='Abgleich Generation'!J$79)*Generation_Entsoe_SFS_2017!$D$3:$AL$40)+SUMPRODUCT((Generation_Entsoe_SFS_2017!$A$3:$A$40='Abgleich Generation'!$A87)*(Generation_Entsoe_SFS_2017!$D$1:$AL$1='Abgleich Generation'!J$78)*Generation_Entsoe_SFS_2017!$D$3:$AL$40)</f>
        <v>#VALUE!</v>
      </c>
      <c r="K87" s="27" t="e">
        <f t="shared" si="62"/>
        <v>#VALUE!</v>
      </c>
      <c r="L87" s="26" t="e">
        <f>SUMPRODUCT((Generation_Entsoe_SFS_2017!$A$3:$A$40='Abgleich Generation'!$A87)*(Generation_Entsoe_SFS_2017!$D$1:$AL$1='Abgleich Generation'!L$81)*Generation_Entsoe_SFS_2017!$D$3:$AL$40)+SUMPRODUCT((Generation_Entsoe_SFS_2017!$A$3:$A$40='Abgleich Generation'!$A87)*(Generation_Entsoe_SFS_2017!$D$1:$AL$1='Abgleich Generation'!L$80)*Generation_Entsoe_SFS_2017!$D$3:$AL$40)+SUMPRODUCT((Generation_Entsoe_SFS_2017!$A$3:$A$40='Abgleich Generation'!$A87)*(Generation_Entsoe_SFS_2017!$D$1:$AL$1='Abgleich Generation'!L$79)*Generation_Entsoe_SFS_2017!$D$3:$AL$40)+SUMPRODUCT((Generation_Entsoe_SFS_2017!$A$3:$A$40='Abgleich Generation'!$A87)*(Generation_Entsoe_SFS_2017!$D$1:$AL$1='Abgleich Generation'!L$78)*Generation_Entsoe_SFS_2017!$D$3:$AL$40)+SUMPRODUCT((Generation_Entsoe_SFS_2017!$A$3:$A$40='Abgleich Generation'!$A87)*(Generation_Entsoe_SFS_2017!$D$1:$AL$1='Abgleich Generation'!L$77)*Generation_Entsoe_SFS_2017!$D$3:$AL$40)+SUMPRODUCT((Generation_Entsoe_SFS_2017!$A$3:$A$40='Abgleich Generation'!$A87)*(Generation_Entsoe_SFS_2017!$D$1:$AL$1='Abgleich Generation'!L$76)*Generation_Entsoe_SFS_2017!$D$3:$AL$40)</f>
        <v>#VALUE!</v>
      </c>
      <c r="M87" s="26" t="e">
        <f>SUMPRODUCT((Generation_Entsoe_SFS_2017!$A$3:$A$40='Abgleich Generation'!$A87)*(Generation_Entsoe_SFS_2017!$D$1:$AL$1='Abgleich Generation'!M$81)*Generation_Entsoe_SFS_2017!$D$3:$AL$40)+SUMPRODUCT((Generation_Entsoe_SFS_2017!$A$3:$A$40='Abgleich Generation'!$A87)*(Generation_Entsoe_SFS_2017!$D$1:$AL$1='Abgleich Generation'!M$80)*Generation_Entsoe_SFS_2017!$D$3:$AL$40)+SUMPRODUCT((Generation_Entsoe_SFS_2017!$A$3:$A$40='Abgleich Generation'!$A87)*(Generation_Entsoe_SFS_2017!$D$1:$AL$1='Abgleich Generation'!M$79)*Generation_Entsoe_SFS_2017!$D$3:$AL$40)+SUMPRODUCT((Generation_Entsoe_SFS_2017!$A$3:$A$40='Abgleich Generation'!$A87)*(Generation_Entsoe_SFS_2017!$D$1:$AL$1='Abgleich Generation'!M$78)*Generation_Entsoe_SFS_2017!$D$3:$AL$40)+SUMPRODUCT((Generation_Entsoe_SFS_2017!$A$3:$A$40='Abgleich Generation'!$A87)*(Generation_Entsoe_SFS_2017!$D$1:$AL$1='Abgleich Generation'!M$77)*Generation_Entsoe_SFS_2017!$D$3:$AL$40)+SUMPRODUCT((Generation_Entsoe_SFS_2017!$A$3:$A$40='Abgleich Generation'!$A87)*(Generation_Entsoe_SFS_2017!$D$1:$AL$1='Abgleich Generation'!M$76)*Generation_Entsoe_SFS_2017!$D$3:$AL$40)</f>
        <v>#VALUE!</v>
      </c>
      <c r="N87" s="26" t="e">
        <f>SUMPRODUCT((Generation_Entsoe_SFS_2017!$A$3:$A$40='Abgleich Generation'!$A87)*(Generation_Entsoe_SFS_2017!$D$1:$AL$1='Abgleich Generation'!N$81)*Generation_Entsoe_SFS_2017!$D$3:$AL$40)+SUMPRODUCT((Generation_Entsoe_SFS_2017!$A$3:$A$40='Abgleich Generation'!$A87)*(Generation_Entsoe_SFS_2017!$D$1:$AL$1='Abgleich Generation'!N$80)*Generation_Entsoe_SFS_2017!$D$3:$AL$40)+SUMPRODUCT((Generation_Entsoe_SFS_2017!$A$3:$A$40='Abgleich Generation'!$A87)*(Generation_Entsoe_SFS_2017!$D$1:$AL$1='Abgleich Generation'!N$79)*Generation_Entsoe_SFS_2017!$D$3:$AL$40)+SUMPRODUCT((Generation_Entsoe_SFS_2017!$A$3:$A$40='Abgleich Generation'!$A87)*(Generation_Entsoe_SFS_2017!$D$1:$AL$1='Abgleich Generation'!N$78)*Generation_Entsoe_SFS_2017!$D$3:$AL$40)+SUMPRODUCT((Generation_Entsoe_SFS_2017!$A$3:$A$40='Abgleich Generation'!$A87)*(Generation_Entsoe_SFS_2017!$D$1:$AL$1='Abgleich Generation'!N$77)*Generation_Entsoe_SFS_2017!$D$3:$AL$40)+SUMPRODUCT((Generation_Entsoe_SFS_2017!$A$3:$A$40='Abgleich Generation'!$A87)*(Generation_Entsoe_SFS_2017!$D$1:$AL$1='Abgleich Generation'!N$76)*Generation_Entsoe_SFS_2017!$D$3:$AL$40)</f>
        <v>#VALUE!</v>
      </c>
      <c r="O87" s="26" t="e">
        <f>SUMPRODUCT((Generation_Entsoe_SFS_2017!$A$3:$A$40='Abgleich Generation'!$A87)*(Generation_Entsoe_SFS_2017!$D$1:$AL$1='Abgleich Generation'!O$81)*Generation_Entsoe_SFS_2017!$D$3:$AL$40)+SUMPRODUCT((Generation_Entsoe_SFS_2017!$A$3:$A$40='Abgleich Generation'!$A87)*(Generation_Entsoe_SFS_2017!$D$1:$AL$1='Abgleich Generation'!O$80)*Generation_Entsoe_SFS_2017!$D$3:$AL$40)+SUMPRODUCT((Generation_Entsoe_SFS_2017!$A$3:$A$40='Abgleich Generation'!$A87)*(Generation_Entsoe_SFS_2017!$D$1:$AL$1='Abgleich Generation'!O$79)*Generation_Entsoe_SFS_2017!$D$3:$AL$40)+SUMPRODUCT((Generation_Entsoe_SFS_2017!$A$3:$A$40='Abgleich Generation'!$A87)*(Generation_Entsoe_SFS_2017!$D$1:$AL$1='Abgleich Generation'!O$78)*Generation_Entsoe_SFS_2017!$D$3:$AL$40)+SUMPRODUCT((Generation_Entsoe_SFS_2017!$A$3:$A$40='Abgleich Generation'!$A87)*(Generation_Entsoe_SFS_2017!$D$1:$AL$1='Abgleich Generation'!O$77)*Generation_Entsoe_SFS_2017!$D$3:$AL$40)+SUMPRODUCT((Generation_Entsoe_SFS_2017!$A$3:$A$40='Abgleich Generation'!$A87)*(Generation_Entsoe_SFS_2017!$D$1:$AL$1='Abgleich Generation'!O$76)*Generation_Entsoe_SFS_2017!$D$3:$AL$40)</f>
        <v>#VALUE!</v>
      </c>
      <c r="P87" s="26" t="e">
        <f>SUMPRODUCT((Generation_Entsoe_SFS_2017!$A$3:$A$40='Abgleich Generation'!$A87)*(Generation_Entsoe_SFS_2017!$D$1:$AL$1='Abgleich Generation'!P$81)*Generation_Entsoe_SFS_2017!$D$3:$AL$40)+SUMPRODUCT((Generation_Entsoe_SFS_2017!$A$3:$A$40='Abgleich Generation'!$A87)*(Generation_Entsoe_SFS_2017!$D$1:$AL$1='Abgleich Generation'!P$80)*Generation_Entsoe_SFS_2017!$D$3:$AL$40)+SUMPRODUCT((Generation_Entsoe_SFS_2017!$A$3:$A$40='Abgleich Generation'!$A87)*(Generation_Entsoe_SFS_2017!$D$1:$AL$1='Abgleich Generation'!P$79)*Generation_Entsoe_SFS_2017!$D$3:$AL$40)+SUMPRODUCT((Generation_Entsoe_SFS_2017!$A$3:$A$40='Abgleich Generation'!$A87)*(Generation_Entsoe_SFS_2017!$D$1:$AL$1='Abgleich Generation'!P$78)*Generation_Entsoe_SFS_2017!$D$3:$AL$40)+SUMPRODUCT((Generation_Entsoe_SFS_2017!$A$3:$A$40='Abgleich Generation'!$A87)*(Generation_Entsoe_SFS_2017!$D$1:$AL$1='Abgleich Generation'!P$77)*Generation_Entsoe_SFS_2017!$D$3:$AL$40)+SUMPRODUCT((Generation_Entsoe_SFS_2017!$A$3:$A$40='Abgleich Generation'!$A87)*(Generation_Entsoe_SFS_2017!$D$1:$AL$1='Abgleich Generation'!P$76)*Generation_Entsoe_SFS_2017!$D$3:$AL$40)</f>
        <v>#VALUE!</v>
      </c>
      <c r="Q87" s="26" t="e">
        <f>SUMPRODUCT((Generation_Entsoe_SFS_2017!$A$3:$A$40='Abgleich Generation'!$A87)*(Generation_Entsoe_SFS_2017!$D$1:$AL$1='Abgleich Generation'!Q$81)*Generation_Entsoe_SFS_2017!$D$3:$AL$40)+SUMPRODUCT((Generation_Entsoe_SFS_2017!$A$3:$A$40='Abgleich Generation'!$A87)*(Generation_Entsoe_SFS_2017!$D$1:$AL$1='Abgleich Generation'!Q$80)*Generation_Entsoe_SFS_2017!$D$3:$AL$40)+SUMPRODUCT((Generation_Entsoe_SFS_2017!$A$3:$A$40='Abgleich Generation'!$A87)*(Generation_Entsoe_SFS_2017!$D$1:$AL$1='Abgleich Generation'!Q$79)*Generation_Entsoe_SFS_2017!$D$3:$AL$40)+SUMPRODUCT((Generation_Entsoe_SFS_2017!$A$3:$A$40='Abgleich Generation'!$A87)*(Generation_Entsoe_SFS_2017!$D$1:$AL$1='Abgleich Generation'!Q$78)*Generation_Entsoe_SFS_2017!$D$3:$AL$40)+SUMPRODUCT((Generation_Entsoe_SFS_2017!$A$3:$A$40='Abgleich Generation'!$A87)*(Generation_Entsoe_SFS_2017!$D$1:$AL$1='Abgleich Generation'!Q$77)*Generation_Entsoe_SFS_2017!$D$3:$AL$40)+SUMPRODUCT((Generation_Entsoe_SFS_2017!$A$3:$A$40='Abgleich Generation'!$A87)*(Generation_Entsoe_SFS_2017!$D$1:$AL$1='Abgleich Generation'!Q$76)*Generation_Entsoe_SFS_2017!$D$3:$AL$40)</f>
        <v>#VALUE!</v>
      </c>
      <c r="R87" s="26" t="e">
        <f>SUMPRODUCT((Generation_Entsoe_SFS_2017!$A$3:$A$40='Abgleich Generation'!$A87)*(Generation_Entsoe_SFS_2017!$D$1:$AL$1='Abgleich Generation'!R$81)*Generation_Entsoe_SFS_2017!$D$3:$AL$40)+SUMPRODUCT((Generation_Entsoe_SFS_2017!$A$3:$A$40='Abgleich Generation'!$A87)*(Generation_Entsoe_SFS_2017!$D$1:$AL$1='Abgleich Generation'!R$80)*Generation_Entsoe_SFS_2017!$D$3:$AL$40)+SUMPRODUCT((Generation_Entsoe_SFS_2017!$A$3:$A$40='Abgleich Generation'!$A87)*(Generation_Entsoe_SFS_2017!$D$1:$AL$1='Abgleich Generation'!R$79)*Generation_Entsoe_SFS_2017!$D$3:$AL$40)+SUMPRODUCT((Generation_Entsoe_SFS_2017!$A$3:$A$40='Abgleich Generation'!$A87)*(Generation_Entsoe_SFS_2017!$D$1:$AL$1='Abgleich Generation'!R$78)*Generation_Entsoe_SFS_2017!$D$3:$AL$40)+SUMPRODUCT((Generation_Entsoe_SFS_2017!$A$3:$A$40='Abgleich Generation'!$A87)*(Generation_Entsoe_SFS_2017!$D$1:$AL$1='Abgleich Generation'!R$77)*Generation_Entsoe_SFS_2017!$D$3:$AL$40)+SUMPRODUCT((Generation_Entsoe_SFS_2017!$A$3:$A$40='Abgleich Generation'!$A87)*(Generation_Entsoe_SFS_2017!$D$1:$AL$1='Abgleich Generation'!R$76)*Generation_Entsoe_SFS_2017!$D$3:$AL$40)</f>
        <v>#VALUE!</v>
      </c>
      <c r="S87" s="26" t="e">
        <f>SUMPRODUCT((Generation_Entsoe_SFS_2017!$A$3:$A$40='Abgleich Generation'!$A87)*(Generation_Entsoe_SFS_2017!$D$1:$AL$1='Abgleich Generation'!S$81)*Generation_Entsoe_SFS_2017!$D$3:$AL$40)+SUMPRODUCT((Generation_Entsoe_SFS_2017!$A$3:$A$40='Abgleich Generation'!$A87)*(Generation_Entsoe_SFS_2017!$D$1:$AL$1='Abgleich Generation'!S$80)*Generation_Entsoe_SFS_2017!$D$3:$AL$40)+SUMPRODUCT((Generation_Entsoe_SFS_2017!$A$3:$A$40='Abgleich Generation'!$A87)*(Generation_Entsoe_SFS_2017!$D$1:$AL$1='Abgleich Generation'!S$79)*Generation_Entsoe_SFS_2017!$D$3:$AL$40)+SUMPRODUCT((Generation_Entsoe_SFS_2017!$A$3:$A$40='Abgleich Generation'!$A87)*(Generation_Entsoe_SFS_2017!$D$1:$AL$1='Abgleich Generation'!S$78)*Generation_Entsoe_SFS_2017!$D$3:$AL$40)+SUMPRODUCT((Generation_Entsoe_SFS_2017!$A$3:$A$40='Abgleich Generation'!$A87)*(Generation_Entsoe_SFS_2017!$D$1:$AL$1='Abgleich Generation'!S$77)*Generation_Entsoe_SFS_2017!$D$3:$AL$40)+SUMPRODUCT((Generation_Entsoe_SFS_2017!$A$3:$A$40='Abgleich Generation'!$A87)*(Generation_Entsoe_SFS_2017!$D$1:$AL$1='Abgleich Generation'!S$76)*Generation_Entsoe_SFS_2017!$D$3:$AL$40)</f>
        <v>#VALUE!</v>
      </c>
      <c r="T87" s="26" t="e">
        <f>SUMPRODUCT((Generation_Entsoe_SFS_2017!$A$3:$A$40='Abgleich Generation'!$A87)*(Generation_Entsoe_SFS_2017!$D$1:$AL$1='Abgleich Generation'!T$81)*Generation_Entsoe_SFS_2017!$D$3:$AL$40)+SUMPRODUCT((Generation_Entsoe_SFS_2017!$A$3:$A$40='Abgleich Generation'!$A87)*(Generation_Entsoe_SFS_2017!$D$1:$AL$1='Abgleich Generation'!T$80)*Generation_Entsoe_SFS_2017!$D$3:$AL$40)+SUMPRODUCT((Generation_Entsoe_SFS_2017!$A$3:$A$40='Abgleich Generation'!$A87)*(Generation_Entsoe_SFS_2017!$D$1:$AL$1='Abgleich Generation'!T$79)*Generation_Entsoe_SFS_2017!$D$3:$AL$40)+SUMPRODUCT((Generation_Entsoe_SFS_2017!$A$3:$A$40='Abgleich Generation'!$A87)*(Generation_Entsoe_SFS_2017!$D$1:$AL$1='Abgleich Generation'!T$78)*Generation_Entsoe_SFS_2017!$D$3:$AL$40)+SUMPRODUCT((Generation_Entsoe_SFS_2017!$A$3:$A$40='Abgleich Generation'!$A87)*(Generation_Entsoe_SFS_2017!$D$1:$AL$1='Abgleich Generation'!T$77)*Generation_Entsoe_SFS_2017!$D$3:$AL$40)+SUMPRODUCT((Generation_Entsoe_SFS_2017!$A$3:$A$40='Abgleich Generation'!$A87)*(Generation_Entsoe_SFS_2017!$D$1:$AL$1='Abgleich Generation'!T$76)*Generation_Entsoe_SFS_2017!$D$3:$AL$40)</f>
        <v>#VALUE!</v>
      </c>
      <c r="U87" s="26" t="e">
        <f>SUMPRODUCT((Generation_Entsoe_SFS_2017!$A$3:$A$40='Abgleich Generation'!$A87)*(Generation_Entsoe_SFS_2017!$D$1:$AL$1='Abgleich Generation'!U$81)*Generation_Entsoe_SFS_2017!$D$3:$AL$40)+SUMPRODUCT((Generation_Entsoe_SFS_2017!$A$3:$A$40='Abgleich Generation'!$A87)*(Generation_Entsoe_SFS_2017!$D$1:$AL$1='Abgleich Generation'!U$80)*Generation_Entsoe_SFS_2017!$D$3:$AL$40)+SUMPRODUCT((Generation_Entsoe_SFS_2017!$A$3:$A$40='Abgleich Generation'!$A87)*(Generation_Entsoe_SFS_2017!$D$1:$AL$1='Abgleich Generation'!U$79)*Generation_Entsoe_SFS_2017!$D$3:$AL$40)+SUMPRODUCT((Generation_Entsoe_SFS_2017!$A$3:$A$40='Abgleich Generation'!$A87)*(Generation_Entsoe_SFS_2017!$D$1:$AL$1='Abgleich Generation'!U$78)*Generation_Entsoe_SFS_2017!$D$3:$AL$40)+SUMPRODUCT((Generation_Entsoe_SFS_2017!$A$3:$A$40='Abgleich Generation'!$A87)*(Generation_Entsoe_SFS_2017!$D$1:$AL$1='Abgleich Generation'!U$77)*Generation_Entsoe_SFS_2017!$D$3:$AL$40)+SUMPRODUCT((Generation_Entsoe_SFS_2017!$A$3:$A$40='Abgleich Generation'!$A87)*(Generation_Entsoe_SFS_2017!$D$1:$AL$1='Abgleich Generation'!U$76)*Generation_Entsoe_SFS_2017!$D$3:$AL$40)</f>
        <v>#VALUE!</v>
      </c>
      <c r="V87" s="27" t="e">
        <f t="shared" si="63"/>
        <v>#VALUE!</v>
      </c>
      <c r="W87" s="28" t="e">
        <f>SUMPRODUCT((Generation_Entsoe_SFS_2017!$A$3:$A$40='Abgleich Generation'!$A87)*(Generation_Entsoe_SFS_2017!$D$1:$AL$1='Abgleich Generation'!W$81)*Generation_Entsoe_SFS_2017!$D$3:$AL$40)+SUMPRODUCT((Generation_Entsoe_SFS_2017!$A$3:$A$40='Abgleich Generation'!$A87)*(Generation_Entsoe_SFS_2017!$D$1:$AL$1='Abgleich Generation'!W$80)*Generation_Entsoe_SFS_2017!$D$3:$AL$40)+SUMPRODUCT((Generation_Entsoe_SFS_2017!$A$3:$A$40='Abgleich Generation'!$A87)*(Generation_Entsoe_SFS_2017!$D$1:$AL$1='Abgleich Generation'!W$79)*Generation_Entsoe_SFS_2017!$D$3:$AL$40)+SUMPRODUCT((Generation_Entsoe_SFS_2017!$A$3:$A$40='Abgleich Generation'!$A87)*(Generation_Entsoe_SFS_2017!$D$1:$AL$1='Abgleich Generation'!W$78)*Generation_Entsoe_SFS_2017!$D$3:$AL$40)+SUMPRODUCT((Generation_Entsoe_SFS_2017!$A$3:$A$40='Abgleich Generation'!$A87)*(Generation_Entsoe_SFS_2017!$D$1:$AL$1='Abgleich Generation'!W$77)*Generation_Entsoe_SFS_2017!$D$3:$AL$40)+SUMPRODUCT((Generation_Entsoe_SFS_2017!$A$3:$A$40='Abgleich Generation'!$A87)*(Generation_Entsoe_SFS_2017!$D$1:$AL$1='Abgleich Generation'!W$76)*Generation_Entsoe_SFS_2017!$D$3:$AL$40)</f>
        <v>#VALUE!</v>
      </c>
      <c r="X87" s="29" t="e">
        <f>SUMPRODUCT((Generation_Entsoe_SFS_2017!$A$3:$A$40='Abgleich Generation'!$A87)*(Generation_Entsoe_SFS_2017!$D$1:$AL$1='Abgleich Generation'!X$81)*Generation_Entsoe_SFS_2017!$D$3:$AL$40)+SUMPRODUCT((Generation_Entsoe_SFS_2017!$A$3:$A$40='Abgleich Generation'!$A87)*(Generation_Entsoe_SFS_2017!$D$1:$AL$1='Abgleich Generation'!X$80)*Generation_Entsoe_SFS_2017!$D$3:$AL$40)+SUMPRODUCT((Generation_Entsoe_SFS_2017!$A$3:$A$40='Abgleich Generation'!$A87)*(Generation_Entsoe_SFS_2017!$D$1:$AL$1='Abgleich Generation'!X$79)*Generation_Entsoe_SFS_2017!$D$3:$AL$40)+SUMPRODUCT((Generation_Entsoe_SFS_2017!$A$3:$A$40='Abgleich Generation'!$A87)*(Generation_Entsoe_SFS_2017!$D$1:$AL$1='Abgleich Generation'!X$78)*Generation_Entsoe_SFS_2017!$D$3:$AL$40)+SUMPRODUCT((Generation_Entsoe_SFS_2017!$A$3:$A$40='Abgleich Generation'!$A87)*(Generation_Entsoe_SFS_2017!$D$1:$AL$1='Abgleich Generation'!X$77)*Generation_Entsoe_SFS_2017!$D$3:$AL$40)+SUMPRODUCT((Generation_Entsoe_SFS_2017!$A$3:$A$40='Abgleich Generation'!$A87)*(Generation_Entsoe_SFS_2017!$D$1:$AL$1='Abgleich Generation'!X$76)*Generation_Entsoe_SFS_2017!$D$3:$AL$40)</f>
        <v>#VALUE!</v>
      </c>
      <c r="Y87" s="29" t="e">
        <f t="shared" si="64"/>
        <v>#VALUE!</v>
      </c>
    </row>
    <row r="88" spans="1:25" x14ac:dyDescent="0.25">
      <c r="A88" s="14" t="s">
        <v>14</v>
      </c>
      <c r="B88" s="57" t="e">
        <f t="shared" si="60"/>
        <v>#VALUE!</v>
      </c>
      <c r="C88" s="58" t="e">
        <f>SUMPRODUCT((Generation_Entsoe_SFS_2017!$A$3:$A$40='Abgleich Generation'!$A88)*(Generation_Entsoe_SFS_2017!$D$1:$AL$1='Abgleich Generation'!C$81)*Generation_Entsoe_SFS_2017!$D$3:$AL$40)+SUMPRODUCT((Generation_Entsoe_SFS_2017!$A$3:$A$40='Abgleich Generation'!$A88)*(Generation_Entsoe_SFS_2017!$D$1:$AL$1='Abgleich Generation'!C$80)*Generation_Entsoe_SFS_2017!$D$3:$AL$40)+SUMPRODUCT((Generation_Entsoe_SFS_2017!$A$3:$A$40='Abgleich Generation'!$A88)*(Generation_Entsoe_SFS_2017!$D$1:$AL$1='Abgleich Generation'!C$79)*Generation_Entsoe_SFS_2017!$D$3:$AL$40)+SUMPRODUCT((Generation_Entsoe_SFS_2017!$A$3:$A$40='Abgleich Generation'!$A88)*(Generation_Entsoe_SFS_2017!$D$1:$AL$1='Abgleich Generation'!C$78)*Generation_Entsoe_SFS_2017!$D$3:$AL$40)</f>
        <v>#VALUE!</v>
      </c>
      <c r="D88" s="58" t="e">
        <f t="shared" si="61"/>
        <v>#VALUE!</v>
      </c>
      <c r="E88" s="58" t="e">
        <f>SUMPRODUCT((Generation_Entsoe_SFS_2017!$A$3:$A$40='Abgleich Generation'!$A88)*(Generation_Entsoe_SFS_2017!$D$1:$AL$1='Abgleich Generation'!E$81)*Generation_Entsoe_SFS_2017!$D$3:$AL$40)+SUMPRODUCT((Generation_Entsoe_SFS_2017!$A$3:$A$40='Abgleich Generation'!$A88)*(Generation_Entsoe_SFS_2017!$D$1:$AL$1='Abgleich Generation'!E$80)*Generation_Entsoe_SFS_2017!$D$3:$AL$40)+SUMPRODUCT((Generation_Entsoe_SFS_2017!$A$3:$A$40='Abgleich Generation'!$A88)*(Generation_Entsoe_SFS_2017!$D$1:$AL$1='Abgleich Generation'!E$79)*Generation_Entsoe_SFS_2017!$D$3:$AL$40)+SUMPRODUCT((Generation_Entsoe_SFS_2017!$A$3:$A$40='Abgleich Generation'!$A88)*(Generation_Entsoe_SFS_2017!$D$1:$AL$1='Abgleich Generation'!E$78)*Generation_Entsoe_SFS_2017!$D$3:$AL$40)</f>
        <v>#VALUE!</v>
      </c>
      <c r="F88" s="58" t="e">
        <f>SUMPRODUCT((Generation_Entsoe_SFS_2017!$A$3:$A$40='Abgleich Generation'!$A88)*(Generation_Entsoe_SFS_2017!$D$1:$AL$1='Abgleich Generation'!F$81)*Generation_Entsoe_SFS_2017!$D$3:$AL$40)+SUMPRODUCT((Generation_Entsoe_SFS_2017!$A$3:$A$40='Abgleich Generation'!$A88)*(Generation_Entsoe_SFS_2017!$D$1:$AL$1='Abgleich Generation'!F$80)*Generation_Entsoe_SFS_2017!$D$3:$AL$40)+SUMPRODUCT((Generation_Entsoe_SFS_2017!$A$3:$A$40='Abgleich Generation'!$A88)*(Generation_Entsoe_SFS_2017!$D$1:$AL$1='Abgleich Generation'!F$79)*Generation_Entsoe_SFS_2017!$D$3:$AL$40)+SUMPRODUCT((Generation_Entsoe_SFS_2017!$A$3:$A$40='Abgleich Generation'!$A88)*(Generation_Entsoe_SFS_2017!$D$1:$AL$1='Abgleich Generation'!F$78)*Generation_Entsoe_SFS_2017!$D$3:$AL$40)</f>
        <v>#VALUE!</v>
      </c>
      <c r="G88" s="58" t="e">
        <f>SUMPRODUCT((Generation_Entsoe_SFS_2017!$A$3:$A$40='Abgleich Generation'!$A88)*(Generation_Entsoe_SFS_2017!$D$1:$AL$1='Abgleich Generation'!G$81)*Generation_Entsoe_SFS_2017!$D$3:$AL$40)+SUMPRODUCT((Generation_Entsoe_SFS_2017!$A$3:$A$40='Abgleich Generation'!$A88)*(Generation_Entsoe_SFS_2017!$D$1:$AL$1='Abgleich Generation'!G$80)*Generation_Entsoe_SFS_2017!$D$3:$AL$40)+SUMPRODUCT((Generation_Entsoe_SFS_2017!$A$3:$A$40='Abgleich Generation'!$A88)*(Generation_Entsoe_SFS_2017!$D$1:$AL$1='Abgleich Generation'!G$79)*Generation_Entsoe_SFS_2017!$D$3:$AL$40)+SUMPRODUCT((Generation_Entsoe_SFS_2017!$A$3:$A$40='Abgleich Generation'!$A88)*(Generation_Entsoe_SFS_2017!$D$1:$AL$1='Abgleich Generation'!G$78)*Generation_Entsoe_SFS_2017!$D$3:$AL$40)</f>
        <v>#VALUE!</v>
      </c>
      <c r="H88" s="58" t="e">
        <f>SUMPRODUCT((Generation_Entsoe_SFS_2017!$A$3:$A$40='Abgleich Generation'!$A88)*(Generation_Entsoe_SFS_2017!$D$1:$AL$1='Abgleich Generation'!H$81)*Generation_Entsoe_SFS_2017!$D$3:$AL$40)+SUMPRODUCT((Generation_Entsoe_SFS_2017!$A$3:$A$40='Abgleich Generation'!$A88)*(Generation_Entsoe_SFS_2017!$D$1:$AL$1='Abgleich Generation'!H$80)*Generation_Entsoe_SFS_2017!$D$3:$AL$40)+SUMPRODUCT((Generation_Entsoe_SFS_2017!$A$3:$A$40='Abgleich Generation'!$A88)*(Generation_Entsoe_SFS_2017!$D$1:$AL$1='Abgleich Generation'!H$79)*Generation_Entsoe_SFS_2017!$D$3:$AL$40)+SUMPRODUCT((Generation_Entsoe_SFS_2017!$A$3:$A$40='Abgleich Generation'!$A88)*(Generation_Entsoe_SFS_2017!$D$1:$AL$1='Abgleich Generation'!H$78)*Generation_Entsoe_SFS_2017!$D$3:$AL$40)</f>
        <v>#VALUE!</v>
      </c>
      <c r="I88" s="58" t="e">
        <f>SUMPRODUCT((Generation_Entsoe_SFS_2017!$A$3:$A$40='Abgleich Generation'!$A88)*(Generation_Entsoe_SFS_2017!$D$1:$AL$1='Abgleich Generation'!I$81)*Generation_Entsoe_SFS_2017!$D$3:$AL$40)+SUMPRODUCT((Generation_Entsoe_SFS_2017!$A$3:$A$40='Abgleich Generation'!$A88)*(Generation_Entsoe_SFS_2017!$D$1:$AL$1='Abgleich Generation'!I$80)*Generation_Entsoe_SFS_2017!$D$3:$AL$40)+SUMPRODUCT((Generation_Entsoe_SFS_2017!$A$3:$A$40='Abgleich Generation'!$A88)*(Generation_Entsoe_SFS_2017!$D$1:$AL$1='Abgleich Generation'!I$79)*Generation_Entsoe_SFS_2017!$D$3:$AL$40)+SUMPRODUCT((Generation_Entsoe_SFS_2017!$A$3:$A$40='Abgleich Generation'!$A88)*(Generation_Entsoe_SFS_2017!$D$1:$AL$1='Abgleich Generation'!I$78)*Generation_Entsoe_SFS_2017!$D$3:$AL$40)</f>
        <v>#VALUE!</v>
      </c>
      <c r="J88" s="58" t="e">
        <f>SUMPRODUCT((Generation_Entsoe_SFS_2017!$A$3:$A$40='Abgleich Generation'!$A88)*(Generation_Entsoe_SFS_2017!$D$1:$AL$1='Abgleich Generation'!J$81)*Generation_Entsoe_SFS_2017!$D$3:$AL$40)+SUMPRODUCT((Generation_Entsoe_SFS_2017!$A$3:$A$40='Abgleich Generation'!$A88)*(Generation_Entsoe_SFS_2017!$D$1:$AL$1='Abgleich Generation'!J$80)*Generation_Entsoe_SFS_2017!$D$3:$AL$40)+SUMPRODUCT((Generation_Entsoe_SFS_2017!$A$3:$A$40='Abgleich Generation'!$A88)*(Generation_Entsoe_SFS_2017!$D$1:$AL$1='Abgleich Generation'!J$79)*Generation_Entsoe_SFS_2017!$D$3:$AL$40)+SUMPRODUCT((Generation_Entsoe_SFS_2017!$A$3:$A$40='Abgleich Generation'!$A88)*(Generation_Entsoe_SFS_2017!$D$1:$AL$1='Abgleich Generation'!J$78)*Generation_Entsoe_SFS_2017!$D$3:$AL$40)</f>
        <v>#VALUE!</v>
      </c>
      <c r="K88" s="59" t="e">
        <f t="shared" si="62"/>
        <v>#VALUE!</v>
      </c>
      <c r="L88" s="58" t="e">
        <f>SUMPRODUCT((Generation_Entsoe_SFS_2017!$A$3:$A$40='Abgleich Generation'!$A88)*(Generation_Entsoe_SFS_2017!$D$1:$AL$1='Abgleich Generation'!L$81)*Generation_Entsoe_SFS_2017!$D$3:$AL$40)+SUMPRODUCT((Generation_Entsoe_SFS_2017!$A$3:$A$40='Abgleich Generation'!$A88)*(Generation_Entsoe_SFS_2017!$D$1:$AL$1='Abgleich Generation'!L$80)*Generation_Entsoe_SFS_2017!$D$3:$AL$40)+SUMPRODUCT((Generation_Entsoe_SFS_2017!$A$3:$A$40='Abgleich Generation'!$A88)*(Generation_Entsoe_SFS_2017!$D$1:$AL$1='Abgleich Generation'!L$79)*Generation_Entsoe_SFS_2017!$D$3:$AL$40)+SUMPRODUCT((Generation_Entsoe_SFS_2017!$A$3:$A$40='Abgleich Generation'!$A88)*(Generation_Entsoe_SFS_2017!$D$1:$AL$1='Abgleich Generation'!L$78)*Generation_Entsoe_SFS_2017!$D$3:$AL$40)+SUMPRODUCT((Generation_Entsoe_SFS_2017!$A$3:$A$40='Abgleich Generation'!$A88)*(Generation_Entsoe_SFS_2017!$D$1:$AL$1='Abgleich Generation'!L$77)*Generation_Entsoe_SFS_2017!$D$3:$AL$40)+SUMPRODUCT((Generation_Entsoe_SFS_2017!$A$3:$A$40='Abgleich Generation'!$A88)*(Generation_Entsoe_SFS_2017!$D$1:$AL$1='Abgleich Generation'!L$76)*Generation_Entsoe_SFS_2017!$D$3:$AL$40)</f>
        <v>#VALUE!</v>
      </c>
      <c r="M88" s="58" t="e">
        <f>SUMPRODUCT((Generation_Entsoe_SFS_2017!$A$3:$A$40='Abgleich Generation'!$A88)*(Generation_Entsoe_SFS_2017!$D$1:$AL$1='Abgleich Generation'!M$81)*Generation_Entsoe_SFS_2017!$D$3:$AL$40)+SUMPRODUCT((Generation_Entsoe_SFS_2017!$A$3:$A$40='Abgleich Generation'!$A88)*(Generation_Entsoe_SFS_2017!$D$1:$AL$1='Abgleich Generation'!M$80)*Generation_Entsoe_SFS_2017!$D$3:$AL$40)+SUMPRODUCT((Generation_Entsoe_SFS_2017!$A$3:$A$40='Abgleich Generation'!$A88)*(Generation_Entsoe_SFS_2017!$D$1:$AL$1='Abgleich Generation'!M$79)*Generation_Entsoe_SFS_2017!$D$3:$AL$40)+SUMPRODUCT((Generation_Entsoe_SFS_2017!$A$3:$A$40='Abgleich Generation'!$A88)*(Generation_Entsoe_SFS_2017!$D$1:$AL$1='Abgleich Generation'!M$78)*Generation_Entsoe_SFS_2017!$D$3:$AL$40)+SUMPRODUCT((Generation_Entsoe_SFS_2017!$A$3:$A$40='Abgleich Generation'!$A88)*(Generation_Entsoe_SFS_2017!$D$1:$AL$1='Abgleich Generation'!M$77)*Generation_Entsoe_SFS_2017!$D$3:$AL$40)+SUMPRODUCT((Generation_Entsoe_SFS_2017!$A$3:$A$40='Abgleich Generation'!$A88)*(Generation_Entsoe_SFS_2017!$D$1:$AL$1='Abgleich Generation'!M$76)*Generation_Entsoe_SFS_2017!$D$3:$AL$40)</f>
        <v>#VALUE!</v>
      </c>
      <c r="N88" s="58" t="e">
        <f>SUMPRODUCT((Generation_Entsoe_SFS_2017!$A$3:$A$40='Abgleich Generation'!$A88)*(Generation_Entsoe_SFS_2017!$D$1:$AL$1='Abgleich Generation'!N$81)*Generation_Entsoe_SFS_2017!$D$3:$AL$40)+SUMPRODUCT((Generation_Entsoe_SFS_2017!$A$3:$A$40='Abgleich Generation'!$A88)*(Generation_Entsoe_SFS_2017!$D$1:$AL$1='Abgleich Generation'!N$80)*Generation_Entsoe_SFS_2017!$D$3:$AL$40)+SUMPRODUCT((Generation_Entsoe_SFS_2017!$A$3:$A$40='Abgleich Generation'!$A88)*(Generation_Entsoe_SFS_2017!$D$1:$AL$1='Abgleich Generation'!N$79)*Generation_Entsoe_SFS_2017!$D$3:$AL$40)+SUMPRODUCT((Generation_Entsoe_SFS_2017!$A$3:$A$40='Abgleich Generation'!$A88)*(Generation_Entsoe_SFS_2017!$D$1:$AL$1='Abgleich Generation'!N$78)*Generation_Entsoe_SFS_2017!$D$3:$AL$40)+SUMPRODUCT((Generation_Entsoe_SFS_2017!$A$3:$A$40='Abgleich Generation'!$A88)*(Generation_Entsoe_SFS_2017!$D$1:$AL$1='Abgleich Generation'!N$77)*Generation_Entsoe_SFS_2017!$D$3:$AL$40)+SUMPRODUCT((Generation_Entsoe_SFS_2017!$A$3:$A$40='Abgleich Generation'!$A88)*(Generation_Entsoe_SFS_2017!$D$1:$AL$1='Abgleich Generation'!N$76)*Generation_Entsoe_SFS_2017!$D$3:$AL$40)</f>
        <v>#VALUE!</v>
      </c>
      <c r="O88" s="58" t="e">
        <f>SUMPRODUCT((Generation_Entsoe_SFS_2017!$A$3:$A$40='Abgleich Generation'!$A88)*(Generation_Entsoe_SFS_2017!$D$1:$AL$1='Abgleich Generation'!O$81)*Generation_Entsoe_SFS_2017!$D$3:$AL$40)+SUMPRODUCT((Generation_Entsoe_SFS_2017!$A$3:$A$40='Abgleich Generation'!$A88)*(Generation_Entsoe_SFS_2017!$D$1:$AL$1='Abgleich Generation'!O$80)*Generation_Entsoe_SFS_2017!$D$3:$AL$40)+SUMPRODUCT((Generation_Entsoe_SFS_2017!$A$3:$A$40='Abgleich Generation'!$A88)*(Generation_Entsoe_SFS_2017!$D$1:$AL$1='Abgleich Generation'!O$79)*Generation_Entsoe_SFS_2017!$D$3:$AL$40)+SUMPRODUCT((Generation_Entsoe_SFS_2017!$A$3:$A$40='Abgleich Generation'!$A88)*(Generation_Entsoe_SFS_2017!$D$1:$AL$1='Abgleich Generation'!O$78)*Generation_Entsoe_SFS_2017!$D$3:$AL$40)+SUMPRODUCT((Generation_Entsoe_SFS_2017!$A$3:$A$40='Abgleich Generation'!$A88)*(Generation_Entsoe_SFS_2017!$D$1:$AL$1='Abgleich Generation'!O$77)*Generation_Entsoe_SFS_2017!$D$3:$AL$40)+SUMPRODUCT((Generation_Entsoe_SFS_2017!$A$3:$A$40='Abgleich Generation'!$A88)*(Generation_Entsoe_SFS_2017!$D$1:$AL$1='Abgleich Generation'!O$76)*Generation_Entsoe_SFS_2017!$D$3:$AL$40)</f>
        <v>#VALUE!</v>
      </c>
      <c r="P88" s="58" t="e">
        <f>SUMPRODUCT((Generation_Entsoe_SFS_2017!$A$3:$A$40='Abgleich Generation'!$A88)*(Generation_Entsoe_SFS_2017!$D$1:$AL$1='Abgleich Generation'!P$81)*Generation_Entsoe_SFS_2017!$D$3:$AL$40)+SUMPRODUCT((Generation_Entsoe_SFS_2017!$A$3:$A$40='Abgleich Generation'!$A88)*(Generation_Entsoe_SFS_2017!$D$1:$AL$1='Abgleich Generation'!P$80)*Generation_Entsoe_SFS_2017!$D$3:$AL$40)+SUMPRODUCT((Generation_Entsoe_SFS_2017!$A$3:$A$40='Abgleich Generation'!$A88)*(Generation_Entsoe_SFS_2017!$D$1:$AL$1='Abgleich Generation'!P$79)*Generation_Entsoe_SFS_2017!$D$3:$AL$40)+SUMPRODUCT((Generation_Entsoe_SFS_2017!$A$3:$A$40='Abgleich Generation'!$A88)*(Generation_Entsoe_SFS_2017!$D$1:$AL$1='Abgleich Generation'!P$78)*Generation_Entsoe_SFS_2017!$D$3:$AL$40)+SUMPRODUCT((Generation_Entsoe_SFS_2017!$A$3:$A$40='Abgleich Generation'!$A88)*(Generation_Entsoe_SFS_2017!$D$1:$AL$1='Abgleich Generation'!P$77)*Generation_Entsoe_SFS_2017!$D$3:$AL$40)+SUMPRODUCT((Generation_Entsoe_SFS_2017!$A$3:$A$40='Abgleich Generation'!$A88)*(Generation_Entsoe_SFS_2017!$D$1:$AL$1='Abgleich Generation'!P$76)*Generation_Entsoe_SFS_2017!$D$3:$AL$40)</f>
        <v>#VALUE!</v>
      </c>
      <c r="Q88" s="58" t="e">
        <f>SUMPRODUCT((Generation_Entsoe_SFS_2017!$A$3:$A$40='Abgleich Generation'!$A88)*(Generation_Entsoe_SFS_2017!$D$1:$AL$1='Abgleich Generation'!Q$81)*Generation_Entsoe_SFS_2017!$D$3:$AL$40)+SUMPRODUCT((Generation_Entsoe_SFS_2017!$A$3:$A$40='Abgleich Generation'!$A88)*(Generation_Entsoe_SFS_2017!$D$1:$AL$1='Abgleich Generation'!Q$80)*Generation_Entsoe_SFS_2017!$D$3:$AL$40)+SUMPRODUCT((Generation_Entsoe_SFS_2017!$A$3:$A$40='Abgleich Generation'!$A88)*(Generation_Entsoe_SFS_2017!$D$1:$AL$1='Abgleich Generation'!Q$79)*Generation_Entsoe_SFS_2017!$D$3:$AL$40)+SUMPRODUCT((Generation_Entsoe_SFS_2017!$A$3:$A$40='Abgleich Generation'!$A88)*(Generation_Entsoe_SFS_2017!$D$1:$AL$1='Abgleich Generation'!Q$78)*Generation_Entsoe_SFS_2017!$D$3:$AL$40)+SUMPRODUCT((Generation_Entsoe_SFS_2017!$A$3:$A$40='Abgleich Generation'!$A88)*(Generation_Entsoe_SFS_2017!$D$1:$AL$1='Abgleich Generation'!Q$77)*Generation_Entsoe_SFS_2017!$D$3:$AL$40)+SUMPRODUCT((Generation_Entsoe_SFS_2017!$A$3:$A$40='Abgleich Generation'!$A88)*(Generation_Entsoe_SFS_2017!$D$1:$AL$1='Abgleich Generation'!Q$76)*Generation_Entsoe_SFS_2017!$D$3:$AL$40)</f>
        <v>#VALUE!</v>
      </c>
      <c r="R88" s="58" t="e">
        <f>SUMPRODUCT((Generation_Entsoe_SFS_2017!$A$3:$A$40='Abgleich Generation'!$A88)*(Generation_Entsoe_SFS_2017!$D$1:$AL$1='Abgleich Generation'!R$81)*Generation_Entsoe_SFS_2017!$D$3:$AL$40)+SUMPRODUCT((Generation_Entsoe_SFS_2017!$A$3:$A$40='Abgleich Generation'!$A88)*(Generation_Entsoe_SFS_2017!$D$1:$AL$1='Abgleich Generation'!R$80)*Generation_Entsoe_SFS_2017!$D$3:$AL$40)+SUMPRODUCT((Generation_Entsoe_SFS_2017!$A$3:$A$40='Abgleich Generation'!$A88)*(Generation_Entsoe_SFS_2017!$D$1:$AL$1='Abgleich Generation'!R$79)*Generation_Entsoe_SFS_2017!$D$3:$AL$40)+SUMPRODUCT((Generation_Entsoe_SFS_2017!$A$3:$A$40='Abgleich Generation'!$A88)*(Generation_Entsoe_SFS_2017!$D$1:$AL$1='Abgleich Generation'!R$78)*Generation_Entsoe_SFS_2017!$D$3:$AL$40)+SUMPRODUCT((Generation_Entsoe_SFS_2017!$A$3:$A$40='Abgleich Generation'!$A88)*(Generation_Entsoe_SFS_2017!$D$1:$AL$1='Abgleich Generation'!R$77)*Generation_Entsoe_SFS_2017!$D$3:$AL$40)+SUMPRODUCT((Generation_Entsoe_SFS_2017!$A$3:$A$40='Abgleich Generation'!$A88)*(Generation_Entsoe_SFS_2017!$D$1:$AL$1='Abgleich Generation'!R$76)*Generation_Entsoe_SFS_2017!$D$3:$AL$40)</f>
        <v>#VALUE!</v>
      </c>
      <c r="S88" s="58" t="e">
        <f>SUMPRODUCT((Generation_Entsoe_SFS_2017!$A$3:$A$40='Abgleich Generation'!$A88)*(Generation_Entsoe_SFS_2017!$D$1:$AL$1='Abgleich Generation'!S$81)*Generation_Entsoe_SFS_2017!$D$3:$AL$40)+SUMPRODUCT((Generation_Entsoe_SFS_2017!$A$3:$A$40='Abgleich Generation'!$A88)*(Generation_Entsoe_SFS_2017!$D$1:$AL$1='Abgleich Generation'!S$80)*Generation_Entsoe_SFS_2017!$D$3:$AL$40)+SUMPRODUCT((Generation_Entsoe_SFS_2017!$A$3:$A$40='Abgleich Generation'!$A88)*(Generation_Entsoe_SFS_2017!$D$1:$AL$1='Abgleich Generation'!S$79)*Generation_Entsoe_SFS_2017!$D$3:$AL$40)+SUMPRODUCT((Generation_Entsoe_SFS_2017!$A$3:$A$40='Abgleich Generation'!$A88)*(Generation_Entsoe_SFS_2017!$D$1:$AL$1='Abgleich Generation'!S$78)*Generation_Entsoe_SFS_2017!$D$3:$AL$40)+SUMPRODUCT((Generation_Entsoe_SFS_2017!$A$3:$A$40='Abgleich Generation'!$A88)*(Generation_Entsoe_SFS_2017!$D$1:$AL$1='Abgleich Generation'!S$77)*Generation_Entsoe_SFS_2017!$D$3:$AL$40)+SUMPRODUCT((Generation_Entsoe_SFS_2017!$A$3:$A$40='Abgleich Generation'!$A88)*(Generation_Entsoe_SFS_2017!$D$1:$AL$1='Abgleich Generation'!S$76)*Generation_Entsoe_SFS_2017!$D$3:$AL$40)</f>
        <v>#VALUE!</v>
      </c>
      <c r="T88" s="58" t="e">
        <f>SUMPRODUCT((Generation_Entsoe_SFS_2017!$A$3:$A$40='Abgleich Generation'!$A88)*(Generation_Entsoe_SFS_2017!$D$1:$AL$1='Abgleich Generation'!T$81)*Generation_Entsoe_SFS_2017!$D$3:$AL$40)+SUMPRODUCT((Generation_Entsoe_SFS_2017!$A$3:$A$40='Abgleich Generation'!$A88)*(Generation_Entsoe_SFS_2017!$D$1:$AL$1='Abgleich Generation'!T$80)*Generation_Entsoe_SFS_2017!$D$3:$AL$40)+SUMPRODUCT((Generation_Entsoe_SFS_2017!$A$3:$A$40='Abgleich Generation'!$A88)*(Generation_Entsoe_SFS_2017!$D$1:$AL$1='Abgleich Generation'!T$79)*Generation_Entsoe_SFS_2017!$D$3:$AL$40)+SUMPRODUCT((Generation_Entsoe_SFS_2017!$A$3:$A$40='Abgleich Generation'!$A88)*(Generation_Entsoe_SFS_2017!$D$1:$AL$1='Abgleich Generation'!T$78)*Generation_Entsoe_SFS_2017!$D$3:$AL$40)+SUMPRODUCT((Generation_Entsoe_SFS_2017!$A$3:$A$40='Abgleich Generation'!$A88)*(Generation_Entsoe_SFS_2017!$D$1:$AL$1='Abgleich Generation'!T$77)*Generation_Entsoe_SFS_2017!$D$3:$AL$40)+SUMPRODUCT((Generation_Entsoe_SFS_2017!$A$3:$A$40='Abgleich Generation'!$A88)*(Generation_Entsoe_SFS_2017!$D$1:$AL$1='Abgleich Generation'!T$76)*Generation_Entsoe_SFS_2017!$D$3:$AL$40)</f>
        <v>#VALUE!</v>
      </c>
      <c r="U88" s="58" t="e">
        <f>SUMPRODUCT((Generation_Entsoe_SFS_2017!$A$3:$A$40='Abgleich Generation'!$A88)*(Generation_Entsoe_SFS_2017!$D$1:$AL$1='Abgleich Generation'!U$81)*Generation_Entsoe_SFS_2017!$D$3:$AL$40)+SUMPRODUCT((Generation_Entsoe_SFS_2017!$A$3:$A$40='Abgleich Generation'!$A88)*(Generation_Entsoe_SFS_2017!$D$1:$AL$1='Abgleich Generation'!U$80)*Generation_Entsoe_SFS_2017!$D$3:$AL$40)+SUMPRODUCT((Generation_Entsoe_SFS_2017!$A$3:$A$40='Abgleich Generation'!$A88)*(Generation_Entsoe_SFS_2017!$D$1:$AL$1='Abgleich Generation'!U$79)*Generation_Entsoe_SFS_2017!$D$3:$AL$40)+SUMPRODUCT((Generation_Entsoe_SFS_2017!$A$3:$A$40='Abgleich Generation'!$A88)*(Generation_Entsoe_SFS_2017!$D$1:$AL$1='Abgleich Generation'!U$78)*Generation_Entsoe_SFS_2017!$D$3:$AL$40)+SUMPRODUCT((Generation_Entsoe_SFS_2017!$A$3:$A$40='Abgleich Generation'!$A88)*(Generation_Entsoe_SFS_2017!$D$1:$AL$1='Abgleich Generation'!U$77)*Generation_Entsoe_SFS_2017!$D$3:$AL$40)+SUMPRODUCT((Generation_Entsoe_SFS_2017!$A$3:$A$40='Abgleich Generation'!$A88)*(Generation_Entsoe_SFS_2017!$D$1:$AL$1='Abgleich Generation'!U$76)*Generation_Entsoe_SFS_2017!$D$3:$AL$40)</f>
        <v>#VALUE!</v>
      </c>
      <c r="V88" s="59" t="e">
        <f t="shared" si="63"/>
        <v>#VALUE!</v>
      </c>
      <c r="W88" s="60" t="e">
        <f>SUMPRODUCT((Generation_Entsoe_SFS_2017!$A$3:$A$40='Abgleich Generation'!$A88)*(Generation_Entsoe_SFS_2017!$D$1:$AL$1='Abgleich Generation'!W$81)*Generation_Entsoe_SFS_2017!$D$3:$AL$40)+SUMPRODUCT((Generation_Entsoe_SFS_2017!$A$3:$A$40='Abgleich Generation'!$A88)*(Generation_Entsoe_SFS_2017!$D$1:$AL$1='Abgleich Generation'!W$80)*Generation_Entsoe_SFS_2017!$D$3:$AL$40)+SUMPRODUCT((Generation_Entsoe_SFS_2017!$A$3:$A$40='Abgleich Generation'!$A88)*(Generation_Entsoe_SFS_2017!$D$1:$AL$1='Abgleich Generation'!W$79)*Generation_Entsoe_SFS_2017!$D$3:$AL$40)+SUMPRODUCT((Generation_Entsoe_SFS_2017!$A$3:$A$40='Abgleich Generation'!$A88)*(Generation_Entsoe_SFS_2017!$D$1:$AL$1='Abgleich Generation'!W$78)*Generation_Entsoe_SFS_2017!$D$3:$AL$40)+SUMPRODUCT((Generation_Entsoe_SFS_2017!$A$3:$A$40='Abgleich Generation'!$A88)*(Generation_Entsoe_SFS_2017!$D$1:$AL$1='Abgleich Generation'!W$77)*Generation_Entsoe_SFS_2017!$D$3:$AL$40)+SUMPRODUCT((Generation_Entsoe_SFS_2017!$A$3:$A$40='Abgleich Generation'!$A88)*(Generation_Entsoe_SFS_2017!$D$1:$AL$1='Abgleich Generation'!W$76)*Generation_Entsoe_SFS_2017!$D$3:$AL$40)</f>
        <v>#VALUE!</v>
      </c>
      <c r="X88" s="61" t="e">
        <f>SUMPRODUCT((Generation_Entsoe_SFS_2017!$A$3:$A$40='Abgleich Generation'!$A88)*(Generation_Entsoe_SFS_2017!$D$1:$AL$1='Abgleich Generation'!X$81)*Generation_Entsoe_SFS_2017!$D$3:$AL$40)+SUMPRODUCT((Generation_Entsoe_SFS_2017!$A$3:$A$40='Abgleich Generation'!$A88)*(Generation_Entsoe_SFS_2017!$D$1:$AL$1='Abgleich Generation'!X$80)*Generation_Entsoe_SFS_2017!$D$3:$AL$40)+SUMPRODUCT((Generation_Entsoe_SFS_2017!$A$3:$A$40='Abgleich Generation'!$A88)*(Generation_Entsoe_SFS_2017!$D$1:$AL$1='Abgleich Generation'!X$79)*Generation_Entsoe_SFS_2017!$D$3:$AL$40)+SUMPRODUCT((Generation_Entsoe_SFS_2017!$A$3:$A$40='Abgleich Generation'!$A88)*(Generation_Entsoe_SFS_2017!$D$1:$AL$1='Abgleich Generation'!X$78)*Generation_Entsoe_SFS_2017!$D$3:$AL$40)+SUMPRODUCT((Generation_Entsoe_SFS_2017!$A$3:$A$40='Abgleich Generation'!$A88)*(Generation_Entsoe_SFS_2017!$D$1:$AL$1='Abgleich Generation'!X$77)*Generation_Entsoe_SFS_2017!$D$3:$AL$40)+SUMPRODUCT((Generation_Entsoe_SFS_2017!$A$3:$A$40='Abgleich Generation'!$A88)*(Generation_Entsoe_SFS_2017!$D$1:$AL$1='Abgleich Generation'!X$76)*Generation_Entsoe_SFS_2017!$D$3:$AL$40)</f>
        <v>#VALUE!</v>
      </c>
      <c r="Y88" s="61" t="e">
        <f t="shared" si="64"/>
        <v>#VALUE!</v>
      </c>
    </row>
    <row r="89" spans="1:25" x14ac:dyDescent="0.25">
      <c r="A89" s="14" t="s">
        <v>15</v>
      </c>
      <c r="B89" s="25" t="e">
        <f t="shared" si="60"/>
        <v>#VALUE!</v>
      </c>
      <c r="C89" s="26" t="e">
        <f>SUMPRODUCT((Generation_Entsoe_SFS_2017!$A$3:$A$40='Abgleich Generation'!$A89)*(Generation_Entsoe_SFS_2017!$D$1:$AL$1='Abgleich Generation'!C$81)*Generation_Entsoe_SFS_2017!$D$3:$AL$40)+SUMPRODUCT((Generation_Entsoe_SFS_2017!$A$3:$A$40='Abgleich Generation'!$A89)*(Generation_Entsoe_SFS_2017!$D$1:$AL$1='Abgleich Generation'!C$80)*Generation_Entsoe_SFS_2017!$D$3:$AL$40)+SUMPRODUCT((Generation_Entsoe_SFS_2017!$A$3:$A$40='Abgleich Generation'!$A89)*(Generation_Entsoe_SFS_2017!$D$1:$AL$1='Abgleich Generation'!C$79)*Generation_Entsoe_SFS_2017!$D$3:$AL$40)+SUMPRODUCT((Generation_Entsoe_SFS_2017!$A$3:$A$40='Abgleich Generation'!$A89)*(Generation_Entsoe_SFS_2017!$D$1:$AL$1='Abgleich Generation'!C$78)*Generation_Entsoe_SFS_2017!$D$3:$AL$40)</f>
        <v>#VALUE!</v>
      </c>
      <c r="D89" s="26" t="e">
        <f t="shared" si="61"/>
        <v>#VALUE!</v>
      </c>
      <c r="E89" s="26" t="e">
        <f>SUMPRODUCT((Generation_Entsoe_SFS_2017!$A$3:$A$40='Abgleich Generation'!$A89)*(Generation_Entsoe_SFS_2017!$D$1:$AL$1='Abgleich Generation'!E$81)*Generation_Entsoe_SFS_2017!$D$3:$AL$40)+SUMPRODUCT((Generation_Entsoe_SFS_2017!$A$3:$A$40='Abgleich Generation'!$A89)*(Generation_Entsoe_SFS_2017!$D$1:$AL$1='Abgleich Generation'!E$80)*Generation_Entsoe_SFS_2017!$D$3:$AL$40)+SUMPRODUCT((Generation_Entsoe_SFS_2017!$A$3:$A$40='Abgleich Generation'!$A89)*(Generation_Entsoe_SFS_2017!$D$1:$AL$1='Abgleich Generation'!E$79)*Generation_Entsoe_SFS_2017!$D$3:$AL$40)+SUMPRODUCT((Generation_Entsoe_SFS_2017!$A$3:$A$40='Abgleich Generation'!$A89)*(Generation_Entsoe_SFS_2017!$D$1:$AL$1='Abgleich Generation'!E$78)*Generation_Entsoe_SFS_2017!$D$3:$AL$40)</f>
        <v>#VALUE!</v>
      </c>
      <c r="F89" s="26" t="e">
        <f>SUMPRODUCT((Generation_Entsoe_SFS_2017!$A$3:$A$40='Abgleich Generation'!$A89)*(Generation_Entsoe_SFS_2017!$D$1:$AL$1='Abgleich Generation'!F$81)*Generation_Entsoe_SFS_2017!$D$3:$AL$40)+SUMPRODUCT((Generation_Entsoe_SFS_2017!$A$3:$A$40='Abgleich Generation'!$A89)*(Generation_Entsoe_SFS_2017!$D$1:$AL$1='Abgleich Generation'!F$80)*Generation_Entsoe_SFS_2017!$D$3:$AL$40)+SUMPRODUCT((Generation_Entsoe_SFS_2017!$A$3:$A$40='Abgleich Generation'!$A89)*(Generation_Entsoe_SFS_2017!$D$1:$AL$1='Abgleich Generation'!F$79)*Generation_Entsoe_SFS_2017!$D$3:$AL$40)+SUMPRODUCT((Generation_Entsoe_SFS_2017!$A$3:$A$40='Abgleich Generation'!$A89)*(Generation_Entsoe_SFS_2017!$D$1:$AL$1='Abgleich Generation'!F$78)*Generation_Entsoe_SFS_2017!$D$3:$AL$40)</f>
        <v>#VALUE!</v>
      </c>
      <c r="G89" s="26" t="e">
        <f>SUMPRODUCT((Generation_Entsoe_SFS_2017!$A$3:$A$40='Abgleich Generation'!$A89)*(Generation_Entsoe_SFS_2017!$D$1:$AL$1='Abgleich Generation'!G$81)*Generation_Entsoe_SFS_2017!$D$3:$AL$40)+SUMPRODUCT((Generation_Entsoe_SFS_2017!$A$3:$A$40='Abgleich Generation'!$A89)*(Generation_Entsoe_SFS_2017!$D$1:$AL$1='Abgleich Generation'!G$80)*Generation_Entsoe_SFS_2017!$D$3:$AL$40)+SUMPRODUCT((Generation_Entsoe_SFS_2017!$A$3:$A$40='Abgleich Generation'!$A89)*(Generation_Entsoe_SFS_2017!$D$1:$AL$1='Abgleich Generation'!G$79)*Generation_Entsoe_SFS_2017!$D$3:$AL$40)+SUMPRODUCT((Generation_Entsoe_SFS_2017!$A$3:$A$40='Abgleich Generation'!$A89)*(Generation_Entsoe_SFS_2017!$D$1:$AL$1='Abgleich Generation'!G$78)*Generation_Entsoe_SFS_2017!$D$3:$AL$40)</f>
        <v>#VALUE!</v>
      </c>
      <c r="H89" s="26" t="e">
        <f>SUMPRODUCT((Generation_Entsoe_SFS_2017!$A$3:$A$40='Abgleich Generation'!$A89)*(Generation_Entsoe_SFS_2017!$D$1:$AL$1='Abgleich Generation'!H$81)*Generation_Entsoe_SFS_2017!$D$3:$AL$40)+SUMPRODUCT((Generation_Entsoe_SFS_2017!$A$3:$A$40='Abgleich Generation'!$A89)*(Generation_Entsoe_SFS_2017!$D$1:$AL$1='Abgleich Generation'!H$80)*Generation_Entsoe_SFS_2017!$D$3:$AL$40)+SUMPRODUCT((Generation_Entsoe_SFS_2017!$A$3:$A$40='Abgleich Generation'!$A89)*(Generation_Entsoe_SFS_2017!$D$1:$AL$1='Abgleich Generation'!H$79)*Generation_Entsoe_SFS_2017!$D$3:$AL$40)+SUMPRODUCT((Generation_Entsoe_SFS_2017!$A$3:$A$40='Abgleich Generation'!$A89)*(Generation_Entsoe_SFS_2017!$D$1:$AL$1='Abgleich Generation'!H$78)*Generation_Entsoe_SFS_2017!$D$3:$AL$40)</f>
        <v>#VALUE!</v>
      </c>
      <c r="I89" s="26" t="e">
        <f>SUMPRODUCT((Generation_Entsoe_SFS_2017!$A$3:$A$40='Abgleich Generation'!$A89)*(Generation_Entsoe_SFS_2017!$D$1:$AL$1='Abgleich Generation'!I$81)*Generation_Entsoe_SFS_2017!$D$3:$AL$40)+SUMPRODUCT((Generation_Entsoe_SFS_2017!$A$3:$A$40='Abgleich Generation'!$A89)*(Generation_Entsoe_SFS_2017!$D$1:$AL$1='Abgleich Generation'!I$80)*Generation_Entsoe_SFS_2017!$D$3:$AL$40)+SUMPRODUCT((Generation_Entsoe_SFS_2017!$A$3:$A$40='Abgleich Generation'!$A89)*(Generation_Entsoe_SFS_2017!$D$1:$AL$1='Abgleich Generation'!I$79)*Generation_Entsoe_SFS_2017!$D$3:$AL$40)+SUMPRODUCT((Generation_Entsoe_SFS_2017!$A$3:$A$40='Abgleich Generation'!$A89)*(Generation_Entsoe_SFS_2017!$D$1:$AL$1='Abgleich Generation'!I$78)*Generation_Entsoe_SFS_2017!$D$3:$AL$40)</f>
        <v>#VALUE!</v>
      </c>
      <c r="J89" s="26" t="e">
        <f>SUMPRODUCT((Generation_Entsoe_SFS_2017!$A$3:$A$40='Abgleich Generation'!$A89)*(Generation_Entsoe_SFS_2017!$D$1:$AL$1='Abgleich Generation'!J$81)*Generation_Entsoe_SFS_2017!$D$3:$AL$40)+SUMPRODUCT((Generation_Entsoe_SFS_2017!$A$3:$A$40='Abgleich Generation'!$A89)*(Generation_Entsoe_SFS_2017!$D$1:$AL$1='Abgleich Generation'!J$80)*Generation_Entsoe_SFS_2017!$D$3:$AL$40)+SUMPRODUCT((Generation_Entsoe_SFS_2017!$A$3:$A$40='Abgleich Generation'!$A89)*(Generation_Entsoe_SFS_2017!$D$1:$AL$1='Abgleich Generation'!J$79)*Generation_Entsoe_SFS_2017!$D$3:$AL$40)+SUMPRODUCT((Generation_Entsoe_SFS_2017!$A$3:$A$40='Abgleich Generation'!$A89)*(Generation_Entsoe_SFS_2017!$D$1:$AL$1='Abgleich Generation'!J$78)*Generation_Entsoe_SFS_2017!$D$3:$AL$40)</f>
        <v>#VALUE!</v>
      </c>
      <c r="K89" s="27" t="e">
        <f t="shared" si="62"/>
        <v>#VALUE!</v>
      </c>
      <c r="L89" s="26" t="e">
        <f>SUMPRODUCT((Generation_Entsoe_SFS_2017!$A$3:$A$40='Abgleich Generation'!$A89)*(Generation_Entsoe_SFS_2017!$D$1:$AL$1='Abgleich Generation'!L$81)*Generation_Entsoe_SFS_2017!$D$3:$AL$40)+SUMPRODUCT((Generation_Entsoe_SFS_2017!$A$3:$A$40='Abgleich Generation'!$A89)*(Generation_Entsoe_SFS_2017!$D$1:$AL$1='Abgleich Generation'!L$80)*Generation_Entsoe_SFS_2017!$D$3:$AL$40)+SUMPRODUCT((Generation_Entsoe_SFS_2017!$A$3:$A$40='Abgleich Generation'!$A89)*(Generation_Entsoe_SFS_2017!$D$1:$AL$1='Abgleich Generation'!L$79)*Generation_Entsoe_SFS_2017!$D$3:$AL$40)+SUMPRODUCT((Generation_Entsoe_SFS_2017!$A$3:$A$40='Abgleich Generation'!$A89)*(Generation_Entsoe_SFS_2017!$D$1:$AL$1='Abgleich Generation'!L$78)*Generation_Entsoe_SFS_2017!$D$3:$AL$40)+SUMPRODUCT((Generation_Entsoe_SFS_2017!$A$3:$A$40='Abgleich Generation'!$A89)*(Generation_Entsoe_SFS_2017!$D$1:$AL$1='Abgleich Generation'!L$77)*Generation_Entsoe_SFS_2017!$D$3:$AL$40)+SUMPRODUCT((Generation_Entsoe_SFS_2017!$A$3:$A$40='Abgleich Generation'!$A89)*(Generation_Entsoe_SFS_2017!$D$1:$AL$1='Abgleich Generation'!L$76)*Generation_Entsoe_SFS_2017!$D$3:$AL$40)</f>
        <v>#VALUE!</v>
      </c>
      <c r="M89" s="26" t="e">
        <f>SUMPRODUCT((Generation_Entsoe_SFS_2017!$A$3:$A$40='Abgleich Generation'!$A89)*(Generation_Entsoe_SFS_2017!$D$1:$AL$1='Abgleich Generation'!M$81)*Generation_Entsoe_SFS_2017!$D$3:$AL$40)+SUMPRODUCT((Generation_Entsoe_SFS_2017!$A$3:$A$40='Abgleich Generation'!$A89)*(Generation_Entsoe_SFS_2017!$D$1:$AL$1='Abgleich Generation'!M$80)*Generation_Entsoe_SFS_2017!$D$3:$AL$40)+SUMPRODUCT((Generation_Entsoe_SFS_2017!$A$3:$A$40='Abgleich Generation'!$A89)*(Generation_Entsoe_SFS_2017!$D$1:$AL$1='Abgleich Generation'!M$79)*Generation_Entsoe_SFS_2017!$D$3:$AL$40)+SUMPRODUCT((Generation_Entsoe_SFS_2017!$A$3:$A$40='Abgleich Generation'!$A89)*(Generation_Entsoe_SFS_2017!$D$1:$AL$1='Abgleich Generation'!M$78)*Generation_Entsoe_SFS_2017!$D$3:$AL$40)+SUMPRODUCT((Generation_Entsoe_SFS_2017!$A$3:$A$40='Abgleich Generation'!$A89)*(Generation_Entsoe_SFS_2017!$D$1:$AL$1='Abgleich Generation'!M$77)*Generation_Entsoe_SFS_2017!$D$3:$AL$40)+SUMPRODUCT((Generation_Entsoe_SFS_2017!$A$3:$A$40='Abgleich Generation'!$A89)*(Generation_Entsoe_SFS_2017!$D$1:$AL$1='Abgleich Generation'!M$76)*Generation_Entsoe_SFS_2017!$D$3:$AL$40)</f>
        <v>#VALUE!</v>
      </c>
      <c r="N89" s="26" t="e">
        <f>SUMPRODUCT((Generation_Entsoe_SFS_2017!$A$3:$A$40='Abgleich Generation'!$A89)*(Generation_Entsoe_SFS_2017!$D$1:$AL$1='Abgleich Generation'!N$81)*Generation_Entsoe_SFS_2017!$D$3:$AL$40)+SUMPRODUCT((Generation_Entsoe_SFS_2017!$A$3:$A$40='Abgleich Generation'!$A89)*(Generation_Entsoe_SFS_2017!$D$1:$AL$1='Abgleich Generation'!N$80)*Generation_Entsoe_SFS_2017!$D$3:$AL$40)+SUMPRODUCT((Generation_Entsoe_SFS_2017!$A$3:$A$40='Abgleich Generation'!$A89)*(Generation_Entsoe_SFS_2017!$D$1:$AL$1='Abgleich Generation'!N$79)*Generation_Entsoe_SFS_2017!$D$3:$AL$40)+SUMPRODUCT((Generation_Entsoe_SFS_2017!$A$3:$A$40='Abgleich Generation'!$A89)*(Generation_Entsoe_SFS_2017!$D$1:$AL$1='Abgleich Generation'!N$78)*Generation_Entsoe_SFS_2017!$D$3:$AL$40)+SUMPRODUCT((Generation_Entsoe_SFS_2017!$A$3:$A$40='Abgleich Generation'!$A89)*(Generation_Entsoe_SFS_2017!$D$1:$AL$1='Abgleich Generation'!N$77)*Generation_Entsoe_SFS_2017!$D$3:$AL$40)+SUMPRODUCT((Generation_Entsoe_SFS_2017!$A$3:$A$40='Abgleich Generation'!$A89)*(Generation_Entsoe_SFS_2017!$D$1:$AL$1='Abgleich Generation'!N$76)*Generation_Entsoe_SFS_2017!$D$3:$AL$40)</f>
        <v>#VALUE!</v>
      </c>
      <c r="O89" s="26" t="e">
        <f>SUMPRODUCT((Generation_Entsoe_SFS_2017!$A$3:$A$40='Abgleich Generation'!$A89)*(Generation_Entsoe_SFS_2017!$D$1:$AL$1='Abgleich Generation'!O$81)*Generation_Entsoe_SFS_2017!$D$3:$AL$40)+SUMPRODUCT((Generation_Entsoe_SFS_2017!$A$3:$A$40='Abgleich Generation'!$A89)*(Generation_Entsoe_SFS_2017!$D$1:$AL$1='Abgleich Generation'!O$80)*Generation_Entsoe_SFS_2017!$D$3:$AL$40)+SUMPRODUCT((Generation_Entsoe_SFS_2017!$A$3:$A$40='Abgleich Generation'!$A89)*(Generation_Entsoe_SFS_2017!$D$1:$AL$1='Abgleich Generation'!O$79)*Generation_Entsoe_SFS_2017!$D$3:$AL$40)+SUMPRODUCT((Generation_Entsoe_SFS_2017!$A$3:$A$40='Abgleich Generation'!$A89)*(Generation_Entsoe_SFS_2017!$D$1:$AL$1='Abgleich Generation'!O$78)*Generation_Entsoe_SFS_2017!$D$3:$AL$40)+SUMPRODUCT((Generation_Entsoe_SFS_2017!$A$3:$A$40='Abgleich Generation'!$A89)*(Generation_Entsoe_SFS_2017!$D$1:$AL$1='Abgleich Generation'!O$77)*Generation_Entsoe_SFS_2017!$D$3:$AL$40)+SUMPRODUCT((Generation_Entsoe_SFS_2017!$A$3:$A$40='Abgleich Generation'!$A89)*(Generation_Entsoe_SFS_2017!$D$1:$AL$1='Abgleich Generation'!O$76)*Generation_Entsoe_SFS_2017!$D$3:$AL$40)</f>
        <v>#VALUE!</v>
      </c>
      <c r="P89" s="26" t="e">
        <f>SUMPRODUCT((Generation_Entsoe_SFS_2017!$A$3:$A$40='Abgleich Generation'!$A89)*(Generation_Entsoe_SFS_2017!$D$1:$AL$1='Abgleich Generation'!P$81)*Generation_Entsoe_SFS_2017!$D$3:$AL$40)+SUMPRODUCT((Generation_Entsoe_SFS_2017!$A$3:$A$40='Abgleich Generation'!$A89)*(Generation_Entsoe_SFS_2017!$D$1:$AL$1='Abgleich Generation'!P$80)*Generation_Entsoe_SFS_2017!$D$3:$AL$40)+SUMPRODUCT((Generation_Entsoe_SFS_2017!$A$3:$A$40='Abgleich Generation'!$A89)*(Generation_Entsoe_SFS_2017!$D$1:$AL$1='Abgleich Generation'!P$79)*Generation_Entsoe_SFS_2017!$D$3:$AL$40)+SUMPRODUCT((Generation_Entsoe_SFS_2017!$A$3:$A$40='Abgleich Generation'!$A89)*(Generation_Entsoe_SFS_2017!$D$1:$AL$1='Abgleich Generation'!P$78)*Generation_Entsoe_SFS_2017!$D$3:$AL$40)+SUMPRODUCT((Generation_Entsoe_SFS_2017!$A$3:$A$40='Abgleich Generation'!$A89)*(Generation_Entsoe_SFS_2017!$D$1:$AL$1='Abgleich Generation'!P$77)*Generation_Entsoe_SFS_2017!$D$3:$AL$40)+SUMPRODUCT((Generation_Entsoe_SFS_2017!$A$3:$A$40='Abgleich Generation'!$A89)*(Generation_Entsoe_SFS_2017!$D$1:$AL$1='Abgleich Generation'!P$76)*Generation_Entsoe_SFS_2017!$D$3:$AL$40)</f>
        <v>#VALUE!</v>
      </c>
      <c r="Q89" s="26" t="e">
        <f>SUMPRODUCT((Generation_Entsoe_SFS_2017!$A$3:$A$40='Abgleich Generation'!$A89)*(Generation_Entsoe_SFS_2017!$D$1:$AL$1='Abgleich Generation'!Q$81)*Generation_Entsoe_SFS_2017!$D$3:$AL$40)+SUMPRODUCT((Generation_Entsoe_SFS_2017!$A$3:$A$40='Abgleich Generation'!$A89)*(Generation_Entsoe_SFS_2017!$D$1:$AL$1='Abgleich Generation'!Q$80)*Generation_Entsoe_SFS_2017!$D$3:$AL$40)+SUMPRODUCT((Generation_Entsoe_SFS_2017!$A$3:$A$40='Abgleich Generation'!$A89)*(Generation_Entsoe_SFS_2017!$D$1:$AL$1='Abgleich Generation'!Q$79)*Generation_Entsoe_SFS_2017!$D$3:$AL$40)+SUMPRODUCT((Generation_Entsoe_SFS_2017!$A$3:$A$40='Abgleich Generation'!$A89)*(Generation_Entsoe_SFS_2017!$D$1:$AL$1='Abgleich Generation'!Q$78)*Generation_Entsoe_SFS_2017!$D$3:$AL$40)+SUMPRODUCT((Generation_Entsoe_SFS_2017!$A$3:$A$40='Abgleich Generation'!$A89)*(Generation_Entsoe_SFS_2017!$D$1:$AL$1='Abgleich Generation'!Q$77)*Generation_Entsoe_SFS_2017!$D$3:$AL$40)+SUMPRODUCT((Generation_Entsoe_SFS_2017!$A$3:$A$40='Abgleich Generation'!$A89)*(Generation_Entsoe_SFS_2017!$D$1:$AL$1='Abgleich Generation'!Q$76)*Generation_Entsoe_SFS_2017!$D$3:$AL$40)</f>
        <v>#VALUE!</v>
      </c>
      <c r="R89" s="26" t="e">
        <f>SUMPRODUCT((Generation_Entsoe_SFS_2017!$A$3:$A$40='Abgleich Generation'!$A89)*(Generation_Entsoe_SFS_2017!$D$1:$AL$1='Abgleich Generation'!R$81)*Generation_Entsoe_SFS_2017!$D$3:$AL$40)+SUMPRODUCT((Generation_Entsoe_SFS_2017!$A$3:$A$40='Abgleich Generation'!$A89)*(Generation_Entsoe_SFS_2017!$D$1:$AL$1='Abgleich Generation'!R$80)*Generation_Entsoe_SFS_2017!$D$3:$AL$40)+SUMPRODUCT((Generation_Entsoe_SFS_2017!$A$3:$A$40='Abgleich Generation'!$A89)*(Generation_Entsoe_SFS_2017!$D$1:$AL$1='Abgleich Generation'!R$79)*Generation_Entsoe_SFS_2017!$D$3:$AL$40)+SUMPRODUCT((Generation_Entsoe_SFS_2017!$A$3:$A$40='Abgleich Generation'!$A89)*(Generation_Entsoe_SFS_2017!$D$1:$AL$1='Abgleich Generation'!R$78)*Generation_Entsoe_SFS_2017!$D$3:$AL$40)+SUMPRODUCT((Generation_Entsoe_SFS_2017!$A$3:$A$40='Abgleich Generation'!$A89)*(Generation_Entsoe_SFS_2017!$D$1:$AL$1='Abgleich Generation'!R$77)*Generation_Entsoe_SFS_2017!$D$3:$AL$40)+SUMPRODUCT((Generation_Entsoe_SFS_2017!$A$3:$A$40='Abgleich Generation'!$A89)*(Generation_Entsoe_SFS_2017!$D$1:$AL$1='Abgleich Generation'!R$76)*Generation_Entsoe_SFS_2017!$D$3:$AL$40)</f>
        <v>#VALUE!</v>
      </c>
      <c r="S89" s="26" t="e">
        <f>SUMPRODUCT((Generation_Entsoe_SFS_2017!$A$3:$A$40='Abgleich Generation'!$A89)*(Generation_Entsoe_SFS_2017!$D$1:$AL$1='Abgleich Generation'!S$81)*Generation_Entsoe_SFS_2017!$D$3:$AL$40)+SUMPRODUCT((Generation_Entsoe_SFS_2017!$A$3:$A$40='Abgleich Generation'!$A89)*(Generation_Entsoe_SFS_2017!$D$1:$AL$1='Abgleich Generation'!S$80)*Generation_Entsoe_SFS_2017!$D$3:$AL$40)+SUMPRODUCT((Generation_Entsoe_SFS_2017!$A$3:$A$40='Abgleich Generation'!$A89)*(Generation_Entsoe_SFS_2017!$D$1:$AL$1='Abgleich Generation'!S$79)*Generation_Entsoe_SFS_2017!$D$3:$AL$40)+SUMPRODUCT((Generation_Entsoe_SFS_2017!$A$3:$A$40='Abgleich Generation'!$A89)*(Generation_Entsoe_SFS_2017!$D$1:$AL$1='Abgleich Generation'!S$78)*Generation_Entsoe_SFS_2017!$D$3:$AL$40)+SUMPRODUCT((Generation_Entsoe_SFS_2017!$A$3:$A$40='Abgleich Generation'!$A89)*(Generation_Entsoe_SFS_2017!$D$1:$AL$1='Abgleich Generation'!S$77)*Generation_Entsoe_SFS_2017!$D$3:$AL$40)+SUMPRODUCT((Generation_Entsoe_SFS_2017!$A$3:$A$40='Abgleich Generation'!$A89)*(Generation_Entsoe_SFS_2017!$D$1:$AL$1='Abgleich Generation'!S$76)*Generation_Entsoe_SFS_2017!$D$3:$AL$40)</f>
        <v>#VALUE!</v>
      </c>
      <c r="T89" s="26" t="e">
        <f>SUMPRODUCT((Generation_Entsoe_SFS_2017!$A$3:$A$40='Abgleich Generation'!$A89)*(Generation_Entsoe_SFS_2017!$D$1:$AL$1='Abgleich Generation'!T$81)*Generation_Entsoe_SFS_2017!$D$3:$AL$40)+SUMPRODUCT((Generation_Entsoe_SFS_2017!$A$3:$A$40='Abgleich Generation'!$A89)*(Generation_Entsoe_SFS_2017!$D$1:$AL$1='Abgleich Generation'!T$80)*Generation_Entsoe_SFS_2017!$D$3:$AL$40)+SUMPRODUCT((Generation_Entsoe_SFS_2017!$A$3:$A$40='Abgleich Generation'!$A89)*(Generation_Entsoe_SFS_2017!$D$1:$AL$1='Abgleich Generation'!T$79)*Generation_Entsoe_SFS_2017!$D$3:$AL$40)+SUMPRODUCT((Generation_Entsoe_SFS_2017!$A$3:$A$40='Abgleich Generation'!$A89)*(Generation_Entsoe_SFS_2017!$D$1:$AL$1='Abgleich Generation'!T$78)*Generation_Entsoe_SFS_2017!$D$3:$AL$40)+SUMPRODUCT((Generation_Entsoe_SFS_2017!$A$3:$A$40='Abgleich Generation'!$A89)*(Generation_Entsoe_SFS_2017!$D$1:$AL$1='Abgleich Generation'!T$77)*Generation_Entsoe_SFS_2017!$D$3:$AL$40)+SUMPRODUCT((Generation_Entsoe_SFS_2017!$A$3:$A$40='Abgleich Generation'!$A89)*(Generation_Entsoe_SFS_2017!$D$1:$AL$1='Abgleich Generation'!T$76)*Generation_Entsoe_SFS_2017!$D$3:$AL$40)</f>
        <v>#VALUE!</v>
      </c>
      <c r="U89" s="26" t="e">
        <f>SUMPRODUCT((Generation_Entsoe_SFS_2017!$A$3:$A$40='Abgleich Generation'!$A89)*(Generation_Entsoe_SFS_2017!$D$1:$AL$1='Abgleich Generation'!U$81)*Generation_Entsoe_SFS_2017!$D$3:$AL$40)+SUMPRODUCT((Generation_Entsoe_SFS_2017!$A$3:$A$40='Abgleich Generation'!$A89)*(Generation_Entsoe_SFS_2017!$D$1:$AL$1='Abgleich Generation'!U$80)*Generation_Entsoe_SFS_2017!$D$3:$AL$40)+SUMPRODUCT((Generation_Entsoe_SFS_2017!$A$3:$A$40='Abgleich Generation'!$A89)*(Generation_Entsoe_SFS_2017!$D$1:$AL$1='Abgleich Generation'!U$79)*Generation_Entsoe_SFS_2017!$D$3:$AL$40)+SUMPRODUCT((Generation_Entsoe_SFS_2017!$A$3:$A$40='Abgleich Generation'!$A89)*(Generation_Entsoe_SFS_2017!$D$1:$AL$1='Abgleich Generation'!U$78)*Generation_Entsoe_SFS_2017!$D$3:$AL$40)+SUMPRODUCT((Generation_Entsoe_SFS_2017!$A$3:$A$40='Abgleich Generation'!$A89)*(Generation_Entsoe_SFS_2017!$D$1:$AL$1='Abgleich Generation'!U$77)*Generation_Entsoe_SFS_2017!$D$3:$AL$40)+SUMPRODUCT((Generation_Entsoe_SFS_2017!$A$3:$A$40='Abgleich Generation'!$A89)*(Generation_Entsoe_SFS_2017!$D$1:$AL$1='Abgleich Generation'!U$76)*Generation_Entsoe_SFS_2017!$D$3:$AL$40)</f>
        <v>#VALUE!</v>
      </c>
      <c r="V89" s="27" t="e">
        <f t="shared" si="63"/>
        <v>#VALUE!</v>
      </c>
      <c r="W89" s="28" t="e">
        <f>SUMPRODUCT((Generation_Entsoe_SFS_2017!$A$3:$A$40='Abgleich Generation'!$A89)*(Generation_Entsoe_SFS_2017!$D$1:$AL$1='Abgleich Generation'!W$81)*Generation_Entsoe_SFS_2017!$D$3:$AL$40)+SUMPRODUCT((Generation_Entsoe_SFS_2017!$A$3:$A$40='Abgleich Generation'!$A89)*(Generation_Entsoe_SFS_2017!$D$1:$AL$1='Abgleich Generation'!W$80)*Generation_Entsoe_SFS_2017!$D$3:$AL$40)+SUMPRODUCT((Generation_Entsoe_SFS_2017!$A$3:$A$40='Abgleich Generation'!$A89)*(Generation_Entsoe_SFS_2017!$D$1:$AL$1='Abgleich Generation'!W$79)*Generation_Entsoe_SFS_2017!$D$3:$AL$40)+SUMPRODUCT((Generation_Entsoe_SFS_2017!$A$3:$A$40='Abgleich Generation'!$A89)*(Generation_Entsoe_SFS_2017!$D$1:$AL$1='Abgleich Generation'!W$78)*Generation_Entsoe_SFS_2017!$D$3:$AL$40)+SUMPRODUCT((Generation_Entsoe_SFS_2017!$A$3:$A$40='Abgleich Generation'!$A89)*(Generation_Entsoe_SFS_2017!$D$1:$AL$1='Abgleich Generation'!W$77)*Generation_Entsoe_SFS_2017!$D$3:$AL$40)+SUMPRODUCT((Generation_Entsoe_SFS_2017!$A$3:$A$40='Abgleich Generation'!$A89)*(Generation_Entsoe_SFS_2017!$D$1:$AL$1='Abgleich Generation'!W$76)*Generation_Entsoe_SFS_2017!$D$3:$AL$40)</f>
        <v>#VALUE!</v>
      </c>
      <c r="X89" s="29" t="e">
        <f>SUMPRODUCT((Generation_Entsoe_SFS_2017!$A$3:$A$40='Abgleich Generation'!$A89)*(Generation_Entsoe_SFS_2017!$D$1:$AL$1='Abgleich Generation'!X$81)*Generation_Entsoe_SFS_2017!$D$3:$AL$40)+SUMPRODUCT((Generation_Entsoe_SFS_2017!$A$3:$A$40='Abgleich Generation'!$A89)*(Generation_Entsoe_SFS_2017!$D$1:$AL$1='Abgleich Generation'!X$80)*Generation_Entsoe_SFS_2017!$D$3:$AL$40)+SUMPRODUCT((Generation_Entsoe_SFS_2017!$A$3:$A$40='Abgleich Generation'!$A89)*(Generation_Entsoe_SFS_2017!$D$1:$AL$1='Abgleich Generation'!X$79)*Generation_Entsoe_SFS_2017!$D$3:$AL$40)+SUMPRODUCT((Generation_Entsoe_SFS_2017!$A$3:$A$40='Abgleich Generation'!$A89)*(Generation_Entsoe_SFS_2017!$D$1:$AL$1='Abgleich Generation'!X$78)*Generation_Entsoe_SFS_2017!$D$3:$AL$40)+SUMPRODUCT((Generation_Entsoe_SFS_2017!$A$3:$A$40='Abgleich Generation'!$A89)*(Generation_Entsoe_SFS_2017!$D$1:$AL$1='Abgleich Generation'!X$77)*Generation_Entsoe_SFS_2017!$D$3:$AL$40)+SUMPRODUCT((Generation_Entsoe_SFS_2017!$A$3:$A$40='Abgleich Generation'!$A89)*(Generation_Entsoe_SFS_2017!$D$1:$AL$1='Abgleich Generation'!X$76)*Generation_Entsoe_SFS_2017!$D$3:$AL$40)</f>
        <v>#VALUE!</v>
      </c>
      <c r="Y89" s="29" t="e">
        <f t="shared" si="64"/>
        <v>#VALUE!</v>
      </c>
    </row>
    <row r="90" spans="1:25" x14ac:dyDescent="0.25">
      <c r="A90" s="14" t="s">
        <v>16</v>
      </c>
      <c r="B90" s="57" t="e">
        <f t="shared" si="60"/>
        <v>#VALUE!</v>
      </c>
      <c r="C90" s="58" t="e">
        <f>SUMPRODUCT((Generation_Entsoe_SFS_2017!$A$3:$A$40='Abgleich Generation'!$A90)*(Generation_Entsoe_SFS_2017!$D$1:$AL$1='Abgleich Generation'!C$81)*Generation_Entsoe_SFS_2017!$D$3:$AL$40)+SUMPRODUCT((Generation_Entsoe_SFS_2017!$A$3:$A$40='Abgleich Generation'!$A90)*(Generation_Entsoe_SFS_2017!$D$1:$AL$1='Abgleich Generation'!C$80)*Generation_Entsoe_SFS_2017!$D$3:$AL$40)+SUMPRODUCT((Generation_Entsoe_SFS_2017!$A$3:$A$40='Abgleich Generation'!$A90)*(Generation_Entsoe_SFS_2017!$D$1:$AL$1='Abgleich Generation'!C$79)*Generation_Entsoe_SFS_2017!$D$3:$AL$40)+SUMPRODUCT((Generation_Entsoe_SFS_2017!$A$3:$A$40='Abgleich Generation'!$A90)*(Generation_Entsoe_SFS_2017!$D$1:$AL$1='Abgleich Generation'!C$78)*Generation_Entsoe_SFS_2017!$D$3:$AL$40)</f>
        <v>#VALUE!</v>
      </c>
      <c r="D90" s="58" t="e">
        <f t="shared" si="61"/>
        <v>#VALUE!</v>
      </c>
      <c r="E90" s="58" t="e">
        <f>SUMPRODUCT((Generation_Entsoe_SFS_2017!$A$3:$A$40='Abgleich Generation'!$A90)*(Generation_Entsoe_SFS_2017!$D$1:$AL$1='Abgleich Generation'!E$81)*Generation_Entsoe_SFS_2017!$D$3:$AL$40)+SUMPRODUCT((Generation_Entsoe_SFS_2017!$A$3:$A$40='Abgleich Generation'!$A90)*(Generation_Entsoe_SFS_2017!$D$1:$AL$1='Abgleich Generation'!E$80)*Generation_Entsoe_SFS_2017!$D$3:$AL$40)+SUMPRODUCT((Generation_Entsoe_SFS_2017!$A$3:$A$40='Abgleich Generation'!$A90)*(Generation_Entsoe_SFS_2017!$D$1:$AL$1='Abgleich Generation'!E$79)*Generation_Entsoe_SFS_2017!$D$3:$AL$40)+SUMPRODUCT((Generation_Entsoe_SFS_2017!$A$3:$A$40='Abgleich Generation'!$A90)*(Generation_Entsoe_SFS_2017!$D$1:$AL$1='Abgleich Generation'!E$78)*Generation_Entsoe_SFS_2017!$D$3:$AL$40)</f>
        <v>#VALUE!</v>
      </c>
      <c r="F90" s="58" t="e">
        <f>SUMPRODUCT((Generation_Entsoe_SFS_2017!$A$3:$A$40='Abgleich Generation'!$A90)*(Generation_Entsoe_SFS_2017!$D$1:$AL$1='Abgleich Generation'!F$81)*Generation_Entsoe_SFS_2017!$D$3:$AL$40)+SUMPRODUCT((Generation_Entsoe_SFS_2017!$A$3:$A$40='Abgleich Generation'!$A90)*(Generation_Entsoe_SFS_2017!$D$1:$AL$1='Abgleich Generation'!F$80)*Generation_Entsoe_SFS_2017!$D$3:$AL$40)+SUMPRODUCT((Generation_Entsoe_SFS_2017!$A$3:$A$40='Abgleich Generation'!$A90)*(Generation_Entsoe_SFS_2017!$D$1:$AL$1='Abgleich Generation'!F$79)*Generation_Entsoe_SFS_2017!$D$3:$AL$40)+SUMPRODUCT((Generation_Entsoe_SFS_2017!$A$3:$A$40='Abgleich Generation'!$A90)*(Generation_Entsoe_SFS_2017!$D$1:$AL$1='Abgleich Generation'!F$78)*Generation_Entsoe_SFS_2017!$D$3:$AL$40)</f>
        <v>#VALUE!</v>
      </c>
      <c r="G90" s="58" t="e">
        <f>SUMPRODUCT((Generation_Entsoe_SFS_2017!$A$3:$A$40='Abgleich Generation'!$A90)*(Generation_Entsoe_SFS_2017!$D$1:$AL$1='Abgleich Generation'!G$81)*Generation_Entsoe_SFS_2017!$D$3:$AL$40)+SUMPRODUCT((Generation_Entsoe_SFS_2017!$A$3:$A$40='Abgleich Generation'!$A90)*(Generation_Entsoe_SFS_2017!$D$1:$AL$1='Abgleich Generation'!G$80)*Generation_Entsoe_SFS_2017!$D$3:$AL$40)+SUMPRODUCT((Generation_Entsoe_SFS_2017!$A$3:$A$40='Abgleich Generation'!$A90)*(Generation_Entsoe_SFS_2017!$D$1:$AL$1='Abgleich Generation'!G$79)*Generation_Entsoe_SFS_2017!$D$3:$AL$40)+SUMPRODUCT((Generation_Entsoe_SFS_2017!$A$3:$A$40='Abgleich Generation'!$A90)*(Generation_Entsoe_SFS_2017!$D$1:$AL$1='Abgleich Generation'!G$78)*Generation_Entsoe_SFS_2017!$D$3:$AL$40)</f>
        <v>#VALUE!</v>
      </c>
      <c r="H90" s="58" t="e">
        <f>SUMPRODUCT((Generation_Entsoe_SFS_2017!$A$3:$A$40='Abgleich Generation'!$A90)*(Generation_Entsoe_SFS_2017!$D$1:$AL$1='Abgleich Generation'!H$81)*Generation_Entsoe_SFS_2017!$D$3:$AL$40)+SUMPRODUCT((Generation_Entsoe_SFS_2017!$A$3:$A$40='Abgleich Generation'!$A90)*(Generation_Entsoe_SFS_2017!$D$1:$AL$1='Abgleich Generation'!H$80)*Generation_Entsoe_SFS_2017!$D$3:$AL$40)+SUMPRODUCT((Generation_Entsoe_SFS_2017!$A$3:$A$40='Abgleich Generation'!$A90)*(Generation_Entsoe_SFS_2017!$D$1:$AL$1='Abgleich Generation'!H$79)*Generation_Entsoe_SFS_2017!$D$3:$AL$40)+SUMPRODUCT((Generation_Entsoe_SFS_2017!$A$3:$A$40='Abgleich Generation'!$A90)*(Generation_Entsoe_SFS_2017!$D$1:$AL$1='Abgleich Generation'!H$78)*Generation_Entsoe_SFS_2017!$D$3:$AL$40)</f>
        <v>#VALUE!</v>
      </c>
      <c r="I90" s="58" t="e">
        <f>SUMPRODUCT((Generation_Entsoe_SFS_2017!$A$3:$A$40='Abgleich Generation'!$A90)*(Generation_Entsoe_SFS_2017!$D$1:$AL$1='Abgleich Generation'!I$81)*Generation_Entsoe_SFS_2017!$D$3:$AL$40)+SUMPRODUCT((Generation_Entsoe_SFS_2017!$A$3:$A$40='Abgleich Generation'!$A90)*(Generation_Entsoe_SFS_2017!$D$1:$AL$1='Abgleich Generation'!I$80)*Generation_Entsoe_SFS_2017!$D$3:$AL$40)+SUMPRODUCT((Generation_Entsoe_SFS_2017!$A$3:$A$40='Abgleich Generation'!$A90)*(Generation_Entsoe_SFS_2017!$D$1:$AL$1='Abgleich Generation'!I$79)*Generation_Entsoe_SFS_2017!$D$3:$AL$40)+SUMPRODUCT((Generation_Entsoe_SFS_2017!$A$3:$A$40='Abgleich Generation'!$A90)*(Generation_Entsoe_SFS_2017!$D$1:$AL$1='Abgleich Generation'!I$78)*Generation_Entsoe_SFS_2017!$D$3:$AL$40)</f>
        <v>#VALUE!</v>
      </c>
      <c r="J90" s="58" t="e">
        <f>SUMPRODUCT((Generation_Entsoe_SFS_2017!$A$3:$A$40='Abgleich Generation'!$A90)*(Generation_Entsoe_SFS_2017!$D$1:$AL$1='Abgleich Generation'!J$81)*Generation_Entsoe_SFS_2017!$D$3:$AL$40)+SUMPRODUCT((Generation_Entsoe_SFS_2017!$A$3:$A$40='Abgleich Generation'!$A90)*(Generation_Entsoe_SFS_2017!$D$1:$AL$1='Abgleich Generation'!J$80)*Generation_Entsoe_SFS_2017!$D$3:$AL$40)+SUMPRODUCT((Generation_Entsoe_SFS_2017!$A$3:$A$40='Abgleich Generation'!$A90)*(Generation_Entsoe_SFS_2017!$D$1:$AL$1='Abgleich Generation'!J$79)*Generation_Entsoe_SFS_2017!$D$3:$AL$40)+SUMPRODUCT((Generation_Entsoe_SFS_2017!$A$3:$A$40='Abgleich Generation'!$A90)*(Generation_Entsoe_SFS_2017!$D$1:$AL$1='Abgleich Generation'!J$78)*Generation_Entsoe_SFS_2017!$D$3:$AL$40)</f>
        <v>#VALUE!</v>
      </c>
      <c r="K90" s="59" t="e">
        <f t="shared" si="62"/>
        <v>#VALUE!</v>
      </c>
      <c r="L90" s="58" t="e">
        <f>SUMPRODUCT((Generation_Entsoe_SFS_2017!$A$3:$A$40='Abgleich Generation'!$A90)*(Generation_Entsoe_SFS_2017!$D$1:$AL$1='Abgleich Generation'!L$81)*Generation_Entsoe_SFS_2017!$D$3:$AL$40)+SUMPRODUCT((Generation_Entsoe_SFS_2017!$A$3:$A$40='Abgleich Generation'!$A90)*(Generation_Entsoe_SFS_2017!$D$1:$AL$1='Abgleich Generation'!L$80)*Generation_Entsoe_SFS_2017!$D$3:$AL$40)+SUMPRODUCT((Generation_Entsoe_SFS_2017!$A$3:$A$40='Abgleich Generation'!$A90)*(Generation_Entsoe_SFS_2017!$D$1:$AL$1='Abgleich Generation'!L$79)*Generation_Entsoe_SFS_2017!$D$3:$AL$40)+SUMPRODUCT((Generation_Entsoe_SFS_2017!$A$3:$A$40='Abgleich Generation'!$A90)*(Generation_Entsoe_SFS_2017!$D$1:$AL$1='Abgleich Generation'!L$78)*Generation_Entsoe_SFS_2017!$D$3:$AL$40)+SUMPRODUCT((Generation_Entsoe_SFS_2017!$A$3:$A$40='Abgleich Generation'!$A90)*(Generation_Entsoe_SFS_2017!$D$1:$AL$1='Abgleich Generation'!L$77)*Generation_Entsoe_SFS_2017!$D$3:$AL$40)+SUMPRODUCT((Generation_Entsoe_SFS_2017!$A$3:$A$40='Abgleich Generation'!$A90)*(Generation_Entsoe_SFS_2017!$D$1:$AL$1='Abgleich Generation'!L$76)*Generation_Entsoe_SFS_2017!$D$3:$AL$40)</f>
        <v>#VALUE!</v>
      </c>
      <c r="M90" s="58" t="e">
        <f>SUMPRODUCT((Generation_Entsoe_SFS_2017!$A$3:$A$40='Abgleich Generation'!$A90)*(Generation_Entsoe_SFS_2017!$D$1:$AL$1='Abgleich Generation'!M$81)*Generation_Entsoe_SFS_2017!$D$3:$AL$40)+SUMPRODUCT((Generation_Entsoe_SFS_2017!$A$3:$A$40='Abgleich Generation'!$A90)*(Generation_Entsoe_SFS_2017!$D$1:$AL$1='Abgleich Generation'!M$80)*Generation_Entsoe_SFS_2017!$D$3:$AL$40)+SUMPRODUCT((Generation_Entsoe_SFS_2017!$A$3:$A$40='Abgleich Generation'!$A90)*(Generation_Entsoe_SFS_2017!$D$1:$AL$1='Abgleich Generation'!M$79)*Generation_Entsoe_SFS_2017!$D$3:$AL$40)+SUMPRODUCT((Generation_Entsoe_SFS_2017!$A$3:$A$40='Abgleich Generation'!$A90)*(Generation_Entsoe_SFS_2017!$D$1:$AL$1='Abgleich Generation'!M$78)*Generation_Entsoe_SFS_2017!$D$3:$AL$40)+SUMPRODUCT((Generation_Entsoe_SFS_2017!$A$3:$A$40='Abgleich Generation'!$A90)*(Generation_Entsoe_SFS_2017!$D$1:$AL$1='Abgleich Generation'!M$77)*Generation_Entsoe_SFS_2017!$D$3:$AL$40)+SUMPRODUCT((Generation_Entsoe_SFS_2017!$A$3:$A$40='Abgleich Generation'!$A90)*(Generation_Entsoe_SFS_2017!$D$1:$AL$1='Abgleich Generation'!M$76)*Generation_Entsoe_SFS_2017!$D$3:$AL$40)</f>
        <v>#VALUE!</v>
      </c>
      <c r="N90" s="58" t="e">
        <f>SUMPRODUCT((Generation_Entsoe_SFS_2017!$A$3:$A$40='Abgleich Generation'!$A90)*(Generation_Entsoe_SFS_2017!$D$1:$AL$1='Abgleich Generation'!N$81)*Generation_Entsoe_SFS_2017!$D$3:$AL$40)+SUMPRODUCT((Generation_Entsoe_SFS_2017!$A$3:$A$40='Abgleich Generation'!$A90)*(Generation_Entsoe_SFS_2017!$D$1:$AL$1='Abgleich Generation'!N$80)*Generation_Entsoe_SFS_2017!$D$3:$AL$40)+SUMPRODUCT((Generation_Entsoe_SFS_2017!$A$3:$A$40='Abgleich Generation'!$A90)*(Generation_Entsoe_SFS_2017!$D$1:$AL$1='Abgleich Generation'!N$79)*Generation_Entsoe_SFS_2017!$D$3:$AL$40)+SUMPRODUCT((Generation_Entsoe_SFS_2017!$A$3:$A$40='Abgleich Generation'!$A90)*(Generation_Entsoe_SFS_2017!$D$1:$AL$1='Abgleich Generation'!N$78)*Generation_Entsoe_SFS_2017!$D$3:$AL$40)+SUMPRODUCT((Generation_Entsoe_SFS_2017!$A$3:$A$40='Abgleich Generation'!$A90)*(Generation_Entsoe_SFS_2017!$D$1:$AL$1='Abgleich Generation'!N$77)*Generation_Entsoe_SFS_2017!$D$3:$AL$40)+SUMPRODUCT((Generation_Entsoe_SFS_2017!$A$3:$A$40='Abgleich Generation'!$A90)*(Generation_Entsoe_SFS_2017!$D$1:$AL$1='Abgleich Generation'!N$76)*Generation_Entsoe_SFS_2017!$D$3:$AL$40)</f>
        <v>#VALUE!</v>
      </c>
      <c r="O90" s="58" t="e">
        <f>SUMPRODUCT((Generation_Entsoe_SFS_2017!$A$3:$A$40='Abgleich Generation'!$A90)*(Generation_Entsoe_SFS_2017!$D$1:$AL$1='Abgleich Generation'!O$81)*Generation_Entsoe_SFS_2017!$D$3:$AL$40)+SUMPRODUCT((Generation_Entsoe_SFS_2017!$A$3:$A$40='Abgleich Generation'!$A90)*(Generation_Entsoe_SFS_2017!$D$1:$AL$1='Abgleich Generation'!O$80)*Generation_Entsoe_SFS_2017!$D$3:$AL$40)+SUMPRODUCT((Generation_Entsoe_SFS_2017!$A$3:$A$40='Abgleich Generation'!$A90)*(Generation_Entsoe_SFS_2017!$D$1:$AL$1='Abgleich Generation'!O$79)*Generation_Entsoe_SFS_2017!$D$3:$AL$40)+SUMPRODUCT((Generation_Entsoe_SFS_2017!$A$3:$A$40='Abgleich Generation'!$A90)*(Generation_Entsoe_SFS_2017!$D$1:$AL$1='Abgleich Generation'!O$78)*Generation_Entsoe_SFS_2017!$D$3:$AL$40)+SUMPRODUCT((Generation_Entsoe_SFS_2017!$A$3:$A$40='Abgleich Generation'!$A90)*(Generation_Entsoe_SFS_2017!$D$1:$AL$1='Abgleich Generation'!O$77)*Generation_Entsoe_SFS_2017!$D$3:$AL$40)+SUMPRODUCT((Generation_Entsoe_SFS_2017!$A$3:$A$40='Abgleich Generation'!$A90)*(Generation_Entsoe_SFS_2017!$D$1:$AL$1='Abgleich Generation'!O$76)*Generation_Entsoe_SFS_2017!$D$3:$AL$40)</f>
        <v>#VALUE!</v>
      </c>
      <c r="P90" s="58" t="e">
        <f>SUMPRODUCT((Generation_Entsoe_SFS_2017!$A$3:$A$40='Abgleich Generation'!$A90)*(Generation_Entsoe_SFS_2017!$D$1:$AL$1='Abgleich Generation'!P$81)*Generation_Entsoe_SFS_2017!$D$3:$AL$40)+SUMPRODUCT((Generation_Entsoe_SFS_2017!$A$3:$A$40='Abgleich Generation'!$A90)*(Generation_Entsoe_SFS_2017!$D$1:$AL$1='Abgleich Generation'!P$80)*Generation_Entsoe_SFS_2017!$D$3:$AL$40)+SUMPRODUCT((Generation_Entsoe_SFS_2017!$A$3:$A$40='Abgleich Generation'!$A90)*(Generation_Entsoe_SFS_2017!$D$1:$AL$1='Abgleich Generation'!P$79)*Generation_Entsoe_SFS_2017!$D$3:$AL$40)+SUMPRODUCT((Generation_Entsoe_SFS_2017!$A$3:$A$40='Abgleich Generation'!$A90)*(Generation_Entsoe_SFS_2017!$D$1:$AL$1='Abgleich Generation'!P$78)*Generation_Entsoe_SFS_2017!$D$3:$AL$40)+SUMPRODUCT((Generation_Entsoe_SFS_2017!$A$3:$A$40='Abgleich Generation'!$A90)*(Generation_Entsoe_SFS_2017!$D$1:$AL$1='Abgleich Generation'!P$77)*Generation_Entsoe_SFS_2017!$D$3:$AL$40)+SUMPRODUCT((Generation_Entsoe_SFS_2017!$A$3:$A$40='Abgleich Generation'!$A90)*(Generation_Entsoe_SFS_2017!$D$1:$AL$1='Abgleich Generation'!P$76)*Generation_Entsoe_SFS_2017!$D$3:$AL$40)</f>
        <v>#VALUE!</v>
      </c>
      <c r="Q90" s="58" t="e">
        <f>SUMPRODUCT((Generation_Entsoe_SFS_2017!$A$3:$A$40='Abgleich Generation'!$A90)*(Generation_Entsoe_SFS_2017!$D$1:$AL$1='Abgleich Generation'!Q$81)*Generation_Entsoe_SFS_2017!$D$3:$AL$40)+SUMPRODUCT((Generation_Entsoe_SFS_2017!$A$3:$A$40='Abgleich Generation'!$A90)*(Generation_Entsoe_SFS_2017!$D$1:$AL$1='Abgleich Generation'!Q$80)*Generation_Entsoe_SFS_2017!$D$3:$AL$40)+SUMPRODUCT((Generation_Entsoe_SFS_2017!$A$3:$A$40='Abgleich Generation'!$A90)*(Generation_Entsoe_SFS_2017!$D$1:$AL$1='Abgleich Generation'!Q$79)*Generation_Entsoe_SFS_2017!$D$3:$AL$40)+SUMPRODUCT((Generation_Entsoe_SFS_2017!$A$3:$A$40='Abgleich Generation'!$A90)*(Generation_Entsoe_SFS_2017!$D$1:$AL$1='Abgleich Generation'!Q$78)*Generation_Entsoe_SFS_2017!$D$3:$AL$40)+SUMPRODUCT((Generation_Entsoe_SFS_2017!$A$3:$A$40='Abgleich Generation'!$A90)*(Generation_Entsoe_SFS_2017!$D$1:$AL$1='Abgleich Generation'!Q$77)*Generation_Entsoe_SFS_2017!$D$3:$AL$40)+SUMPRODUCT((Generation_Entsoe_SFS_2017!$A$3:$A$40='Abgleich Generation'!$A90)*(Generation_Entsoe_SFS_2017!$D$1:$AL$1='Abgleich Generation'!Q$76)*Generation_Entsoe_SFS_2017!$D$3:$AL$40)</f>
        <v>#VALUE!</v>
      </c>
      <c r="R90" s="58" t="e">
        <f>SUMPRODUCT((Generation_Entsoe_SFS_2017!$A$3:$A$40='Abgleich Generation'!$A90)*(Generation_Entsoe_SFS_2017!$D$1:$AL$1='Abgleich Generation'!R$81)*Generation_Entsoe_SFS_2017!$D$3:$AL$40)+SUMPRODUCT((Generation_Entsoe_SFS_2017!$A$3:$A$40='Abgleich Generation'!$A90)*(Generation_Entsoe_SFS_2017!$D$1:$AL$1='Abgleich Generation'!R$80)*Generation_Entsoe_SFS_2017!$D$3:$AL$40)+SUMPRODUCT((Generation_Entsoe_SFS_2017!$A$3:$A$40='Abgleich Generation'!$A90)*(Generation_Entsoe_SFS_2017!$D$1:$AL$1='Abgleich Generation'!R$79)*Generation_Entsoe_SFS_2017!$D$3:$AL$40)+SUMPRODUCT((Generation_Entsoe_SFS_2017!$A$3:$A$40='Abgleich Generation'!$A90)*(Generation_Entsoe_SFS_2017!$D$1:$AL$1='Abgleich Generation'!R$78)*Generation_Entsoe_SFS_2017!$D$3:$AL$40)+SUMPRODUCT((Generation_Entsoe_SFS_2017!$A$3:$A$40='Abgleich Generation'!$A90)*(Generation_Entsoe_SFS_2017!$D$1:$AL$1='Abgleich Generation'!R$77)*Generation_Entsoe_SFS_2017!$D$3:$AL$40)+SUMPRODUCT((Generation_Entsoe_SFS_2017!$A$3:$A$40='Abgleich Generation'!$A90)*(Generation_Entsoe_SFS_2017!$D$1:$AL$1='Abgleich Generation'!R$76)*Generation_Entsoe_SFS_2017!$D$3:$AL$40)</f>
        <v>#VALUE!</v>
      </c>
      <c r="S90" s="58" t="e">
        <f>SUMPRODUCT((Generation_Entsoe_SFS_2017!$A$3:$A$40='Abgleich Generation'!$A90)*(Generation_Entsoe_SFS_2017!$D$1:$AL$1='Abgleich Generation'!S$81)*Generation_Entsoe_SFS_2017!$D$3:$AL$40)+SUMPRODUCT((Generation_Entsoe_SFS_2017!$A$3:$A$40='Abgleich Generation'!$A90)*(Generation_Entsoe_SFS_2017!$D$1:$AL$1='Abgleich Generation'!S$80)*Generation_Entsoe_SFS_2017!$D$3:$AL$40)+SUMPRODUCT((Generation_Entsoe_SFS_2017!$A$3:$A$40='Abgleich Generation'!$A90)*(Generation_Entsoe_SFS_2017!$D$1:$AL$1='Abgleich Generation'!S$79)*Generation_Entsoe_SFS_2017!$D$3:$AL$40)+SUMPRODUCT((Generation_Entsoe_SFS_2017!$A$3:$A$40='Abgleich Generation'!$A90)*(Generation_Entsoe_SFS_2017!$D$1:$AL$1='Abgleich Generation'!S$78)*Generation_Entsoe_SFS_2017!$D$3:$AL$40)+SUMPRODUCT((Generation_Entsoe_SFS_2017!$A$3:$A$40='Abgleich Generation'!$A90)*(Generation_Entsoe_SFS_2017!$D$1:$AL$1='Abgleich Generation'!S$77)*Generation_Entsoe_SFS_2017!$D$3:$AL$40)+SUMPRODUCT((Generation_Entsoe_SFS_2017!$A$3:$A$40='Abgleich Generation'!$A90)*(Generation_Entsoe_SFS_2017!$D$1:$AL$1='Abgleich Generation'!S$76)*Generation_Entsoe_SFS_2017!$D$3:$AL$40)</f>
        <v>#VALUE!</v>
      </c>
      <c r="T90" s="58" t="e">
        <f>SUMPRODUCT((Generation_Entsoe_SFS_2017!$A$3:$A$40='Abgleich Generation'!$A90)*(Generation_Entsoe_SFS_2017!$D$1:$AL$1='Abgleich Generation'!T$81)*Generation_Entsoe_SFS_2017!$D$3:$AL$40)+SUMPRODUCT((Generation_Entsoe_SFS_2017!$A$3:$A$40='Abgleich Generation'!$A90)*(Generation_Entsoe_SFS_2017!$D$1:$AL$1='Abgleich Generation'!T$80)*Generation_Entsoe_SFS_2017!$D$3:$AL$40)+SUMPRODUCT((Generation_Entsoe_SFS_2017!$A$3:$A$40='Abgleich Generation'!$A90)*(Generation_Entsoe_SFS_2017!$D$1:$AL$1='Abgleich Generation'!T$79)*Generation_Entsoe_SFS_2017!$D$3:$AL$40)+SUMPRODUCT((Generation_Entsoe_SFS_2017!$A$3:$A$40='Abgleich Generation'!$A90)*(Generation_Entsoe_SFS_2017!$D$1:$AL$1='Abgleich Generation'!T$78)*Generation_Entsoe_SFS_2017!$D$3:$AL$40)+SUMPRODUCT((Generation_Entsoe_SFS_2017!$A$3:$A$40='Abgleich Generation'!$A90)*(Generation_Entsoe_SFS_2017!$D$1:$AL$1='Abgleich Generation'!T$77)*Generation_Entsoe_SFS_2017!$D$3:$AL$40)+SUMPRODUCT((Generation_Entsoe_SFS_2017!$A$3:$A$40='Abgleich Generation'!$A90)*(Generation_Entsoe_SFS_2017!$D$1:$AL$1='Abgleich Generation'!T$76)*Generation_Entsoe_SFS_2017!$D$3:$AL$40)</f>
        <v>#VALUE!</v>
      </c>
      <c r="U90" s="58" t="e">
        <f>SUMPRODUCT((Generation_Entsoe_SFS_2017!$A$3:$A$40='Abgleich Generation'!$A90)*(Generation_Entsoe_SFS_2017!$D$1:$AL$1='Abgleich Generation'!U$81)*Generation_Entsoe_SFS_2017!$D$3:$AL$40)+SUMPRODUCT((Generation_Entsoe_SFS_2017!$A$3:$A$40='Abgleich Generation'!$A90)*(Generation_Entsoe_SFS_2017!$D$1:$AL$1='Abgleich Generation'!U$80)*Generation_Entsoe_SFS_2017!$D$3:$AL$40)+SUMPRODUCT((Generation_Entsoe_SFS_2017!$A$3:$A$40='Abgleich Generation'!$A90)*(Generation_Entsoe_SFS_2017!$D$1:$AL$1='Abgleich Generation'!U$79)*Generation_Entsoe_SFS_2017!$D$3:$AL$40)+SUMPRODUCT((Generation_Entsoe_SFS_2017!$A$3:$A$40='Abgleich Generation'!$A90)*(Generation_Entsoe_SFS_2017!$D$1:$AL$1='Abgleich Generation'!U$78)*Generation_Entsoe_SFS_2017!$D$3:$AL$40)+SUMPRODUCT((Generation_Entsoe_SFS_2017!$A$3:$A$40='Abgleich Generation'!$A90)*(Generation_Entsoe_SFS_2017!$D$1:$AL$1='Abgleich Generation'!U$77)*Generation_Entsoe_SFS_2017!$D$3:$AL$40)+SUMPRODUCT((Generation_Entsoe_SFS_2017!$A$3:$A$40='Abgleich Generation'!$A90)*(Generation_Entsoe_SFS_2017!$D$1:$AL$1='Abgleich Generation'!U$76)*Generation_Entsoe_SFS_2017!$D$3:$AL$40)</f>
        <v>#VALUE!</v>
      </c>
      <c r="V90" s="59" t="e">
        <f t="shared" si="63"/>
        <v>#VALUE!</v>
      </c>
      <c r="W90" s="60" t="e">
        <f>SUMPRODUCT((Generation_Entsoe_SFS_2017!$A$3:$A$40='Abgleich Generation'!$A90)*(Generation_Entsoe_SFS_2017!$D$1:$AL$1='Abgleich Generation'!W$81)*Generation_Entsoe_SFS_2017!$D$3:$AL$40)+SUMPRODUCT((Generation_Entsoe_SFS_2017!$A$3:$A$40='Abgleich Generation'!$A90)*(Generation_Entsoe_SFS_2017!$D$1:$AL$1='Abgleich Generation'!W$80)*Generation_Entsoe_SFS_2017!$D$3:$AL$40)+SUMPRODUCT((Generation_Entsoe_SFS_2017!$A$3:$A$40='Abgleich Generation'!$A90)*(Generation_Entsoe_SFS_2017!$D$1:$AL$1='Abgleich Generation'!W$79)*Generation_Entsoe_SFS_2017!$D$3:$AL$40)+SUMPRODUCT((Generation_Entsoe_SFS_2017!$A$3:$A$40='Abgleich Generation'!$A90)*(Generation_Entsoe_SFS_2017!$D$1:$AL$1='Abgleich Generation'!W$78)*Generation_Entsoe_SFS_2017!$D$3:$AL$40)+SUMPRODUCT((Generation_Entsoe_SFS_2017!$A$3:$A$40='Abgleich Generation'!$A90)*(Generation_Entsoe_SFS_2017!$D$1:$AL$1='Abgleich Generation'!W$77)*Generation_Entsoe_SFS_2017!$D$3:$AL$40)+SUMPRODUCT((Generation_Entsoe_SFS_2017!$A$3:$A$40='Abgleich Generation'!$A90)*(Generation_Entsoe_SFS_2017!$D$1:$AL$1='Abgleich Generation'!W$76)*Generation_Entsoe_SFS_2017!$D$3:$AL$40)</f>
        <v>#VALUE!</v>
      </c>
      <c r="X90" s="61" t="e">
        <f>SUMPRODUCT((Generation_Entsoe_SFS_2017!$A$3:$A$40='Abgleich Generation'!$A90)*(Generation_Entsoe_SFS_2017!$D$1:$AL$1='Abgleich Generation'!X$81)*Generation_Entsoe_SFS_2017!$D$3:$AL$40)+SUMPRODUCT((Generation_Entsoe_SFS_2017!$A$3:$A$40='Abgleich Generation'!$A90)*(Generation_Entsoe_SFS_2017!$D$1:$AL$1='Abgleich Generation'!X$80)*Generation_Entsoe_SFS_2017!$D$3:$AL$40)+SUMPRODUCT((Generation_Entsoe_SFS_2017!$A$3:$A$40='Abgleich Generation'!$A90)*(Generation_Entsoe_SFS_2017!$D$1:$AL$1='Abgleich Generation'!X$79)*Generation_Entsoe_SFS_2017!$D$3:$AL$40)+SUMPRODUCT((Generation_Entsoe_SFS_2017!$A$3:$A$40='Abgleich Generation'!$A90)*(Generation_Entsoe_SFS_2017!$D$1:$AL$1='Abgleich Generation'!X$78)*Generation_Entsoe_SFS_2017!$D$3:$AL$40)+SUMPRODUCT((Generation_Entsoe_SFS_2017!$A$3:$A$40='Abgleich Generation'!$A90)*(Generation_Entsoe_SFS_2017!$D$1:$AL$1='Abgleich Generation'!X$77)*Generation_Entsoe_SFS_2017!$D$3:$AL$40)+SUMPRODUCT((Generation_Entsoe_SFS_2017!$A$3:$A$40='Abgleich Generation'!$A90)*(Generation_Entsoe_SFS_2017!$D$1:$AL$1='Abgleich Generation'!X$76)*Generation_Entsoe_SFS_2017!$D$3:$AL$40)</f>
        <v>#VALUE!</v>
      </c>
      <c r="Y90" s="61" t="e">
        <f t="shared" si="64"/>
        <v>#VALUE!</v>
      </c>
    </row>
    <row r="91" spans="1:25" x14ac:dyDescent="0.25">
      <c r="A91" s="14" t="s">
        <v>17</v>
      </c>
      <c r="B91" s="25" t="e">
        <f t="shared" si="60"/>
        <v>#VALUE!</v>
      </c>
      <c r="C91" s="26" t="e">
        <f>SUMPRODUCT((Generation_Entsoe_SFS_2017!$A$3:$A$40='Abgleich Generation'!$A91)*(Generation_Entsoe_SFS_2017!$D$1:$AL$1='Abgleich Generation'!C$81)*Generation_Entsoe_SFS_2017!$D$3:$AL$40)+SUMPRODUCT((Generation_Entsoe_SFS_2017!$A$3:$A$40='Abgleich Generation'!$A91)*(Generation_Entsoe_SFS_2017!$D$1:$AL$1='Abgleich Generation'!C$80)*Generation_Entsoe_SFS_2017!$D$3:$AL$40)+SUMPRODUCT((Generation_Entsoe_SFS_2017!$A$3:$A$40='Abgleich Generation'!$A91)*(Generation_Entsoe_SFS_2017!$D$1:$AL$1='Abgleich Generation'!C$79)*Generation_Entsoe_SFS_2017!$D$3:$AL$40)+SUMPRODUCT((Generation_Entsoe_SFS_2017!$A$3:$A$40='Abgleich Generation'!$A91)*(Generation_Entsoe_SFS_2017!$D$1:$AL$1='Abgleich Generation'!C$78)*Generation_Entsoe_SFS_2017!$D$3:$AL$40)</f>
        <v>#VALUE!</v>
      </c>
      <c r="D91" s="26" t="e">
        <f t="shared" si="61"/>
        <v>#VALUE!</v>
      </c>
      <c r="E91" s="26" t="e">
        <f>SUMPRODUCT((Generation_Entsoe_SFS_2017!$A$3:$A$40='Abgleich Generation'!$A91)*(Generation_Entsoe_SFS_2017!$D$1:$AL$1='Abgleich Generation'!E$81)*Generation_Entsoe_SFS_2017!$D$3:$AL$40)+SUMPRODUCT((Generation_Entsoe_SFS_2017!$A$3:$A$40='Abgleich Generation'!$A91)*(Generation_Entsoe_SFS_2017!$D$1:$AL$1='Abgleich Generation'!E$80)*Generation_Entsoe_SFS_2017!$D$3:$AL$40)+SUMPRODUCT((Generation_Entsoe_SFS_2017!$A$3:$A$40='Abgleich Generation'!$A91)*(Generation_Entsoe_SFS_2017!$D$1:$AL$1='Abgleich Generation'!E$79)*Generation_Entsoe_SFS_2017!$D$3:$AL$40)+SUMPRODUCT((Generation_Entsoe_SFS_2017!$A$3:$A$40='Abgleich Generation'!$A91)*(Generation_Entsoe_SFS_2017!$D$1:$AL$1='Abgleich Generation'!E$78)*Generation_Entsoe_SFS_2017!$D$3:$AL$40)</f>
        <v>#VALUE!</v>
      </c>
      <c r="F91" s="26" t="e">
        <f>SUMPRODUCT((Generation_Entsoe_SFS_2017!$A$3:$A$40='Abgleich Generation'!$A91)*(Generation_Entsoe_SFS_2017!$D$1:$AL$1='Abgleich Generation'!F$81)*Generation_Entsoe_SFS_2017!$D$3:$AL$40)+SUMPRODUCT((Generation_Entsoe_SFS_2017!$A$3:$A$40='Abgleich Generation'!$A91)*(Generation_Entsoe_SFS_2017!$D$1:$AL$1='Abgleich Generation'!F$80)*Generation_Entsoe_SFS_2017!$D$3:$AL$40)+SUMPRODUCT((Generation_Entsoe_SFS_2017!$A$3:$A$40='Abgleich Generation'!$A91)*(Generation_Entsoe_SFS_2017!$D$1:$AL$1='Abgleich Generation'!F$79)*Generation_Entsoe_SFS_2017!$D$3:$AL$40)+SUMPRODUCT((Generation_Entsoe_SFS_2017!$A$3:$A$40='Abgleich Generation'!$A91)*(Generation_Entsoe_SFS_2017!$D$1:$AL$1='Abgleich Generation'!F$78)*Generation_Entsoe_SFS_2017!$D$3:$AL$40)</f>
        <v>#VALUE!</v>
      </c>
      <c r="G91" s="26" t="e">
        <f>SUMPRODUCT((Generation_Entsoe_SFS_2017!$A$3:$A$40='Abgleich Generation'!$A91)*(Generation_Entsoe_SFS_2017!$D$1:$AL$1='Abgleich Generation'!G$81)*Generation_Entsoe_SFS_2017!$D$3:$AL$40)+SUMPRODUCT((Generation_Entsoe_SFS_2017!$A$3:$A$40='Abgleich Generation'!$A91)*(Generation_Entsoe_SFS_2017!$D$1:$AL$1='Abgleich Generation'!G$80)*Generation_Entsoe_SFS_2017!$D$3:$AL$40)+SUMPRODUCT((Generation_Entsoe_SFS_2017!$A$3:$A$40='Abgleich Generation'!$A91)*(Generation_Entsoe_SFS_2017!$D$1:$AL$1='Abgleich Generation'!G$79)*Generation_Entsoe_SFS_2017!$D$3:$AL$40)+SUMPRODUCT((Generation_Entsoe_SFS_2017!$A$3:$A$40='Abgleich Generation'!$A91)*(Generation_Entsoe_SFS_2017!$D$1:$AL$1='Abgleich Generation'!G$78)*Generation_Entsoe_SFS_2017!$D$3:$AL$40)</f>
        <v>#VALUE!</v>
      </c>
      <c r="H91" s="26" t="e">
        <f>SUMPRODUCT((Generation_Entsoe_SFS_2017!$A$3:$A$40='Abgleich Generation'!$A91)*(Generation_Entsoe_SFS_2017!$D$1:$AL$1='Abgleich Generation'!H$81)*Generation_Entsoe_SFS_2017!$D$3:$AL$40)+SUMPRODUCT((Generation_Entsoe_SFS_2017!$A$3:$A$40='Abgleich Generation'!$A91)*(Generation_Entsoe_SFS_2017!$D$1:$AL$1='Abgleich Generation'!H$80)*Generation_Entsoe_SFS_2017!$D$3:$AL$40)+SUMPRODUCT((Generation_Entsoe_SFS_2017!$A$3:$A$40='Abgleich Generation'!$A91)*(Generation_Entsoe_SFS_2017!$D$1:$AL$1='Abgleich Generation'!H$79)*Generation_Entsoe_SFS_2017!$D$3:$AL$40)+SUMPRODUCT((Generation_Entsoe_SFS_2017!$A$3:$A$40='Abgleich Generation'!$A91)*(Generation_Entsoe_SFS_2017!$D$1:$AL$1='Abgleich Generation'!H$78)*Generation_Entsoe_SFS_2017!$D$3:$AL$40)</f>
        <v>#VALUE!</v>
      </c>
      <c r="I91" s="26" t="e">
        <f>SUMPRODUCT((Generation_Entsoe_SFS_2017!$A$3:$A$40='Abgleich Generation'!$A91)*(Generation_Entsoe_SFS_2017!$D$1:$AL$1='Abgleich Generation'!I$81)*Generation_Entsoe_SFS_2017!$D$3:$AL$40)+SUMPRODUCT((Generation_Entsoe_SFS_2017!$A$3:$A$40='Abgleich Generation'!$A91)*(Generation_Entsoe_SFS_2017!$D$1:$AL$1='Abgleich Generation'!I$80)*Generation_Entsoe_SFS_2017!$D$3:$AL$40)+SUMPRODUCT((Generation_Entsoe_SFS_2017!$A$3:$A$40='Abgleich Generation'!$A91)*(Generation_Entsoe_SFS_2017!$D$1:$AL$1='Abgleich Generation'!I$79)*Generation_Entsoe_SFS_2017!$D$3:$AL$40)+SUMPRODUCT((Generation_Entsoe_SFS_2017!$A$3:$A$40='Abgleich Generation'!$A91)*(Generation_Entsoe_SFS_2017!$D$1:$AL$1='Abgleich Generation'!I$78)*Generation_Entsoe_SFS_2017!$D$3:$AL$40)</f>
        <v>#VALUE!</v>
      </c>
      <c r="J91" s="26" t="e">
        <f>SUMPRODUCT((Generation_Entsoe_SFS_2017!$A$3:$A$40='Abgleich Generation'!$A91)*(Generation_Entsoe_SFS_2017!$D$1:$AL$1='Abgleich Generation'!J$81)*Generation_Entsoe_SFS_2017!$D$3:$AL$40)+SUMPRODUCT((Generation_Entsoe_SFS_2017!$A$3:$A$40='Abgleich Generation'!$A91)*(Generation_Entsoe_SFS_2017!$D$1:$AL$1='Abgleich Generation'!J$80)*Generation_Entsoe_SFS_2017!$D$3:$AL$40)+SUMPRODUCT((Generation_Entsoe_SFS_2017!$A$3:$A$40='Abgleich Generation'!$A91)*(Generation_Entsoe_SFS_2017!$D$1:$AL$1='Abgleich Generation'!J$79)*Generation_Entsoe_SFS_2017!$D$3:$AL$40)+SUMPRODUCT((Generation_Entsoe_SFS_2017!$A$3:$A$40='Abgleich Generation'!$A91)*(Generation_Entsoe_SFS_2017!$D$1:$AL$1='Abgleich Generation'!J$78)*Generation_Entsoe_SFS_2017!$D$3:$AL$40)</f>
        <v>#VALUE!</v>
      </c>
      <c r="K91" s="27" t="e">
        <f t="shared" si="62"/>
        <v>#VALUE!</v>
      </c>
      <c r="L91" s="26" t="e">
        <f>SUMPRODUCT((Generation_Entsoe_SFS_2017!$A$3:$A$40='Abgleich Generation'!$A91)*(Generation_Entsoe_SFS_2017!$D$1:$AL$1='Abgleich Generation'!L$81)*Generation_Entsoe_SFS_2017!$D$3:$AL$40)+SUMPRODUCT((Generation_Entsoe_SFS_2017!$A$3:$A$40='Abgleich Generation'!$A91)*(Generation_Entsoe_SFS_2017!$D$1:$AL$1='Abgleich Generation'!L$80)*Generation_Entsoe_SFS_2017!$D$3:$AL$40)+SUMPRODUCT((Generation_Entsoe_SFS_2017!$A$3:$A$40='Abgleich Generation'!$A91)*(Generation_Entsoe_SFS_2017!$D$1:$AL$1='Abgleich Generation'!L$79)*Generation_Entsoe_SFS_2017!$D$3:$AL$40)+SUMPRODUCT((Generation_Entsoe_SFS_2017!$A$3:$A$40='Abgleich Generation'!$A91)*(Generation_Entsoe_SFS_2017!$D$1:$AL$1='Abgleich Generation'!L$78)*Generation_Entsoe_SFS_2017!$D$3:$AL$40)+SUMPRODUCT((Generation_Entsoe_SFS_2017!$A$3:$A$40='Abgleich Generation'!$A91)*(Generation_Entsoe_SFS_2017!$D$1:$AL$1='Abgleich Generation'!L$77)*Generation_Entsoe_SFS_2017!$D$3:$AL$40)+SUMPRODUCT((Generation_Entsoe_SFS_2017!$A$3:$A$40='Abgleich Generation'!$A91)*(Generation_Entsoe_SFS_2017!$D$1:$AL$1='Abgleich Generation'!L$76)*Generation_Entsoe_SFS_2017!$D$3:$AL$40)</f>
        <v>#VALUE!</v>
      </c>
      <c r="M91" s="26" t="e">
        <f>SUMPRODUCT((Generation_Entsoe_SFS_2017!$A$3:$A$40='Abgleich Generation'!$A91)*(Generation_Entsoe_SFS_2017!$D$1:$AL$1='Abgleich Generation'!M$81)*Generation_Entsoe_SFS_2017!$D$3:$AL$40)+SUMPRODUCT((Generation_Entsoe_SFS_2017!$A$3:$A$40='Abgleich Generation'!$A91)*(Generation_Entsoe_SFS_2017!$D$1:$AL$1='Abgleich Generation'!M$80)*Generation_Entsoe_SFS_2017!$D$3:$AL$40)+SUMPRODUCT((Generation_Entsoe_SFS_2017!$A$3:$A$40='Abgleich Generation'!$A91)*(Generation_Entsoe_SFS_2017!$D$1:$AL$1='Abgleich Generation'!M$79)*Generation_Entsoe_SFS_2017!$D$3:$AL$40)+SUMPRODUCT((Generation_Entsoe_SFS_2017!$A$3:$A$40='Abgleich Generation'!$A91)*(Generation_Entsoe_SFS_2017!$D$1:$AL$1='Abgleich Generation'!M$78)*Generation_Entsoe_SFS_2017!$D$3:$AL$40)+SUMPRODUCT((Generation_Entsoe_SFS_2017!$A$3:$A$40='Abgleich Generation'!$A91)*(Generation_Entsoe_SFS_2017!$D$1:$AL$1='Abgleich Generation'!M$77)*Generation_Entsoe_SFS_2017!$D$3:$AL$40)+SUMPRODUCT((Generation_Entsoe_SFS_2017!$A$3:$A$40='Abgleich Generation'!$A91)*(Generation_Entsoe_SFS_2017!$D$1:$AL$1='Abgleich Generation'!M$76)*Generation_Entsoe_SFS_2017!$D$3:$AL$40)</f>
        <v>#VALUE!</v>
      </c>
      <c r="N91" s="26" t="e">
        <f>SUMPRODUCT((Generation_Entsoe_SFS_2017!$A$3:$A$40='Abgleich Generation'!$A91)*(Generation_Entsoe_SFS_2017!$D$1:$AL$1='Abgleich Generation'!N$81)*Generation_Entsoe_SFS_2017!$D$3:$AL$40)+SUMPRODUCT((Generation_Entsoe_SFS_2017!$A$3:$A$40='Abgleich Generation'!$A91)*(Generation_Entsoe_SFS_2017!$D$1:$AL$1='Abgleich Generation'!N$80)*Generation_Entsoe_SFS_2017!$D$3:$AL$40)+SUMPRODUCT((Generation_Entsoe_SFS_2017!$A$3:$A$40='Abgleich Generation'!$A91)*(Generation_Entsoe_SFS_2017!$D$1:$AL$1='Abgleich Generation'!N$79)*Generation_Entsoe_SFS_2017!$D$3:$AL$40)+SUMPRODUCT((Generation_Entsoe_SFS_2017!$A$3:$A$40='Abgleich Generation'!$A91)*(Generation_Entsoe_SFS_2017!$D$1:$AL$1='Abgleich Generation'!N$78)*Generation_Entsoe_SFS_2017!$D$3:$AL$40)+SUMPRODUCT((Generation_Entsoe_SFS_2017!$A$3:$A$40='Abgleich Generation'!$A91)*(Generation_Entsoe_SFS_2017!$D$1:$AL$1='Abgleich Generation'!N$77)*Generation_Entsoe_SFS_2017!$D$3:$AL$40)+SUMPRODUCT((Generation_Entsoe_SFS_2017!$A$3:$A$40='Abgleich Generation'!$A91)*(Generation_Entsoe_SFS_2017!$D$1:$AL$1='Abgleich Generation'!N$76)*Generation_Entsoe_SFS_2017!$D$3:$AL$40)</f>
        <v>#VALUE!</v>
      </c>
      <c r="O91" s="26" t="e">
        <f>SUMPRODUCT((Generation_Entsoe_SFS_2017!$A$3:$A$40='Abgleich Generation'!$A91)*(Generation_Entsoe_SFS_2017!$D$1:$AL$1='Abgleich Generation'!O$81)*Generation_Entsoe_SFS_2017!$D$3:$AL$40)+SUMPRODUCT((Generation_Entsoe_SFS_2017!$A$3:$A$40='Abgleich Generation'!$A91)*(Generation_Entsoe_SFS_2017!$D$1:$AL$1='Abgleich Generation'!O$80)*Generation_Entsoe_SFS_2017!$D$3:$AL$40)+SUMPRODUCT((Generation_Entsoe_SFS_2017!$A$3:$A$40='Abgleich Generation'!$A91)*(Generation_Entsoe_SFS_2017!$D$1:$AL$1='Abgleich Generation'!O$79)*Generation_Entsoe_SFS_2017!$D$3:$AL$40)+SUMPRODUCT((Generation_Entsoe_SFS_2017!$A$3:$A$40='Abgleich Generation'!$A91)*(Generation_Entsoe_SFS_2017!$D$1:$AL$1='Abgleich Generation'!O$78)*Generation_Entsoe_SFS_2017!$D$3:$AL$40)+SUMPRODUCT((Generation_Entsoe_SFS_2017!$A$3:$A$40='Abgleich Generation'!$A91)*(Generation_Entsoe_SFS_2017!$D$1:$AL$1='Abgleich Generation'!O$77)*Generation_Entsoe_SFS_2017!$D$3:$AL$40)+SUMPRODUCT((Generation_Entsoe_SFS_2017!$A$3:$A$40='Abgleich Generation'!$A91)*(Generation_Entsoe_SFS_2017!$D$1:$AL$1='Abgleich Generation'!O$76)*Generation_Entsoe_SFS_2017!$D$3:$AL$40)</f>
        <v>#VALUE!</v>
      </c>
      <c r="P91" s="26" t="e">
        <f>SUMPRODUCT((Generation_Entsoe_SFS_2017!$A$3:$A$40='Abgleich Generation'!$A91)*(Generation_Entsoe_SFS_2017!$D$1:$AL$1='Abgleich Generation'!P$81)*Generation_Entsoe_SFS_2017!$D$3:$AL$40)+SUMPRODUCT((Generation_Entsoe_SFS_2017!$A$3:$A$40='Abgleich Generation'!$A91)*(Generation_Entsoe_SFS_2017!$D$1:$AL$1='Abgleich Generation'!P$80)*Generation_Entsoe_SFS_2017!$D$3:$AL$40)+SUMPRODUCT((Generation_Entsoe_SFS_2017!$A$3:$A$40='Abgleich Generation'!$A91)*(Generation_Entsoe_SFS_2017!$D$1:$AL$1='Abgleich Generation'!P$79)*Generation_Entsoe_SFS_2017!$D$3:$AL$40)+SUMPRODUCT((Generation_Entsoe_SFS_2017!$A$3:$A$40='Abgleich Generation'!$A91)*(Generation_Entsoe_SFS_2017!$D$1:$AL$1='Abgleich Generation'!P$78)*Generation_Entsoe_SFS_2017!$D$3:$AL$40)+SUMPRODUCT((Generation_Entsoe_SFS_2017!$A$3:$A$40='Abgleich Generation'!$A91)*(Generation_Entsoe_SFS_2017!$D$1:$AL$1='Abgleich Generation'!P$77)*Generation_Entsoe_SFS_2017!$D$3:$AL$40)+SUMPRODUCT((Generation_Entsoe_SFS_2017!$A$3:$A$40='Abgleich Generation'!$A91)*(Generation_Entsoe_SFS_2017!$D$1:$AL$1='Abgleich Generation'!P$76)*Generation_Entsoe_SFS_2017!$D$3:$AL$40)</f>
        <v>#VALUE!</v>
      </c>
      <c r="Q91" s="26" t="e">
        <f>SUMPRODUCT((Generation_Entsoe_SFS_2017!$A$3:$A$40='Abgleich Generation'!$A91)*(Generation_Entsoe_SFS_2017!$D$1:$AL$1='Abgleich Generation'!Q$81)*Generation_Entsoe_SFS_2017!$D$3:$AL$40)+SUMPRODUCT((Generation_Entsoe_SFS_2017!$A$3:$A$40='Abgleich Generation'!$A91)*(Generation_Entsoe_SFS_2017!$D$1:$AL$1='Abgleich Generation'!Q$80)*Generation_Entsoe_SFS_2017!$D$3:$AL$40)+SUMPRODUCT((Generation_Entsoe_SFS_2017!$A$3:$A$40='Abgleich Generation'!$A91)*(Generation_Entsoe_SFS_2017!$D$1:$AL$1='Abgleich Generation'!Q$79)*Generation_Entsoe_SFS_2017!$D$3:$AL$40)+SUMPRODUCT((Generation_Entsoe_SFS_2017!$A$3:$A$40='Abgleich Generation'!$A91)*(Generation_Entsoe_SFS_2017!$D$1:$AL$1='Abgleich Generation'!Q$78)*Generation_Entsoe_SFS_2017!$D$3:$AL$40)+SUMPRODUCT((Generation_Entsoe_SFS_2017!$A$3:$A$40='Abgleich Generation'!$A91)*(Generation_Entsoe_SFS_2017!$D$1:$AL$1='Abgleich Generation'!Q$77)*Generation_Entsoe_SFS_2017!$D$3:$AL$40)+SUMPRODUCT((Generation_Entsoe_SFS_2017!$A$3:$A$40='Abgleich Generation'!$A91)*(Generation_Entsoe_SFS_2017!$D$1:$AL$1='Abgleich Generation'!Q$76)*Generation_Entsoe_SFS_2017!$D$3:$AL$40)</f>
        <v>#VALUE!</v>
      </c>
      <c r="R91" s="26" t="e">
        <f>SUMPRODUCT((Generation_Entsoe_SFS_2017!$A$3:$A$40='Abgleich Generation'!$A91)*(Generation_Entsoe_SFS_2017!$D$1:$AL$1='Abgleich Generation'!R$81)*Generation_Entsoe_SFS_2017!$D$3:$AL$40)+SUMPRODUCT((Generation_Entsoe_SFS_2017!$A$3:$A$40='Abgleich Generation'!$A91)*(Generation_Entsoe_SFS_2017!$D$1:$AL$1='Abgleich Generation'!R$80)*Generation_Entsoe_SFS_2017!$D$3:$AL$40)+SUMPRODUCT((Generation_Entsoe_SFS_2017!$A$3:$A$40='Abgleich Generation'!$A91)*(Generation_Entsoe_SFS_2017!$D$1:$AL$1='Abgleich Generation'!R$79)*Generation_Entsoe_SFS_2017!$D$3:$AL$40)+SUMPRODUCT((Generation_Entsoe_SFS_2017!$A$3:$A$40='Abgleich Generation'!$A91)*(Generation_Entsoe_SFS_2017!$D$1:$AL$1='Abgleich Generation'!R$78)*Generation_Entsoe_SFS_2017!$D$3:$AL$40)+SUMPRODUCT((Generation_Entsoe_SFS_2017!$A$3:$A$40='Abgleich Generation'!$A91)*(Generation_Entsoe_SFS_2017!$D$1:$AL$1='Abgleich Generation'!R$77)*Generation_Entsoe_SFS_2017!$D$3:$AL$40)+SUMPRODUCT((Generation_Entsoe_SFS_2017!$A$3:$A$40='Abgleich Generation'!$A91)*(Generation_Entsoe_SFS_2017!$D$1:$AL$1='Abgleich Generation'!R$76)*Generation_Entsoe_SFS_2017!$D$3:$AL$40)</f>
        <v>#VALUE!</v>
      </c>
      <c r="S91" s="26" t="e">
        <f>SUMPRODUCT((Generation_Entsoe_SFS_2017!$A$3:$A$40='Abgleich Generation'!$A91)*(Generation_Entsoe_SFS_2017!$D$1:$AL$1='Abgleich Generation'!S$81)*Generation_Entsoe_SFS_2017!$D$3:$AL$40)+SUMPRODUCT((Generation_Entsoe_SFS_2017!$A$3:$A$40='Abgleich Generation'!$A91)*(Generation_Entsoe_SFS_2017!$D$1:$AL$1='Abgleich Generation'!S$80)*Generation_Entsoe_SFS_2017!$D$3:$AL$40)+SUMPRODUCT((Generation_Entsoe_SFS_2017!$A$3:$A$40='Abgleich Generation'!$A91)*(Generation_Entsoe_SFS_2017!$D$1:$AL$1='Abgleich Generation'!S$79)*Generation_Entsoe_SFS_2017!$D$3:$AL$40)+SUMPRODUCT((Generation_Entsoe_SFS_2017!$A$3:$A$40='Abgleich Generation'!$A91)*(Generation_Entsoe_SFS_2017!$D$1:$AL$1='Abgleich Generation'!S$78)*Generation_Entsoe_SFS_2017!$D$3:$AL$40)+SUMPRODUCT((Generation_Entsoe_SFS_2017!$A$3:$A$40='Abgleich Generation'!$A91)*(Generation_Entsoe_SFS_2017!$D$1:$AL$1='Abgleich Generation'!S$77)*Generation_Entsoe_SFS_2017!$D$3:$AL$40)+SUMPRODUCT((Generation_Entsoe_SFS_2017!$A$3:$A$40='Abgleich Generation'!$A91)*(Generation_Entsoe_SFS_2017!$D$1:$AL$1='Abgleich Generation'!S$76)*Generation_Entsoe_SFS_2017!$D$3:$AL$40)</f>
        <v>#VALUE!</v>
      </c>
      <c r="T91" s="26" t="e">
        <f>SUMPRODUCT((Generation_Entsoe_SFS_2017!$A$3:$A$40='Abgleich Generation'!$A91)*(Generation_Entsoe_SFS_2017!$D$1:$AL$1='Abgleich Generation'!T$81)*Generation_Entsoe_SFS_2017!$D$3:$AL$40)+SUMPRODUCT((Generation_Entsoe_SFS_2017!$A$3:$A$40='Abgleich Generation'!$A91)*(Generation_Entsoe_SFS_2017!$D$1:$AL$1='Abgleich Generation'!T$80)*Generation_Entsoe_SFS_2017!$D$3:$AL$40)+SUMPRODUCT((Generation_Entsoe_SFS_2017!$A$3:$A$40='Abgleich Generation'!$A91)*(Generation_Entsoe_SFS_2017!$D$1:$AL$1='Abgleich Generation'!T$79)*Generation_Entsoe_SFS_2017!$D$3:$AL$40)+SUMPRODUCT((Generation_Entsoe_SFS_2017!$A$3:$A$40='Abgleich Generation'!$A91)*(Generation_Entsoe_SFS_2017!$D$1:$AL$1='Abgleich Generation'!T$78)*Generation_Entsoe_SFS_2017!$D$3:$AL$40)+SUMPRODUCT((Generation_Entsoe_SFS_2017!$A$3:$A$40='Abgleich Generation'!$A91)*(Generation_Entsoe_SFS_2017!$D$1:$AL$1='Abgleich Generation'!T$77)*Generation_Entsoe_SFS_2017!$D$3:$AL$40)+SUMPRODUCT((Generation_Entsoe_SFS_2017!$A$3:$A$40='Abgleich Generation'!$A91)*(Generation_Entsoe_SFS_2017!$D$1:$AL$1='Abgleich Generation'!T$76)*Generation_Entsoe_SFS_2017!$D$3:$AL$40)</f>
        <v>#VALUE!</v>
      </c>
      <c r="U91" s="26" t="e">
        <f>SUMPRODUCT((Generation_Entsoe_SFS_2017!$A$3:$A$40='Abgleich Generation'!$A91)*(Generation_Entsoe_SFS_2017!$D$1:$AL$1='Abgleich Generation'!U$81)*Generation_Entsoe_SFS_2017!$D$3:$AL$40)+SUMPRODUCT((Generation_Entsoe_SFS_2017!$A$3:$A$40='Abgleich Generation'!$A91)*(Generation_Entsoe_SFS_2017!$D$1:$AL$1='Abgleich Generation'!U$80)*Generation_Entsoe_SFS_2017!$D$3:$AL$40)+SUMPRODUCT((Generation_Entsoe_SFS_2017!$A$3:$A$40='Abgleich Generation'!$A91)*(Generation_Entsoe_SFS_2017!$D$1:$AL$1='Abgleich Generation'!U$79)*Generation_Entsoe_SFS_2017!$D$3:$AL$40)+SUMPRODUCT((Generation_Entsoe_SFS_2017!$A$3:$A$40='Abgleich Generation'!$A91)*(Generation_Entsoe_SFS_2017!$D$1:$AL$1='Abgleich Generation'!U$78)*Generation_Entsoe_SFS_2017!$D$3:$AL$40)+SUMPRODUCT((Generation_Entsoe_SFS_2017!$A$3:$A$40='Abgleich Generation'!$A91)*(Generation_Entsoe_SFS_2017!$D$1:$AL$1='Abgleich Generation'!U$77)*Generation_Entsoe_SFS_2017!$D$3:$AL$40)+SUMPRODUCT((Generation_Entsoe_SFS_2017!$A$3:$A$40='Abgleich Generation'!$A91)*(Generation_Entsoe_SFS_2017!$D$1:$AL$1='Abgleich Generation'!U$76)*Generation_Entsoe_SFS_2017!$D$3:$AL$40)</f>
        <v>#VALUE!</v>
      </c>
      <c r="V91" s="27" t="e">
        <f t="shared" si="63"/>
        <v>#VALUE!</v>
      </c>
      <c r="W91" s="28" t="e">
        <f>SUMPRODUCT((Generation_Entsoe_SFS_2017!$A$3:$A$40='Abgleich Generation'!$A91)*(Generation_Entsoe_SFS_2017!$D$1:$AL$1='Abgleich Generation'!W$81)*Generation_Entsoe_SFS_2017!$D$3:$AL$40)+SUMPRODUCT((Generation_Entsoe_SFS_2017!$A$3:$A$40='Abgleich Generation'!$A91)*(Generation_Entsoe_SFS_2017!$D$1:$AL$1='Abgleich Generation'!W$80)*Generation_Entsoe_SFS_2017!$D$3:$AL$40)+SUMPRODUCT((Generation_Entsoe_SFS_2017!$A$3:$A$40='Abgleich Generation'!$A91)*(Generation_Entsoe_SFS_2017!$D$1:$AL$1='Abgleich Generation'!W$79)*Generation_Entsoe_SFS_2017!$D$3:$AL$40)+SUMPRODUCT((Generation_Entsoe_SFS_2017!$A$3:$A$40='Abgleich Generation'!$A91)*(Generation_Entsoe_SFS_2017!$D$1:$AL$1='Abgleich Generation'!W$78)*Generation_Entsoe_SFS_2017!$D$3:$AL$40)+SUMPRODUCT((Generation_Entsoe_SFS_2017!$A$3:$A$40='Abgleich Generation'!$A91)*(Generation_Entsoe_SFS_2017!$D$1:$AL$1='Abgleich Generation'!W$77)*Generation_Entsoe_SFS_2017!$D$3:$AL$40)+SUMPRODUCT((Generation_Entsoe_SFS_2017!$A$3:$A$40='Abgleich Generation'!$A91)*(Generation_Entsoe_SFS_2017!$D$1:$AL$1='Abgleich Generation'!W$76)*Generation_Entsoe_SFS_2017!$D$3:$AL$40)</f>
        <v>#VALUE!</v>
      </c>
      <c r="X91" s="29" t="e">
        <f>SUMPRODUCT((Generation_Entsoe_SFS_2017!$A$3:$A$40='Abgleich Generation'!$A91)*(Generation_Entsoe_SFS_2017!$D$1:$AL$1='Abgleich Generation'!X$81)*Generation_Entsoe_SFS_2017!$D$3:$AL$40)+SUMPRODUCT((Generation_Entsoe_SFS_2017!$A$3:$A$40='Abgleich Generation'!$A91)*(Generation_Entsoe_SFS_2017!$D$1:$AL$1='Abgleich Generation'!X$80)*Generation_Entsoe_SFS_2017!$D$3:$AL$40)+SUMPRODUCT((Generation_Entsoe_SFS_2017!$A$3:$A$40='Abgleich Generation'!$A91)*(Generation_Entsoe_SFS_2017!$D$1:$AL$1='Abgleich Generation'!X$79)*Generation_Entsoe_SFS_2017!$D$3:$AL$40)+SUMPRODUCT((Generation_Entsoe_SFS_2017!$A$3:$A$40='Abgleich Generation'!$A91)*(Generation_Entsoe_SFS_2017!$D$1:$AL$1='Abgleich Generation'!X$78)*Generation_Entsoe_SFS_2017!$D$3:$AL$40)+SUMPRODUCT((Generation_Entsoe_SFS_2017!$A$3:$A$40='Abgleich Generation'!$A91)*(Generation_Entsoe_SFS_2017!$D$1:$AL$1='Abgleich Generation'!X$77)*Generation_Entsoe_SFS_2017!$D$3:$AL$40)+SUMPRODUCT((Generation_Entsoe_SFS_2017!$A$3:$A$40='Abgleich Generation'!$A91)*(Generation_Entsoe_SFS_2017!$D$1:$AL$1='Abgleich Generation'!X$76)*Generation_Entsoe_SFS_2017!$D$3:$AL$40)</f>
        <v>#VALUE!</v>
      </c>
      <c r="Y91" s="29" t="e">
        <f t="shared" si="64"/>
        <v>#VALUE!</v>
      </c>
    </row>
    <row r="92" spans="1:25" x14ac:dyDescent="0.25">
      <c r="A92" s="14" t="s">
        <v>18</v>
      </c>
      <c r="B92" s="57" t="e">
        <f t="shared" si="60"/>
        <v>#VALUE!</v>
      </c>
      <c r="C92" s="58" t="e">
        <f>SUMPRODUCT((Generation_Entsoe_SFS_2017!$A$3:$A$40='Abgleich Generation'!$A92)*(Generation_Entsoe_SFS_2017!$D$1:$AL$1='Abgleich Generation'!C$81)*Generation_Entsoe_SFS_2017!$D$3:$AL$40)+SUMPRODUCT((Generation_Entsoe_SFS_2017!$A$3:$A$40='Abgleich Generation'!$A92)*(Generation_Entsoe_SFS_2017!$D$1:$AL$1='Abgleich Generation'!C$80)*Generation_Entsoe_SFS_2017!$D$3:$AL$40)+SUMPRODUCT((Generation_Entsoe_SFS_2017!$A$3:$A$40='Abgleich Generation'!$A92)*(Generation_Entsoe_SFS_2017!$D$1:$AL$1='Abgleich Generation'!C$79)*Generation_Entsoe_SFS_2017!$D$3:$AL$40)+SUMPRODUCT((Generation_Entsoe_SFS_2017!$A$3:$A$40='Abgleich Generation'!$A92)*(Generation_Entsoe_SFS_2017!$D$1:$AL$1='Abgleich Generation'!C$78)*Generation_Entsoe_SFS_2017!$D$3:$AL$40)</f>
        <v>#VALUE!</v>
      </c>
      <c r="D92" s="58" t="e">
        <f t="shared" si="61"/>
        <v>#VALUE!</v>
      </c>
      <c r="E92" s="58" t="e">
        <f>SUMPRODUCT((Generation_Entsoe_SFS_2017!$A$3:$A$40='Abgleich Generation'!$A92)*(Generation_Entsoe_SFS_2017!$D$1:$AL$1='Abgleich Generation'!E$81)*Generation_Entsoe_SFS_2017!$D$3:$AL$40)+SUMPRODUCT((Generation_Entsoe_SFS_2017!$A$3:$A$40='Abgleich Generation'!$A92)*(Generation_Entsoe_SFS_2017!$D$1:$AL$1='Abgleich Generation'!E$80)*Generation_Entsoe_SFS_2017!$D$3:$AL$40)+SUMPRODUCT((Generation_Entsoe_SFS_2017!$A$3:$A$40='Abgleich Generation'!$A92)*(Generation_Entsoe_SFS_2017!$D$1:$AL$1='Abgleich Generation'!E$79)*Generation_Entsoe_SFS_2017!$D$3:$AL$40)+SUMPRODUCT((Generation_Entsoe_SFS_2017!$A$3:$A$40='Abgleich Generation'!$A92)*(Generation_Entsoe_SFS_2017!$D$1:$AL$1='Abgleich Generation'!E$78)*Generation_Entsoe_SFS_2017!$D$3:$AL$40)</f>
        <v>#VALUE!</v>
      </c>
      <c r="F92" s="58" t="e">
        <f>SUMPRODUCT((Generation_Entsoe_SFS_2017!$A$3:$A$40='Abgleich Generation'!$A92)*(Generation_Entsoe_SFS_2017!$D$1:$AL$1='Abgleich Generation'!F$81)*Generation_Entsoe_SFS_2017!$D$3:$AL$40)+SUMPRODUCT((Generation_Entsoe_SFS_2017!$A$3:$A$40='Abgleich Generation'!$A92)*(Generation_Entsoe_SFS_2017!$D$1:$AL$1='Abgleich Generation'!F$80)*Generation_Entsoe_SFS_2017!$D$3:$AL$40)+SUMPRODUCT((Generation_Entsoe_SFS_2017!$A$3:$A$40='Abgleich Generation'!$A92)*(Generation_Entsoe_SFS_2017!$D$1:$AL$1='Abgleich Generation'!F$79)*Generation_Entsoe_SFS_2017!$D$3:$AL$40)+SUMPRODUCT((Generation_Entsoe_SFS_2017!$A$3:$A$40='Abgleich Generation'!$A92)*(Generation_Entsoe_SFS_2017!$D$1:$AL$1='Abgleich Generation'!F$78)*Generation_Entsoe_SFS_2017!$D$3:$AL$40)</f>
        <v>#VALUE!</v>
      </c>
      <c r="G92" s="58" t="e">
        <f>SUMPRODUCT((Generation_Entsoe_SFS_2017!$A$3:$A$40='Abgleich Generation'!$A92)*(Generation_Entsoe_SFS_2017!$D$1:$AL$1='Abgleich Generation'!G$81)*Generation_Entsoe_SFS_2017!$D$3:$AL$40)+SUMPRODUCT((Generation_Entsoe_SFS_2017!$A$3:$A$40='Abgleich Generation'!$A92)*(Generation_Entsoe_SFS_2017!$D$1:$AL$1='Abgleich Generation'!G$80)*Generation_Entsoe_SFS_2017!$D$3:$AL$40)+SUMPRODUCT((Generation_Entsoe_SFS_2017!$A$3:$A$40='Abgleich Generation'!$A92)*(Generation_Entsoe_SFS_2017!$D$1:$AL$1='Abgleich Generation'!G$79)*Generation_Entsoe_SFS_2017!$D$3:$AL$40)+SUMPRODUCT((Generation_Entsoe_SFS_2017!$A$3:$A$40='Abgleich Generation'!$A92)*(Generation_Entsoe_SFS_2017!$D$1:$AL$1='Abgleich Generation'!G$78)*Generation_Entsoe_SFS_2017!$D$3:$AL$40)</f>
        <v>#VALUE!</v>
      </c>
      <c r="H92" s="58" t="e">
        <f>SUMPRODUCT((Generation_Entsoe_SFS_2017!$A$3:$A$40='Abgleich Generation'!$A92)*(Generation_Entsoe_SFS_2017!$D$1:$AL$1='Abgleich Generation'!H$81)*Generation_Entsoe_SFS_2017!$D$3:$AL$40)+SUMPRODUCT((Generation_Entsoe_SFS_2017!$A$3:$A$40='Abgleich Generation'!$A92)*(Generation_Entsoe_SFS_2017!$D$1:$AL$1='Abgleich Generation'!H$80)*Generation_Entsoe_SFS_2017!$D$3:$AL$40)+SUMPRODUCT((Generation_Entsoe_SFS_2017!$A$3:$A$40='Abgleich Generation'!$A92)*(Generation_Entsoe_SFS_2017!$D$1:$AL$1='Abgleich Generation'!H$79)*Generation_Entsoe_SFS_2017!$D$3:$AL$40)+SUMPRODUCT((Generation_Entsoe_SFS_2017!$A$3:$A$40='Abgleich Generation'!$A92)*(Generation_Entsoe_SFS_2017!$D$1:$AL$1='Abgleich Generation'!H$78)*Generation_Entsoe_SFS_2017!$D$3:$AL$40)</f>
        <v>#VALUE!</v>
      </c>
      <c r="I92" s="58" t="e">
        <f>SUMPRODUCT((Generation_Entsoe_SFS_2017!$A$3:$A$40='Abgleich Generation'!$A92)*(Generation_Entsoe_SFS_2017!$D$1:$AL$1='Abgleich Generation'!I$81)*Generation_Entsoe_SFS_2017!$D$3:$AL$40)+SUMPRODUCT((Generation_Entsoe_SFS_2017!$A$3:$A$40='Abgleich Generation'!$A92)*(Generation_Entsoe_SFS_2017!$D$1:$AL$1='Abgleich Generation'!I$80)*Generation_Entsoe_SFS_2017!$D$3:$AL$40)+SUMPRODUCT((Generation_Entsoe_SFS_2017!$A$3:$A$40='Abgleich Generation'!$A92)*(Generation_Entsoe_SFS_2017!$D$1:$AL$1='Abgleich Generation'!I$79)*Generation_Entsoe_SFS_2017!$D$3:$AL$40)+SUMPRODUCT((Generation_Entsoe_SFS_2017!$A$3:$A$40='Abgleich Generation'!$A92)*(Generation_Entsoe_SFS_2017!$D$1:$AL$1='Abgleich Generation'!I$78)*Generation_Entsoe_SFS_2017!$D$3:$AL$40)</f>
        <v>#VALUE!</v>
      </c>
      <c r="J92" s="58" t="e">
        <f>SUMPRODUCT((Generation_Entsoe_SFS_2017!$A$3:$A$40='Abgleich Generation'!$A92)*(Generation_Entsoe_SFS_2017!$D$1:$AL$1='Abgleich Generation'!J$81)*Generation_Entsoe_SFS_2017!$D$3:$AL$40)+SUMPRODUCT((Generation_Entsoe_SFS_2017!$A$3:$A$40='Abgleich Generation'!$A92)*(Generation_Entsoe_SFS_2017!$D$1:$AL$1='Abgleich Generation'!J$80)*Generation_Entsoe_SFS_2017!$D$3:$AL$40)+SUMPRODUCT((Generation_Entsoe_SFS_2017!$A$3:$A$40='Abgleich Generation'!$A92)*(Generation_Entsoe_SFS_2017!$D$1:$AL$1='Abgleich Generation'!J$79)*Generation_Entsoe_SFS_2017!$D$3:$AL$40)+SUMPRODUCT((Generation_Entsoe_SFS_2017!$A$3:$A$40='Abgleich Generation'!$A92)*(Generation_Entsoe_SFS_2017!$D$1:$AL$1='Abgleich Generation'!J$78)*Generation_Entsoe_SFS_2017!$D$3:$AL$40)</f>
        <v>#VALUE!</v>
      </c>
      <c r="K92" s="59" t="e">
        <f t="shared" si="62"/>
        <v>#VALUE!</v>
      </c>
      <c r="L92" s="58" t="e">
        <f>SUMPRODUCT((Generation_Entsoe_SFS_2017!$A$3:$A$40='Abgleich Generation'!$A92)*(Generation_Entsoe_SFS_2017!$D$1:$AL$1='Abgleich Generation'!L$81)*Generation_Entsoe_SFS_2017!$D$3:$AL$40)+SUMPRODUCT((Generation_Entsoe_SFS_2017!$A$3:$A$40='Abgleich Generation'!$A92)*(Generation_Entsoe_SFS_2017!$D$1:$AL$1='Abgleich Generation'!L$80)*Generation_Entsoe_SFS_2017!$D$3:$AL$40)+SUMPRODUCT((Generation_Entsoe_SFS_2017!$A$3:$A$40='Abgleich Generation'!$A92)*(Generation_Entsoe_SFS_2017!$D$1:$AL$1='Abgleich Generation'!L$79)*Generation_Entsoe_SFS_2017!$D$3:$AL$40)+SUMPRODUCT((Generation_Entsoe_SFS_2017!$A$3:$A$40='Abgleich Generation'!$A92)*(Generation_Entsoe_SFS_2017!$D$1:$AL$1='Abgleich Generation'!L$78)*Generation_Entsoe_SFS_2017!$D$3:$AL$40)+SUMPRODUCT((Generation_Entsoe_SFS_2017!$A$3:$A$40='Abgleich Generation'!$A92)*(Generation_Entsoe_SFS_2017!$D$1:$AL$1='Abgleich Generation'!L$77)*Generation_Entsoe_SFS_2017!$D$3:$AL$40)+SUMPRODUCT((Generation_Entsoe_SFS_2017!$A$3:$A$40='Abgleich Generation'!$A92)*(Generation_Entsoe_SFS_2017!$D$1:$AL$1='Abgleich Generation'!L$76)*Generation_Entsoe_SFS_2017!$D$3:$AL$40)</f>
        <v>#VALUE!</v>
      </c>
      <c r="M92" s="58" t="e">
        <f>SUMPRODUCT((Generation_Entsoe_SFS_2017!$A$3:$A$40='Abgleich Generation'!$A92)*(Generation_Entsoe_SFS_2017!$D$1:$AL$1='Abgleich Generation'!M$81)*Generation_Entsoe_SFS_2017!$D$3:$AL$40)+SUMPRODUCT((Generation_Entsoe_SFS_2017!$A$3:$A$40='Abgleich Generation'!$A92)*(Generation_Entsoe_SFS_2017!$D$1:$AL$1='Abgleich Generation'!M$80)*Generation_Entsoe_SFS_2017!$D$3:$AL$40)+SUMPRODUCT((Generation_Entsoe_SFS_2017!$A$3:$A$40='Abgleich Generation'!$A92)*(Generation_Entsoe_SFS_2017!$D$1:$AL$1='Abgleich Generation'!M$79)*Generation_Entsoe_SFS_2017!$D$3:$AL$40)+SUMPRODUCT((Generation_Entsoe_SFS_2017!$A$3:$A$40='Abgleich Generation'!$A92)*(Generation_Entsoe_SFS_2017!$D$1:$AL$1='Abgleich Generation'!M$78)*Generation_Entsoe_SFS_2017!$D$3:$AL$40)+SUMPRODUCT((Generation_Entsoe_SFS_2017!$A$3:$A$40='Abgleich Generation'!$A92)*(Generation_Entsoe_SFS_2017!$D$1:$AL$1='Abgleich Generation'!M$77)*Generation_Entsoe_SFS_2017!$D$3:$AL$40)+SUMPRODUCT((Generation_Entsoe_SFS_2017!$A$3:$A$40='Abgleich Generation'!$A92)*(Generation_Entsoe_SFS_2017!$D$1:$AL$1='Abgleich Generation'!M$76)*Generation_Entsoe_SFS_2017!$D$3:$AL$40)</f>
        <v>#VALUE!</v>
      </c>
      <c r="N92" s="58" t="e">
        <f>SUMPRODUCT((Generation_Entsoe_SFS_2017!$A$3:$A$40='Abgleich Generation'!$A92)*(Generation_Entsoe_SFS_2017!$D$1:$AL$1='Abgleich Generation'!N$81)*Generation_Entsoe_SFS_2017!$D$3:$AL$40)+SUMPRODUCT((Generation_Entsoe_SFS_2017!$A$3:$A$40='Abgleich Generation'!$A92)*(Generation_Entsoe_SFS_2017!$D$1:$AL$1='Abgleich Generation'!N$80)*Generation_Entsoe_SFS_2017!$D$3:$AL$40)+SUMPRODUCT((Generation_Entsoe_SFS_2017!$A$3:$A$40='Abgleich Generation'!$A92)*(Generation_Entsoe_SFS_2017!$D$1:$AL$1='Abgleich Generation'!N$79)*Generation_Entsoe_SFS_2017!$D$3:$AL$40)+SUMPRODUCT((Generation_Entsoe_SFS_2017!$A$3:$A$40='Abgleich Generation'!$A92)*(Generation_Entsoe_SFS_2017!$D$1:$AL$1='Abgleich Generation'!N$78)*Generation_Entsoe_SFS_2017!$D$3:$AL$40)+SUMPRODUCT((Generation_Entsoe_SFS_2017!$A$3:$A$40='Abgleich Generation'!$A92)*(Generation_Entsoe_SFS_2017!$D$1:$AL$1='Abgleich Generation'!N$77)*Generation_Entsoe_SFS_2017!$D$3:$AL$40)+SUMPRODUCT((Generation_Entsoe_SFS_2017!$A$3:$A$40='Abgleich Generation'!$A92)*(Generation_Entsoe_SFS_2017!$D$1:$AL$1='Abgleich Generation'!N$76)*Generation_Entsoe_SFS_2017!$D$3:$AL$40)</f>
        <v>#VALUE!</v>
      </c>
      <c r="O92" s="58" t="e">
        <f>SUMPRODUCT((Generation_Entsoe_SFS_2017!$A$3:$A$40='Abgleich Generation'!$A92)*(Generation_Entsoe_SFS_2017!$D$1:$AL$1='Abgleich Generation'!O$81)*Generation_Entsoe_SFS_2017!$D$3:$AL$40)+SUMPRODUCT((Generation_Entsoe_SFS_2017!$A$3:$A$40='Abgleich Generation'!$A92)*(Generation_Entsoe_SFS_2017!$D$1:$AL$1='Abgleich Generation'!O$80)*Generation_Entsoe_SFS_2017!$D$3:$AL$40)+SUMPRODUCT((Generation_Entsoe_SFS_2017!$A$3:$A$40='Abgleich Generation'!$A92)*(Generation_Entsoe_SFS_2017!$D$1:$AL$1='Abgleich Generation'!O$79)*Generation_Entsoe_SFS_2017!$D$3:$AL$40)+SUMPRODUCT((Generation_Entsoe_SFS_2017!$A$3:$A$40='Abgleich Generation'!$A92)*(Generation_Entsoe_SFS_2017!$D$1:$AL$1='Abgleich Generation'!O$78)*Generation_Entsoe_SFS_2017!$D$3:$AL$40)+SUMPRODUCT((Generation_Entsoe_SFS_2017!$A$3:$A$40='Abgleich Generation'!$A92)*(Generation_Entsoe_SFS_2017!$D$1:$AL$1='Abgleich Generation'!O$77)*Generation_Entsoe_SFS_2017!$D$3:$AL$40)+SUMPRODUCT((Generation_Entsoe_SFS_2017!$A$3:$A$40='Abgleich Generation'!$A92)*(Generation_Entsoe_SFS_2017!$D$1:$AL$1='Abgleich Generation'!O$76)*Generation_Entsoe_SFS_2017!$D$3:$AL$40)</f>
        <v>#VALUE!</v>
      </c>
      <c r="P92" s="58" t="e">
        <f>SUMPRODUCT((Generation_Entsoe_SFS_2017!$A$3:$A$40='Abgleich Generation'!$A92)*(Generation_Entsoe_SFS_2017!$D$1:$AL$1='Abgleich Generation'!P$81)*Generation_Entsoe_SFS_2017!$D$3:$AL$40)+SUMPRODUCT((Generation_Entsoe_SFS_2017!$A$3:$A$40='Abgleich Generation'!$A92)*(Generation_Entsoe_SFS_2017!$D$1:$AL$1='Abgleich Generation'!P$80)*Generation_Entsoe_SFS_2017!$D$3:$AL$40)+SUMPRODUCT((Generation_Entsoe_SFS_2017!$A$3:$A$40='Abgleich Generation'!$A92)*(Generation_Entsoe_SFS_2017!$D$1:$AL$1='Abgleich Generation'!P$79)*Generation_Entsoe_SFS_2017!$D$3:$AL$40)+SUMPRODUCT((Generation_Entsoe_SFS_2017!$A$3:$A$40='Abgleich Generation'!$A92)*(Generation_Entsoe_SFS_2017!$D$1:$AL$1='Abgleich Generation'!P$78)*Generation_Entsoe_SFS_2017!$D$3:$AL$40)+SUMPRODUCT((Generation_Entsoe_SFS_2017!$A$3:$A$40='Abgleich Generation'!$A92)*(Generation_Entsoe_SFS_2017!$D$1:$AL$1='Abgleich Generation'!P$77)*Generation_Entsoe_SFS_2017!$D$3:$AL$40)+SUMPRODUCT((Generation_Entsoe_SFS_2017!$A$3:$A$40='Abgleich Generation'!$A92)*(Generation_Entsoe_SFS_2017!$D$1:$AL$1='Abgleich Generation'!P$76)*Generation_Entsoe_SFS_2017!$D$3:$AL$40)</f>
        <v>#VALUE!</v>
      </c>
      <c r="Q92" s="58" t="e">
        <f>SUMPRODUCT((Generation_Entsoe_SFS_2017!$A$3:$A$40='Abgleich Generation'!$A92)*(Generation_Entsoe_SFS_2017!$D$1:$AL$1='Abgleich Generation'!Q$81)*Generation_Entsoe_SFS_2017!$D$3:$AL$40)+SUMPRODUCT((Generation_Entsoe_SFS_2017!$A$3:$A$40='Abgleich Generation'!$A92)*(Generation_Entsoe_SFS_2017!$D$1:$AL$1='Abgleich Generation'!Q$80)*Generation_Entsoe_SFS_2017!$D$3:$AL$40)+SUMPRODUCT((Generation_Entsoe_SFS_2017!$A$3:$A$40='Abgleich Generation'!$A92)*(Generation_Entsoe_SFS_2017!$D$1:$AL$1='Abgleich Generation'!Q$79)*Generation_Entsoe_SFS_2017!$D$3:$AL$40)+SUMPRODUCT((Generation_Entsoe_SFS_2017!$A$3:$A$40='Abgleich Generation'!$A92)*(Generation_Entsoe_SFS_2017!$D$1:$AL$1='Abgleich Generation'!Q$78)*Generation_Entsoe_SFS_2017!$D$3:$AL$40)+SUMPRODUCT((Generation_Entsoe_SFS_2017!$A$3:$A$40='Abgleich Generation'!$A92)*(Generation_Entsoe_SFS_2017!$D$1:$AL$1='Abgleich Generation'!Q$77)*Generation_Entsoe_SFS_2017!$D$3:$AL$40)+SUMPRODUCT((Generation_Entsoe_SFS_2017!$A$3:$A$40='Abgleich Generation'!$A92)*(Generation_Entsoe_SFS_2017!$D$1:$AL$1='Abgleich Generation'!Q$76)*Generation_Entsoe_SFS_2017!$D$3:$AL$40)</f>
        <v>#VALUE!</v>
      </c>
      <c r="R92" s="58" t="e">
        <f>SUMPRODUCT((Generation_Entsoe_SFS_2017!$A$3:$A$40='Abgleich Generation'!$A92)*(Generation_Entsoe_SFS_2017!$D$1:$AL$1='Abgleich Generation'!R$81)*Generation_Entsoe_SFS_2017!$D$3:$AL$40)+SUMPRODUCT((Generation_Entsoe_SFS_2017!$A$3:$A$40='Abgleich Generation'!$A92)*(Generation_Entsoe_SFS_2017!$D$1:$AL$1='Abgleich Generation'!R$80)*Generation_Entsoe_SFS_2017!$D$3:$AL$40)+SUMPRODUCT((Generation_Entsoe_SFS_2017!$A$3:$A$40='Abgleich Generation'!$A92)*(Generation_Entsoe_SFS_2017!$D$1:$AL$1='Abgleich Generation'!R$79)*Generation_Entsoe_SFS_2017!$D$3:$AL$40)+SUMPRODUCT((Generation_Entsoe_SFS_2017!$A$3:$A$40='Abgleich Generation'!$A92)*(Generation_Entsoe_SFS_2017!$D$1:$AL$1='Abgleich Generation'!R$78)*Generation_Entsoe_SFS_2017!$D$3:$AL$40)+SUMPRODUCT((Generation_Entsoe_SFS_2017!$A$3:$A$40='Abgleich Generation'!$A92)*(Generation_Entsoe_SFS_2017!$D$1:$AL$1='Abgleich Generation'!R$77)*Generation_Entsoe_SFS_2017!$D$3:$AL$40)+SUMPRODUCT((Generation_Entsoe_SFS_2017!$A$3:$A$40='Abgleich Generation'!$A92)*(Generation_Entsoe_SFS_2017!$D$1:$AL$1='Abgleich Generation'!R$76)*Generation_Entsoe_SFS_2017!$D$3:$AL$40)</f>
        <v>#VALUE!</v>
      </c>
      <c r="S92" s="58" t="e">
        <f>SUMPRODUCT((Generation_Entsoe_SFS_2017!$A$3:$A$40='Abgleich Generation'!$A92)*(Generation_Entsoe_SFS_2017!$D$1:$AL$1='Abgleich Generation'!S$81)*Generation_Entsoe_SFS_2017!$D$3:$AL$40)+SUMPRODUCT((Generation_Entsoe_SFS_2017!$A$3:$A$40='Abgleich Generation'!$A92)*(Generation_Entsoe_SFS_2017!$D$1:$AL$1='Abgleich Generation'!S$80)*Generation_Entsoe_SFS_2017!$D$3:$AL$40)+SUMPRODUCT((Generation_Entsoe_SFS_2017!$A$3:$A$40='Abgleich Generation'!$A92)*(Generation_Entsoe_SFS_2017!$D$1:$AL$1='Abgleich Generation'!S$79)*Generation_Entsoe_SFS_2017!$D$3:$AL$40)+SUMPRODUCT((Generation_Entsoe_SFS_2017!$A$3:$A$40='Abgleich Generation'!$A92)*(Generation_Entsoe_SFS_2017!$D$1:$AL$1='Abgleich Generation'!S$78)*Generation_Entsoe_SFS_2017!$D$3:$AL$40)+SUMPRODUCT((Generation_Entsoe_SFS_2017!$A$3:$A$40='Abgleich Generation'!$A92)*(Generation_Entsoe_SFS_2017!$D$1:$AL$1='Abgleich Generation'!S$77)*Generation_Entsoe_SFS_2017!$D$3:$AL$40)+SUMPRODUCT((Generation_Entsoe_SFS_2017!$A$3:$A$40='Abgleich Generation'!$A92)*(Generation_Entsoe_SFS_2017!$D$1:$AL$1='Abgleich Generation'!S$76)*Generation_Entsoe_SFS_2017!$D$3:$AL$40)</f>
        <v>#VALUE!</v>
      </c>
      <c r="T92" s="58" t="e">
        <f>SUMPRODUCT((Generation_Entsoe_SFS_2017!$A$3:$A$40='Abgleich Generation'!$A92)*(Generation_Entsoe_SFS_2017!$D$1:$AL$1='Abgleich Generation'!T$81)*Generation_Entsoe_SFS_2017!$D$3:$AL$40)+SUMPRODUCT((Generation_Entsoe_SFS_2017!$A$3:$A$40='Abgleich Generation'!$A92)*(Generation_Entsoe_SFS_2017!$D$1:$AL$1='Abgleich Generation'!T$80)*Generation_Entsoe_SFS_2017!$D$3:$AL$40)+SUMPRODUCT((Generation_Entsoe_SFS_2017!$A$3:$A$40='Abgleich Generation'!$A92)*(Generation_Entsoe_SFS_2017!$D$1:$AL$1='Abgleich Generation'!T$79)*Generation_Entsoe_SFS_2017!$D$3:$AL$40)+SUMPRODUCT((Generation_Entsoe_SFS_2017!$A$3:$A$40='Abgleich Generation'!$A92)*(Generation_Entsoe_SFS_2017!$D$1:$AL$1='Abgleich Generation'!T$78)*Generation_Entsoe_SFS_2017!$D$3:$AL$40)+SUMPRODUCT((Generation_Entsoe_SFS_2017!$A$3:$A$40='Abgleich Generation'!$A92)*(Generation_Entsoe_SFS_2017!$D$1:$AL$1='Abgleich Generation'!T$77)*Generation_Entsoe_SFS_2017!$D$3:$AL$40)+SUMPRODUCT((Generation_Entsoe_SFS_2017!$A$3:$A$40='Abgleich Generation'!$A92)*(Generation_Entsoe_SFS_2017!$D$1:$AL$1='Abgleich Generation'!T$76)*Generation_Entsoe_SFS_2017!$D$3:$AL$40)</f>
        <v>#VALUE!</v>
      </c>
      <c r="U92" s="58" t="e">
        <f>SUMPRODUCT((Generation_Entsoe_SFS_2017!$A$3:$A$40='Abgleich Generation'!$A92)*(Generation_Entsoe_SFS_2017!$D$1:$AL$1='Abgleich Generation'!U$81)*Generation_Entsoe_SFS_2017!$D$3:$AL$40)+SUMPRODUCT((Generation_Entsoe_SFS_2017!$A$3:$A$40='Abgleich Generation'!$A92)*(Generation_Entsoe_SFS_2017!$D$1:$AL$1='Abgleich Generation'!U$80)*Generation_Entsoe_SFS_2017!$D$3:$AL$40)+SUMPRODUCT((Generation_Entsoe_SFS_2017!$A$3:$A$40='Abgleich Generation'!$A92)*(Generation_Entsoe_SFS_2017!$D$1:$AL$1='Abgleich Generation'!U$79)*Generation_Entsoe_SFS_2017!$D$3:$AL$40)+SUMPRODUCT((Generation_Entsoe_SFS_2017!$A$3:$A$40='Abgleich Generation'!$A92)*(Generation_Entsoe_SFS_2017!$D$1:$AL$1='Abgleich Generation'!U$78)*Generation_Entsoe_SFS_2017!$D$3:$AL$40)+SUMPRODUCT((Generation_Entsoe_SFS_2017!$A$3:$A$40='Abgleich Generation'!$A92)*(Generation_Entsoe_SFS_2017!$D$1:$AL$1='Abgleich Generation'!U$77)*Generation_Entsoe_SFS_2017!$D$3:$AL$40)+SUMPRODUCT((Generation_Entsoe_SFS_2017!$A$3:$A$40='Abgleich Generation'!$A92)*(Generation_Entsoe_SFS_2017!$D$1:$AL$1='Abgleich Generation'!U$76)*Generation_Entsoe_SFS_2017!$D$3:$AL$40)</f>
        <v>#VALUE!</v>
      </c>
      <c r="V92" s="59" t="e">
        <f t="shared" si="63"/>
        <v>#VALUE!</v>
      </c>
      <c r="W92" s="60" t="e">
        <f>SUMPRODUCT((Generation_Entsoe_SFS_2017!$A$3:$A$40='Abgleich Generation'!$A92)*(Generation_Entsoe_SFS_2017!$D$1:$AL$1='Abgleich Generation'!W$81)*Generation_Entsoe_SFS_2017!$D$3:$AL$40)+SUMPRODUCT((Generation_Entsoe_SFS_2017!$A$3:$A$40='Abgleich Generation'!$A92)*(Generation_Entsoe_SFS_2017!$D$1:$AL$1='Abgleich Generation'!W$80)*Generation_Entsoe_SFS_2017!$D$3:$AL$40)+SUMPRODUCT((Generation_Entsoe_SFS_2017!$A$3:$A$40='Abgleich Generation'!$A92)*(Generation_Entsoe_SFS_2017!$D$1:$AL$1='Abgleich Generation'!W$79)*Generation_Entsoe_SFS_2017!$D$3:$AL$40)+SUMPRODUCT((Generation_Entsoe_SFS_2017!$A$3:$A$40='Abgleich Generation'!$A92)*(Generation_Entsoe_SFS_2017!$D$1:$AL$1='Abgleich Generation'!W$78)*Generation_Entsoe_SFS_2017!$D$3:$AL$40)+SUMPRODUCT((Generation_Entsoe_SFS_2017!$A$3:$A$40='Abgleich Generation'!$A92)*(Generation_Entsoe_SFS_2017!$D$1:$AL$1='Abgleich Generation'!W$77)*Generation_Entsoe_SFS_2017!$D$3:$AL$40)+SUMPRODUCT((Generation_Entsoe_SFS_2017!$A$3:$A$40='Abgleich Generation'!$A92)*(Generation_Entsoe_SFS_2017!$D$1:$AL$1='Abgleich Generation'!W$76)*Generation_Entsoe_SFS_2017!$D$3:$AL$40)</f>
        <v>#VALUE!</v>
      </c>
      <c r="X92" s="61" t="e">
        <f>SUMPRODUCT((Generation_Entsoe_SFS_2017!$A$3:$A$40='Abgleich Generation'!$A92)*(Generation_Entsoe_SFS_2017!$D$1:$AL$1='Abgleich Generation'!X$81)*Generation_Entsoe_SFS_2017!$D$3:$AL$40)+SUMPRODUCT((Generation_Entsoe_SFS_2017!$A$3:$A$40='Abgleich Generation'!$A92)*(Generation_Entsoe_SFS_2017!$D$1:$AL$1='Abgleich Generation'!X$80)*Generation_Entsoe_SFS_2017!$D$3:$AL$40)+SUMPRODUCT((Generation_Entsoe_SFS_2017!$A$3:$A$40='Abgleich Generation'!$A92)*(Generation_Entsoe_SFS_2017!$D$1:$AL$1='Abgleich Generation'!X$79)*Generation_Entsoe_SFS_2017!$D$3:$AL$40)+SUMPRODUCT((Generation_Entsoe_SFS_2017!$A$3:$A$40='Abgleich Generation'!$A92)*(Generation_Entsoe_SFS_2017!$D$1:$AL$1='Abgleich Generation'!X$78)*Generation_Entsoe_SFS_2017!$D$3:$AL$40)+SUMPRODUCT((Generation_Entsoe_SFS_2017!$A$3:$A$40='Abgleich Generation'!$A92)*(Generation_Entsoe_SFS_2017!$D$1:$AL$1='Abgleich Generation'!X$77)*Generation_Entsoe_SFS_2017!$D$3:$AL$40)+SUMPRODUCT((Generation_Entsoe_SFS_2017!$A$3:$A$40='Abgleich Generation'!$A92)*(Generation_Entsoe_SFS_2017!$D$1:$AL$1='Abgleich Generation'!X$76)*Generation_Entsoe_SFS_2017!$D$3:$AL$40)</f>
        <v>#VALUE!</v>
      </c>
      <c r="Y92" s="61" t="e">
        <f t="shared" si="64"/>
        <v>#VALUE!</v>
      </c>
    </row>
    <row r="93" spans="1:25" x14ac:dyDescent="0.25">
      <c r="A93" s="14" t="s">
        <v>19</v>
      </c>
      <c r="B93" s="25" t="e">
        <f t="shared" si="60"/>
        <v>#VALUE!</v>
      </c>
      <c r="C93" s="26" t="e">
        <f>SUMPRODUCT((Generation_Entsoe_SFS_2017!$A$3:$A$40='Abgleich Generation'!$A93)*(Generation_Entsoe_SFS_2017!$D$1:$AL$1='Abgleich Generation'!C$81)*Generation_Entsoe_SFS_2017!$D$3:$AL$40)+SUMPRODUCT((Generation_Entsoe_SFS_2017!$A$3:$A$40='Abgleich Generation'!$A93)*(Generation_Entsoe_SFS_2017!$D$1:$AL$1='Abgleich Generation'!C$80)*Generation_Entsoe_SFS_2017!$D$3:$AL$40)+SUMPRODUCT((Generation_Entsoe_SFS_2017!$A$3:$A$40='Abgleich Generation'!$A93)*(Generation_Entsoe_SFS_2017!$D$1:$AL$1='Abgleich Generation'!C$79)*Generation_Entsoe_SFS_2017!$D$3:$AL$40)+SUMPRODUCT((Generation_Entsoe_SFS_2017!$A$3:$A$40='Abgleich Generation'!$A93)*(Generation_Entsoe_SFS_2017!$D$1:$AL$1='Abgleich Generation'!C$78)*Generation_Entsoe_SFS_2017!$D$3:$AL$40)</f>
        <v>#VALUE!</v>
      </c>
      <c r="D93" s="26" t="e">
        <f t="shared" si="61"/>
        <v>#VALUE!</v>
      </c>
      <c r="E93" s="26" t="e">
        <f>SUMPRODUCT((Generation_Entsoe_SFS_2017!$A$3:$A$40='Abgleich Generation'!$A93)*(Generation_Entsoe_SFS_2017!$D$1:$AL$1='Abgleich Generation'!E$81)*Generation_Entsoe_SFS_2017!$D$3:$AL$40)+SUMPRODUCT((Generation_Entsoe_SFS_2017!$A$3:$A$40='Abgleich Generation'!$A93)*(Generation_Entsoe_SFS_2017!$D$1:$AL$1='Abgleich Generation'!E$80)*Generation_Entsoe_SFS_2017!$D$3:$AL$40)+SUMPRODUCT((Generation_Entsoe_SFS_2017!$A$3:$A$40='Abgleich Generation'!$A93)*(Generation_Entsoe_SFS_2017!$D$1:$AL$1='Abgleich Generation'!E$79)*Generation_Entsoe_SFS_2017!$D$3:$AL$40)+SUMPRODUCT((Generation_Entsoe_SFS_2017!$A$3:$A$40='Abgleich Generation'!$A93)*(Generation_Entsoe_SFS_2017!$D$1:$AL$1='Abgleich Generation'!E$78)*Generation_Entsoe_SFS_2017!$D$3:$AL$40)</f>
        <v>#VALUE!</v>
      </c>
      <c r="F93" s="26" t="e">
        <f>SUMPRODUCT((Generation_Entsoe_SFS_2017!$A$3:$A$40='Abgleich Generation'!$A93)*(Generation_Entsoe_SFS_2017!$D$1:$AL$1='Abgleich Generation'!F$81)*Generation_Entsoe_SFS_2017!$D$3:$AL$40)+SUMPRODUCT((Generation_Entsoe_SFS_2017!$A$3:$A$40='Abgleich Generation'!$A93)*(Generation_Entsoe_SFS_2017!$D$1:$AL$1='Abgleich Generation'!F$80)*Generation_Entsoe_SFS_2017!$D$3:$AL$40)+SUMPRODUCT((Generation_Entsoe_SFS_2017!$A$3:$A$40='Abgleich Generation'!$A93)*(Generation_Entsoe_SFS_2017!$D$1:$AL$1='Abgleich Generation'!F$79)*Generation_Entsoe_SFS_2017!$D$3:$AL$40)+SUMPRODUCT((Generation_Entsoe_SFS_2017!$A$3:$A$40='Abgleich Generation'!$A93)*(Generation_Entsoe_SFS_2017!$D$1:$AL$1='Abgleich Generation'!F$78)*Generation_Entsoe_SFS_2017!$D$3:$AL$40)</f>
        <v>#VALUE!</v>
      </c>
      <c r="G93" s="26" t="e">
        <f>SUMPRODUCT((Generation_Entsoe_SFS_2017!$A$3:$A$40='Abgleich Generation'!$A93)*(Generation_Entsoe_SFS_2017!$D$1:$AL$1='Abgleich Generation'!G$81)*Generation_Entsoe_SFS_2017!$D$3:$AL$40)+SUMPRODUCT((Generation_Entsoe_SFS_2017!$A$3:$A$40='Abgleich Generation'!$A93)*(Generation_Entsoe_SFS_2017!$D$1:$AL$1='Abgleich Generation'!G$80)*Generation_Entsoe_SFS_2017!$D$3:$AL$40)+SUMPRODUCT((Generation_Entsoe_SFS_2017!$A$3:$A$40='Abgleich Generation'!$A93)*(Generation_Entsoe_SFS_2017!$D$1:$AL$1='Abgleich Generation'!G$79)*Generation_Entsoe_SFS_2017!$D$3:$AL$40)+SUMPRODUCT((Generation_Entsoe_SFS_2017!$A$3:$A$40='Abgleich Generation'!$A93)*(Generation_Entsoe_SFS_2017!$D$1:$AL$1='Abgleich Generation'!G$78)*Generation_Entsoe_SFS_2017!$D$3:$AL$40)</f>
        <v>#VALUE!</v>
      </c>
      <c r="H93" s="26" t="e">
        <f>SUMPRODUCT((Generation_Entsoe_SFS_2017!$A$3:$A$40='Abgleich Generation'!$A93)*(Generation_Entsoe_SFS_2017!$D$1:$AL$1='Abgleich Generation'!H$81)*Generation_Entsoe_SFS_2017!$D$3:$AL$40)+SUMPRODUCT((Generation_Entsoe_SFS_2017!$A$3:$A$40='Abgleich Generation'!$A93)*(Generation_Entsoe_SFS_2017!$D$1:$AL$1='Abgleich Generation'!H$80)*Generation_Entsoe_SFS_2017!$D$3:$AL$40)+SUMPRODUCT((Generation_Entsoe_SFS_2017!$A$3:$A$40='Abgleich Generation'!$A93)*(Generation_Entsoe_SFS_2017!$D$1:$AL$1='Abgleich Generation'!H$79)*Generation_Entsoe_SFS_2017!$D$3:$AL$40)+SUMPRODUCT((Generation_Entsoe_SFS_2017!$A$3:$A$40='Abgleich Generation'!$A93)*(Generation_Entsoe_SFS_2017!$D$1:$AL$1='Abgleich Generation'!H$78)*Generation_Entsoe_SFS_2017!$D$3:$AL$40)</f>
        <v>#VALUE!</v>
      </c>
      <c r="I93" s="26" t="e">
        <f>SUMPRODUCT((Generation_Entsoe_SFS_2017!$A$3:$A$40='Abgleich Generation'!$A93)*(Generation_Entsoe_SFS_2017!$D$1:$AL$1='Abgleich Generation'!I$81)*Generation_Entsoe_SFS_2017!$D$3:$AL$40)+SUMPRODUCT((Generation_Entsoe_SFS_2017!$A$3:$A$40='Abgleich Generation'!$A93)*(Generation_Entsoe_SFS_2017!$D$1:$AL$1='Abgleich Generation'!I$80)*Generation_Entsoe_SFS_2017!$D$3:$AL$40)+SUMPRODUCT((Generation_Entsoe_SFS_2017!$A$3:$A$40='Abgleich Generation'!$A93)*(Generation_Entsoe_SFS_2017!$D$1:$AL$1='Abgleich Generation'!I$79)*Generation_Entsoe_SFS_2017!$D$3:$AL$40)+SUMPRODUCT((Generation_Entsoe_SFS_2017!$A$3:$A$40='Abgleich Generation'!$A93)*(Generation_Entsoe_SFS_2017!$D$1:$AL$1='Abgleich Generation'!I$78)*Generation_Entsoe_SFS_2017!$D$3:$AL$40)</f>
        <v>#VALUE!</v>
      </c>
      <c r="J93" s="26" t="e">
        <f>SUMPRODUCT((Generation_Entsoe_SFS_2017!$A$3:$A$40='Abgleich Generation'!$A93)*(Generation_Entsoe_SFS_2017!$D$1:$AL$1='Abgleich Generation'!J$81)*Generation_Entsoe_SFS_2017!$D$3:$AL$40)+SUMPRODUCT((Generation_Entsoe_SFS_2017!$A$3:$A$40='Abgleich Generation'!$A93)*(Generation_Entsoe_SFS_2017!$D$1:$AL$1='Abgleich Generation'!J$80)*Generation_Entsoe_SFS_2017!$D$3:$AL$40)+SUMPRODUCT((Generation_Entsoe_SFS_2017!$A$3:$A$40='Abgleich Generation'!$A93)*(Generation_Entsoe_SFS_2017!$D$1:$AL$1='Abgleich Generation'!J$79)*Generation_Entsoe_SFS_2017!$D$3:$AL$40)+SUMPRODUCT((Generation_Entsoe_SFS_2017!$A$3:$A$40='Abgleich Generation'!$A93)*(Generation_Entsoe_SFS_2017!$D$1:$AL$1='Abgleich Generation'!J$78)*Generation_Entsoe_SFS_2017!$D$3:$AL$40)</f>
        <v>#VALUE!</v>
      </c>
      <c r="K93" s="27" t="e">
        <f t="shared" si="62"/>
        <v>#VALUE!</v>
      </c>
      <c r="L93" s="26" t="e">
        <f>SUMPRODUCT((Generation_Entsoe_SFS_2017!$A$3:$A$40='Abgleich Generation'!$A93)*(Generation_Entsoe_SFS_2017!$D$1:$AL$1='Abgleich Generation'!L$81)*Generation_Entsoe_SFS_2017!$D$3:$AL$40)+SUMPRODUCT((Generation_Entsoe_SFS_2017!$A$3:$A$40='Abgleich Generation'!$A93)*(Generation_Entsoe_SFS_2017!$D$1:$AL$1='Abgleich Generation'!L$80)*Generation_Entsoe_SFS_2017!$D$3:$AL$40)+SUMPRODUCT((Generation_Entsoe_SFS_2017!$A$3:$A$40='Abgleich Generation'!$A93)*(Generation_Entsoe_SFS_2017!$D$1:$AL$1='Abgleich Generation'!L$79)*Generation_Entsoe_SFS_2017!$D$3:$AL$40)+SUMPRODUCT((Generation_Entsoe_SFS_2017!$A$3:$A$40='Abgleich Generation'!$A93)*(Generation_Entsoe_SFS_2017!$D$1:$AL$1='Abgleich Generation'!L$78)*Generation_Entsoe_SFS_2017!$D$3:$AL$40)+SUMPRODUCT((Generation_Entsoe_SFS_2017!$A$3:$A$40='Abgleich Generation'!$A93)*(Generation_Entsoe_SFS_2017!$D$1:$AL$1='Abgleich Generation'!L$77)*Generation_Entsoe_SFS_2017!$D$3:$AL$40)+SUMPRODUCT((Generation_Entsoe_SFS_2017!$A$3:$A$40='Abgleich Generation'!$A93)*(Generation_Entsoe_SFS_2017!$D$1:$AL$1='Abgleich Generation'!L$76)*Generation_Entsoe_SFS_2017!$D$3:$AL$40)</f>
        <v>#VALUE!</v>
      </c>
      <c r="M93" s="26" t="e">
        <f>SUMPRODUCT((Generation_Entsoe_SFS_2017!$A$3:$A$40='Abgleich Generation'!$A93)*(Generation_Entsoe_SFS_2017!$D$1:$AL$1='Abgleich Generation'!M$81)*Generation_Entsoe_SFS_2017!$D$3:$AL$40)+SUMPRODUCT((Generation_Entsoe_SFS_2017!$A$3:$A$40='Abgleich Generation'!$A93)*(Generation_Entsoe_SFS_2017!$D$1:$AL$1='Abgleich Generation'!M$80)*Generation_Entsoe_SFS_2017!$D$3:$AL$40)+SUMPRODUCT((Generation_Entsoe_SFS_2017!$A$3:$A$40='Abgleich Generation'!$A93)*(Generation_Entsoe_SFS_2017!$D$1:$AL$1='Abgleich Generation'!M$79)*Generation_Entsoe_SFS_2017!$D$3:$AL$40)+SUMPRODUCT((Generation_Entsoe_SFS_2017!$A$3:$A$40='Abgleich Generation'!$A93)*(Generation_Entsoe_SFS_2017!$D$1:$AL$1='Abgleich Generation'!M$78)*Generation_Entsoe_SFS_2017!$D$3:$AL$40)+SUMPRODUCT((Generation_Entsoe_SFS_2017!$A$3:$A$40='Abgleich Generation'!$A93)*(Generation_Entsoe_SFS_2017!$D$1:$AL$1='Abgleich Generation'!M$77)*Generation_Entsoe_SFS_2017!$D$3:$AL$40)+SUMPRODUCT((Generation_Entsoe_SFS_2017!$A$3:$A$40='Abgleich Generation'!$A93)*(Generation_Entsoe_SFS_2017!$D$1:$AL$1='Abgleich Generation'!M$76)*Generation_Entsoe_SFS_2017!$D$3:$AL$40)</f>
        <v>#VALUE!</v>
      </c>
      <c r="N93" s="26" t="e">
        <f>SUMPRODUCT((Generation_Entsoe_SFS_2017!$A$3:$A$40='Abgleich Generation'!$A93)*(Generation_Entsoe_SFS_2017!$D$1:$AL$1='Abgleich Generation'!N$81)*Generation_Entsoe_SFS_2017!$D$3:$AL$40)+SUMPRODUCT((Generation_Entsoe_SFS_2017!$A$3:$A$40='Abgleich Generation'!$A93)*(Generation_Entsoe_SFS_2017!$D$1:$AL$1='Abgleich Generation'!N$80)*Generation_Entsoe_SFS_2017!$D$3:$AL$40)+SUMPRODUCT((Generation_Entsoe_SFS_2017!$A$3:$A$40='Abgleich Generation'!$A93)*(Generation_Entsoe_SFS_2017!$D$1:$AL$1='Abgleich Generation'!N$79)*Generation_Entsoe_SFS_2017!$D$3:$AL$40)+SUMPRODUCT((Generation_Entsoe_SFS_2017!$A$3:$A$40='Abgleich Generation'!$A93)*(Generation_Entsoe_SFS_2017!$D$1:$AL$1='Abgleich Generation'!N$78)*Generation_Entsoe_SFS_2017!$D$3:$AL$40)+SUMPRODUCT((Generation_Entsoe_SFS_2017!$A$3:$A$40='Abgleich Generation'!$A93)*(Generation_Entsoe_SFS_2017!$D$1:$AL$1='Abgleich Generation'!N$77)*Generation_Entsoe_SFS_2017!$D$3:$AL$40)+SUMPRODUCT((Generation_Entsoe_SFS_2017!$A$3:$A$40='Abgleich Generation'!$A93)*(Generation_Entsoe_SFS_2017!$D$1:$AL$1='Abgleich Generation'!N$76)*Generation_Entsoe_SFS_2017!$D$3:$AL$40)</f>
        <v>#VALUE!</v>
      </c>
      <c r="O93" s="26" t="e">
        <f>SUMPRODUCT((Generation_Entsoe_SFS_2017!$A$3:$A$40='Abgleich Generation'!$A93)*(Generation_Entsoe_SFS_2017!$D$1:$AL$1='Abgleich Generation'!O$81)*Generation_Entsoe_SFS_2017!$D$3:$AL$40)+SUMPRODUCT((Generation_Entsoe_SFS_2017!$A$3:$A$40='Abgleich Generation'!$A93)*(Generation_Entsoe_SFS_2017!$D$1:$AL$1='Abgleich Generation'!O$80)*Generation_Entsoe_SFS_2017!$D$3:$AL$40)+SUMPRODUCT((Generation_Entsoe_SFS_2017!$A$3:$A$40='Abgleich Generation'!$A93)*(Generation_Entsoe_SFS_2017!$D$1:$AL$1='Abgleich Generation'!O$79)*Generation_Entsoe_SFS_2017!$D$3:$AL$40)+SUMPRODUCT((Generation_Entsoe_SFS_2017!$A$3:$A$40='Abgleich Generation'!$A93)*(Generation_Entsoe_SFS_2017!$D$1:$AL$1='Abgleich Generation'!O$78)*Generation_Entsoe_SFS_2017!$D$3:$AL$40)+SUMPRODUCT((Generation_Entsoe_SFS_2017!$A$3:$A$40='Abgleich Generation'!$A93)*(Generation_Entsoe_SFS_2017!$D$1:$AL$1='Abgleich Generation'!O$77)*Generation_Entsoe_SFS_2017!$D$3:$AL$40)+SUMPRODUCT((Generation_Entsoe_SFS_2017!$A$3:$A$40='Abgleich Generation'!$A93)*(Generation_Entsoe_SFS_2017!$D$1:$AL$1='Abgleich Generation'!O$76)*Generation_Entsoe_SFS_2017!$D$3:$AL$40)</f>
        <v>#VALUE!</v>
      </c>
      <c r="P93" s="26" t="e">
        <f>SUMPRODUCT((Generation_Entsoe_SFS_2017!$A$3:$A$40='Abgleich Generation'!$A93)*(Generation_Entsoe_SFS_2017!$D$1:$AL$1='Abgleich Generation'!P$81)*Generation_Entsoe_SFS_2017!$D$3:$AL$40)+SUMPRODUCT((Generation_Entsoe_SFS_2017!$A$3:$A$40='Abgleich Generation'!$A93)*(Generation_Entsoe_SFS_2017!$D$1:$AL$1='Abgleich Generation'!P$80)*Generation_Entsoe_SFS_2017!$D$3:$AL$40)+SUMPRODUCT((Generation_Entsoe_SFS_2017!$A$3:$A$40='Abgleich Generation'!$A93)*(Generation_Entsoe_SFS_2017!$D$1:$AL$1='Abgleich Generation'!P$79)*Generation_Entsoe_SFS_2017!$D$3:$AL$40)+SUMPRODUCT((Generation_Entsoe_SFS_2017!$A$3:$A$40='Abgleich Generation'!$A93)*(Generation_Entsoe_SFS_2017!$D$1:$AL$1='Abgleich Generation'!P$78)*Generation_Entsoe_SFS_2017!$D$3:$AL$40)+SUMPRODUCT((Generation_Entsoe_SFS_2017!$A$3:$A$40='Abgleich Generation'!$A93)*(Generation_Entsoe_SFS_2017!$D$1:$AL$1='Abgleich Generation'!P$77)*Generation_Entsoe_SFS_2017!$D$3:$AL$40)+SUMPRODUCT((Generation_Entsoe_SFS_2017!$A$3:$A$40='Abgleich Generation'!$A93)*(Generation_Entsoe_SFS_2017!$D$1:$AL$1='Abgleich Generation'!P$76)*Generation_Entsoe_SFS_2017!$D$3:$AL$40)</f>
        <v>#VALUE!</v>
      </c>
      <c r="Q93" s="26" t="e">
        <f>SUMPRODUCT((Generation_Entsoe_SFS_2017!$A$3:$A$40='Abgleich Generation'!$A93)*(Generation_Entsoe_SFS_2017!$D$1:$AL$1='Abgleich Generation'!Q$81)*Generation_Entsoe_SFS_2017!$D$3:$AL$40)+SUMPRODUCT((Generation_Entsoe_SFS_2017!$A$3:$A$40='Abgleich Generation'!$A93)*(Generation_Entsoe_SFS_2017!$D$1:$AL$1='Abgleich Generation'!Q$80)*Generation_Entsoe_SFS_2017!$D$3:$AL$40)+SUMPRODUCT((Generation_Entsoe_SFS_2017!$A$3:$A$40='Abgleich Generation'!$A93)*(Generation_Entsoe_SFS_2017!$D$1:$AL$1='Abgleich Generation'!Q$79)*Generation_Entsoe_SFS_2017!$D$3:$AL$40)+SUMPRODUCT((Generation_Entsoe_SFS_2017!$A$3:$A$40='Abgleich Generation'!$A93)*(Generation_Entsoe_SFS_2017!$D$1:$AL$1='Abgleich Generation'!Q$78)*Generation_Entsoe_SFS_2017!$D$3:$AL$40)+SUMPRODUCT((Generation_Entsoe_SFS_2017!$A$3:$A$40='Abgleich Generation'!$A93)*(Generation_Entsoe_SFS_2017!$D$1:$AL$1='Abgleich Generation'!Q$77)*Generation_Entsoe_SFS_2017!$D$3:$AL$40)+SUMPRODUCT((Generation_Entsoe_SFS_2017!$A$3:$A$40='Abgleich Generation'!$A93)*(Generation_Entsoe_SFS_2017!$D$1:$AL$1='Abgleich Generation'!Q$76)*Generation_Entsoe_SFS_2017!$D$3:$AL$40)</f>
        <v>#VALUE!</v>
      </c>
      <c r="R93" s="26" t="e">
        <f>SUMPRODUCT((Generation_Entsoe_SFS_2017!$A$3:$A$40='Abgleich Generation'!$A93)*(Generation_Entsoe_SFS_2017!$D$1:$AL$1='Abgleich Generation'!R$81)*Generation_Entsoe_SFS_2017!$D$3:$AL$40)+SUMPRODUCT((Generation_Entsoe_SFS_2017!$A$3:$A$40='Abgleich Generation'!$A93)*(Generation_Entsoe_SFS_2017!$D$1:$AL$1='Abgleich Generation'!R$80)*Generation_Entsoe_SFS_2017!$D$3:$AL$40)+SUMPRODUCT((Generation_Entsoe_SFS_2017!$A$3:$A$40='Abgleich Generation'!$A93)*(Generation_Entsoe_SFS_2017!$D$1:$AL$1='Abgleich Generation'!R$79)*Generation_Entsoe_SFS_2017!$D$3:$AL$40)+SUMPRODUCT((Generation_Entsoe_SFS_2017!$A$3:$A$40='Abgleich Generation'!$A93)*(Generation_Entsoe_SFS_2017!$D$1:$AL$1='Abgleich Generation'!R$78)*Generation_Entsoe_SFS_2017!$D$3:$AL$40)+SUMPRODUCT((Generation_Entsoe_SFS_2017!$A$3:$A$40='Abgleich Generation'!$A93)*(Generation_Entsoe_SFS_2017!$D$1:$AL$1='Abgleich Generation'!R$77)*Generation_Entsoe_SFS_2017!$D$3:$AL$40)+SUMPRODUCT((Generation_Entsoe_SFS_2017!$A$3:$A$40='Abgleich Generation'!$A93)*(Generation_Entsoe_SFS_2017!$D$1:$AL$1='Abgleich Generation'!R$76)*Generation_Entsoe_SFS_2017!$D$3:$AL$40)</f>
        <v>#VALUE!</v>
      </c>
      <c r="S93" s="26" t="e">
        <f>SUMPRODUCT((Generation_Entsoe_SFS_2017!$A$3:$A$40='Abgleich Generation'!$A93)*(Generation_Entsoe_SFS_2017!$D$1:$AL$1='Abgleich Generation'!S$81)*Generation_Entsoe_SFS_2017!$D$3:$AL$40)+SUMPRODUCT((Generation_Entsoe_SFS_2017!$A$3:$A$40='Abgleich Generation'!$A93)*(Generation_Entsoe_SFS_2017!$D$1:$AL$1='Abgleich Generation'!S$80)*Generation_Entsoe_SFS_2017!$D$3:$AL$40)+SUMPRODUCT((Generation_Entsoe_SFS_2017!$A$3:$A$40='Abgleich Generation'!$A93)*(Generation_Entsoe_SFS_2017!$D$1:$AL$1='Abgleich Generation'!S$79)*Generation_Entsoe_SFS_2017!$D$3:$AL$40)+SUMPRODUCT((Generation_Entsoe_SFS_2017!$A$3:$A$40='Abgleich Generation'!$A93)*(Generation_Entsoe_SFS_2017!$D$1:$AL$1='Abgleich Generation'!S$78)*Generation_Entsoe_SFS_2017!$D$3:$AL$40)+SUMPRODUCT((Generation_Entsoe_SFS_2017!$A$3:$A$40='Abgleich Generation'!$A93)*(Generation_Entsoe_SFS_2017!$D$1:$AL$1='Abgleich Generation'!S$77)*Generation_Entsoe_SFS_2017!$D$3:$AL$40)+SUMPRODUCT((Generation_Entsoe_SFS_2017!$A$3:$A$40='Abgleich Generation'!$A93)*(Generation_Entsoe_SFS_2017!$D$1:$AL$1='Abgleich Generation'!S$76)*Generation_Entsoe_SFS_2017!$D$3:$AL$40)</f>
        <v>#VALUE!</v>
      </c>
      <c r="T93" s="26" t="e">
        <f>SUMPRODUCT((Generation_Entsoe_SFS_2017!$A$3:$A$40='Abgleich Generation'!$A93)*(Generation_Entsoe_SFS_2017!$D$1:$AL$1='Abgleich Generation'!T$81)*Generation_Entsoe_SFS_2017!$D$3:$AL$40)+SUMPRODUCT((Generation_Entsoe_SFS_2017!$A$3:$A$40='Abgleich Generation'!$A93)*(Generation_Entsoe_SFS_2017!$D$1:$AL$1='Abgleich Generation'!T$80)*Generation_Entsoe_SFS_2017!$D$3:$AL$40)+SUMPRODUCT((Generation_Entsoe_SFS_2017!$A$3:$A$40='Abgleich Generation'!$A93)*(Generation_Entsoe_SFS_2017!$D$1:$AL$1='Abgleich Generation'!T$79)*Generation_Entsoe_SFS_2017!$D$3:$AL$40)+SUMPRODUCT((Generation_Entsoe_SFS_2017!$A$3:$A$40='Abgleich Generation'!$A93)*(Generation_Entsoe_SFS_2017!$D$1:$AL$1='Abgleich Generation'!T$78)*Generation_Entsoe_SFS_2017!$D$3:$AL$40)+SUMPRODUCT((Generation_Entsoe_SFS_2017!$A$3:$A$40='Abgleich Generation'!$A93)*(Generation_Entsoe_SFS_2017!$D$1:$AL$1='Abgleich Generation'!T$77)*Generation_Entsoe_SFS_2017!$D$3:$AL$40)+SUMPRODUCT((Generation_Entsoe_SFS_2017!$A$3:$A$40='Abgleich Generation'!$A93)*(Generation_Entsoe_SFS_2017!$D$1:$AL$1='Abgleich Generation'!T$76)*Generation_Entsoe_SFS_2017!$D$3:$AL$40)</f>
        <v>#VALUE!</v>
      </c>
      <c r="U93" s="26" t="e">
        <f>SUMPRODUCT((Generation_Entsoe_SFS_2017!$A$3:$A$40='Abgleich Generation'!$A93)*(Generation_Entsoe_SFS_2017!$D$1:$AL$1='Abgleich Generation'!U$81)*Generation_Entsoe_SFS_2017!$D$3:$AL$40)+SUMPRODUCT((Generation_Entsoe_SFS_2017!$A$3:$A$40='Abgleich Generation'!$A93)*(Generation_Entsoe_SFS_2017!$D$1:$AL$1='Abgleich Generation'!U$80)*Generation_Entsoe_SFS_2017!$D$3:$AL$40)+SUMPRODUCT((Generation_Entsoe_SFS_2017!$A$3:$A$40='Abgleich Generation'!$A93)*(Generation_Entsoe_SFS_2017!$D$1:$AL$1='Abgleich Generation'!U$79)*Generation_Entsoe_SFS_2017!$D$3:$AL$40)+SUMPRODUCT((Generation_Entsoe_SFS_2017!$A$3:$A$40='Abgleich Generation'!$A93)*(Generation_Entsoe_SFS_2017!$D$1:$AL$1='Abgleich Generation'!U$78)*Generation_Entsoe_SFS_2017!$D$3:$AL$40)+SUMPRODUCT((Generation_Entsoe_SFS_2017!$A$3:$A$40='Abgleich Generation'!$A93)*(Generation_Entsoe_SFS_2017!$D$1:$AL$1='Abgleich Generation'!U$77)*Generation_Entsoe_SFS_2017!$D$3:$AL$40)+SUMPRODUCT((Generation_Entsoe_SFS_2017!$A$3:$A$40='Abgleich Generation'!$A93)*(Generation_Entsoe_SFS_2017!$D$1:$AL$1='Abgleich Generation'!U$76)*Generation_Entsoe_SFS_2017!$D$3:$AL$40)</f>
        <v>#VALUE!</v>
      </c>
      <c r="V93" s="27" t="e">
        <f t="shared" si="63"/>
        <v>#VALUE!</v>
      </c>
      <c r="W93" s="28" t="e">
        <f>SUMPRODUCT((Generation_Entsoe_SFS_2017!$A$3:$A$40='Abgleich Generation'!$A93)*(Generation_Entsoe_SFS_2017!$D$1:$AL$1='Abgleich Generation'!W$81)*Generation_Entsoe_SFS_2017!$D$3:$AL$40)+SUMPRODUCT((Generation_Entsoe_SFS_2017!$A$3:$A$40='Abgleich Generation'!$A93)*(Generation_Entsoe_SFS_2017!$D$1:$AL$1='Abgleich Generation'!W$80)*Generation_Entsoe_SFS_2017!$D$3:$AL$40)+SUMPRODUCT((Generation_Entsoe_SFS_2017!$A$3:$A$40='Abgleich Generation'!$A93)*(Generation_Entsoe_SFS_2017!$D$1:$AL$1='Abgleich Generation'!W$79)*Generation_Entsoe_SFS_2017!$D$3:$AL$40)+SUMPRODUCT((Generation_Entsoe_SFS_2017!$A$3:$A$40='Abgleich Generation'!$A93)*(Generation_Entsoe_SFS_2017!$D$1:$AL$1='Abgleich Generation'!W$78)*Generation_Entsoe_SFS_2017!$D$3:$AL$40)+SUMPRODUCT((Generation_Entsoe_SFS_2017!$A$3:$A$40='Abgleich Generation'!$A93)*(Generation_Entsoe_SFS_2017!$D$1:$AL$1='Abgleich Generation'!W$77)*Generation_Entsoe_SFS_2017!$D$3:$AL$40)+SUMPRODUCT((Generation_Entsoe_SFS_2017!$A$3:$A$40='Abgleich Generation'!$A93)*(Generation_Entsoe_SFS_2017!$D$1:$AL$1='Abgleich Generation'!W$76)*Generation_Entsoe_SFS_2017!$D$3:$AL$40)</f>
        <v>#VALUE!</v>
      </c>
      <c r="X93" s="29" t="e">
        <f>SUMPRODUCT((Generation_Entsoe_SFS_2017!$A$3:$A$40='Abgleich Generation'!$A93)*(Generation_Entsoe_SFS_2017!$D$1:$AL$1='Abgleich Generation'!X$81)*Generation_Entsoe_SFS_2017!$D$3:$AL$40)+SUMPRODUCT((Generation_Entsoe_SFS_2017!$A$3:$A$40='Abgleich Generation'!$A93)*(Generation_Entsoe_SFS_2017!$D$1:$AL$1='Abgleich Generation'!X$80)*Generation_Entsoe_SFS_2017!$D$3:$AL$40)+SUMPRODUCT((Generation_Entsoe_SFS_2017!$A$3:$A$40='Abgleich Generation'!$A93)*(Generation_Entsoe_SFS_2017!$D$1:$AL$1='Abgleich Generation'!X$79)*Generation_Entsoe_SFS_2017!$D$3:$AL$40)+SUMPRODUCT((Generation_Entsoe_SFS_2017!$A$3:$A$40='Abgleich Generation'!$A93)*(Generation_Entsoe_SFS_2017!$D$1:$AL$1='Abgleich Generation'!X$78)*Generation_Entsoe_SFS_2017!$D$3:$AL$40)+SUMPRODUCT((Generation_Entsoe_SFS_2017!$A$3:$A$40='Abgleich Generation'!$A93)*(Generation_Entsoe_SFS_2017!$D$1:$AL$1='Abgleich Generation'!X$77)*Generation_Entsoe_SFS_2017!$D$3:$AL$40)+SUMPRODUCT((Generation_Entsoe_SFS_2017!$A$3:$A$40='Abgleich Generation'!$A93)*(Generation_Entsoe_SFS_2017!$D$1:$AL$1='Abgleich Generation'!X$76)*Generation_Entsoe_SFS_2017!$D$3:$AL$40)</f>
        <v>#VALUE!</v>
      </c>
      <c r="Y93" s="29" t="e">
        <f t="shared" si="64"/>
        <v>#VALUE!</v>
      </c>
    </row>
    <row r="94" spans="1:25" x14ac:dyDescent="0.25">
      <c r="A94" s="14" t="s">
        <v>20</v>
      </c>
      <c r="B94" s="57" t="e">
        <f t="shared" si="60"/>
        <v>#VALUE!</v>
      </c>
      <c r="C94" s="58" t="e">
        <f>SUMPRODUCT((Generation_Entsoe_SFS_2017!$A$3:$A$40='Abgleich Generation'!$A94)*(Generation_Entsoe_SFS_2017!$D$1:$AL$1='Abgleich Generation'!C$81)*Generation_Entsoe_SFS_2017!$D$3:$AL$40)+SUMPRODUCT((Generation_Entsoe_SFS_2017!$A$3:$A$40='Abgleich Generation'!$A94)*(Generation_Entsoe_SFS_2017!$D$1:$AL$1='Abgleich Generation'!C$80)*Generation_Entsoe_SFS_2017!$D$3:$AL$40)+SUMPRODUCT((Generation_Entsoe_SFS_2017!$A$3:$A$40='Abgleich Generation'!$A94)*(Generation_Entsoe_SFS_2017!$D$1:$AL$1='Abgleich Generation'!C$79)*Generation_Entsoe_SFS_2017!$D$3:$AL$40)+SUMPRODUCT((Generation_Entsoe_SFS_2017!$A$3:$A$40='Abgleich Generation'!$A94)*(Generation_Entsoe_SFS_2017!$D$1:$AL$1='Abgleich Generation'!C$78)*Generation_Entsoe_SFS_2017!$D$3:$AL$40)</f>
        <v>#VALUE!</v>
      </c>
      <c r="D94" s="58" t="e">
        <f t="shared" si="61"/>
        <v>#VALUE!</v>
      </c>
      <c r="E94" s="58" t="e">
        <f>SUMPRODUCT((Generation_Entsoe_SFS_2017!$A$3:$A$40='Abgleich Generation'!$A94)*(Generation_Entsoe_SFS_2017!$D$1:$AL$1='Abgleich Generation'!E$81)*Generation_Entsoe_SFS_2017!$D$3:$AL$40)+SUMPRODUCT((Generation_Entsoe_SFS_2017!$A$3:$A$40='Abgleich Generation'!$A94)*(Generation_Entsoe_SFS_2017!$D$1:$AL$1='Abgleich Generation'!E$80)*Generation_Entsoe_SFS_2017!$D$3:$AL$40)+SUMPRODUCT((Generation_Entsoe_SFS_2017!$A$3:$A$40='Abgleich Generation'!$A94)*(Generation_Entsoe_SFS_2017!$D$1:$AL$1='Abgleich Generation'!E$79)*Generation_Entsoe_SFS_2017!$D$3:$AL$40)+SUMPRODUCT((Generation_Entsoe_SFS_2017!$A$3:$A$40='Abgleich Generation'!$A94)*(Generation_Entsoe_SFS_2017!$D$1:$AL$1='Abgleich Generation'!E$78)*Generation_Entsoe_SFS_2017!$D$3:$AL$40)</f>
        <v>#VALUE!</v>
      </c>
      <c r="F94" s="58" t="e">
        <f>SUMPRODUCT((Generation_Entsoe_SFS_2017!$A$3:$A$40='Abgleich Generation'!$A94)*(Generation_Entsoe_SFS_2017!$D$1:$AL$1='Abgleich Generation'!F$81)*Generation_Entsoe_SFS_2017!$D$3:$AL$40)+SUMPRODUCT((Generation_Entsoe_SFS_2017!$A$3:$A$40='Abgleich Generation'!$A94)*(Generation_Entsoe_SFS_2017!$D$1:$AL$1='Abgleich Generation'!F$80)*Generation_Entsoe_SFS_2017!$D$3:$AL$40)+SUMPRODUCT((Generation_Entsoe_SFS_2017!$A$3:$A$40='Abgleich Generation'!$A94)*(Generation_Entsoe_SFS_2017!$D$1:$AL$1='Abgleich Generation'!F$79)*Generation_Entsoe_SFS_2017!$D$3:$AL$40)+SUMPRODUCT((Generation_Entsoe_SFS_2017!$A$3:$A$40='Abgleich Generation'!$A94)*(Generation_Entsoe_SFS_2017!$D$1:$AL$1='Abgleich Generation'!F$78)*Generation_Entsoe_SFS_2017!$D$3:$AL$40)</f>
        <v>#VALUE!</v>
      </c>
      <c r="G94" s="58" t="e">
        <f>SUMPRODUCT((Generation_Entsoe_SFS_2017!$A$3:$A$40='Abgleich Generation'!$A94)*(Generation_Entsoe_SFS_2017!$D$1:$AL$1='Abgleich Generation'!G$81)*Generation_Entsoe_SFS_2017!$D$3:$AL$40)+SUMPRODUCT((Generation_Entsoe_SFS_2017!$A$3:$A$40='Abgleich Generation'!$A94)*(Generation_Entsoe_SFS_2017!$D$1:$AL$1='Abgleich Generation'!G$80)*Generation_Entsoe_SFS_2017!$D$3:$AL$40)+SUMPRODUCT((Generation_Entsoe_SFS_2017!$A$3:$A$40='Abgleich Generation'!$A94)*(Generation_Entsoe_SFS_2017!$D$1:$AL$1='Abgleich Generation'!G$79)*Generation_Entsoe_SFS_2017!$D$3:$AL$40)+SUMPRODUCT((Generation_Entsoe_SFS_2017!$A$3:$A$40='Abgleich Generation'!$A94)*(Generation_Entsoe_SFS_2017!$D$1:$AL$1='Abgleich Generation'!G$78)*Generation_Entsoe_SFS_2017!$D$3:$AL$40)</f>
        <v>#VALUE!</v>
      </c>
      <c r="H94" s="58" t="e">
        <f>SUMPRODUCT((Generation_Entsoe_SFS_2017!$A$3:$A$40='Abgleich Generation'!$A94)*(Generation_Entsoe_SFS_2017!$D$1:$AL$1='Abgleich Generation'!H$81)*Generation_Entsoe_SFS_2017!$D$3:$AL$40)+SUMPRODUCT((Generation_Entsoe_SFS_2017!$A$3:$A$40='Abgleich Generation'!$A94)*(Generation_Entsoe_SFS_2017!$D$1:$AL$1='Abgleich Generation'!H$80)*Generation_Entsoe_SFS_2017!$D$3:$AL$40)+SUMPRODUCT((Generation_Entsoe_SFS_2017!$A$3:$A$40='Abgleich Generation'!$A94)*(Generation_Entsoe_SFS_2017!$D$1:$AL$1='Abgleich Generation'!H$79)*Generation_Entsoe_SFS_2017!$D$3:$AL$40)+SUMPRODUCT((Generation_Entsoe_SFS_2017!$A$3:$A$40='Abgleich Generation'!$A94)*(Generation_Entsoe_SFS_2017!$D$1:$AL$1='Abgleich Generation'!H$78)*Generation_Entsoe_SFS_2017!$D$3:$AL$40)</f>
        <v>#VALUE!</v>
      </c>
      <c r="I94" s="58" t="e">
        <f>SUMPRODUCT((Generation_Entsoe_SFS_2017!$A$3:$A$40='Abgleich Generation'!$A94)*(Generation_Entsoe_SFS_2017!$D$1:$AL$1='Abgleich Generation'!I$81)*Generation_Entsoe_SFS_2017!$D$3:$AL$40)+SUMPRODUCT((Generation_Entsoe_SFS_2017!$A$3:$A$40='Abgleich Generation'!$A94)*(Generation_Entsoe_SFS_2017!$D$1:$AL$1='Abgleich Generation'!I$80)*Generation_Entsoe_SFS_2017!$D$3:$AL$40)+SUMPRODUCT((Generation_Entsoe_SFS_2017!$A$3:$A$40='Abgleich Generation'!$A94)*(Generation_Entsoe_SFS_2017!$D$1:$AL$1='Abgleich Generation'!I$79)*Generation_Entsoe_SFS_2017!$D$3:$AL$40)+SUMPRODUCT((Generation_Entsoe_SFS_2017!$A$3:$A$40='Abgleich Generation'!$A94)*(Generation_Entsoe_SFS_2017!$D$1:$AL$1='Abgleich Generation'!I$78)*Generation_Entsoe_SFS_2017!$D$3:$AL$40)</f>
        <v>#VALUE!</v>
      </c>
      <c r="J94" s="58" t="e">
        <f>SUMPRODUCT((Generation_Entsoe_SFS_2017!$A$3:$A$40='Abgleich Generation'!$A94)*(Generation_Entsoe_SFS_2017!$D$1:$AL$1='Abgleich Generation'!J$81)*Generation_Entsoe_SFS_2017!$D$3:$AL$40)+SUMPRODUCT((Generation_Entsoe_SFS_2017!$A$3:$A$40='Abgleich Generation'!$A94)*(Generation_Entsoe_SFS_2017!$D$1:$AL$1='Abgleich Generation'!J$80)*Generation_Entsoe_SFS_2017!$D$3:$AL$40)+SUMPRODUCT((Generation_Entsoe_SFS_2017!$A$3:$A$40='Abgleich Generation'!$A94)*(Generation_Entsoe_SFS_2017!$D$1:$AL$1='Abgleich Generation'!J$79)*Generation_Entsoe_SFS_2017!$D$3:$AL$40)+SUMPRODUCT((Generation_Entsoe_SFS_2017!$A$3:$A$40='Abgleich Generation'!$A94)*(Generation_Entsoe_SFS_2017!$D$1:$AL$1='Abgleich Generation'!J$78)*Generation_Entsoe_SFS_2017!$D$3:$AL$40)</f>
        <v>#VALUE!</v>
      </c>
      <c r="K94" s="59" t="e">
        <f t="shared" si="62"/>
        <v>#VALUE!</v>
      </c>
      <c r="L94" s="58" t="e">
        <f>SUMPRODUCT((Generation_Entsoe_SFS_2017!$A$3:$A$40='Abgleich Generation'!$A94)*(Generation_Entsoe_SFS_2017!$D$1:$AL$1='Abgleich Generation'!L$81)*Generation_Entsoe_SFS_2017!$D$3:$AL$40)+SUMPRODUCT((Generation_Entsoe_SFS_2017!$A$3:$A$40='Abgleich Generation'!$A94)*(Generation_Entsoe_SFS_2017!$D$1:$AL$1='Abgleich Generation'!L$80)*Generation_Entsoe_SFS_2017!$D$3:$AL$40)+SUMPRODUCT((Generation_Entsoe_SFS_2017!$A$3:$A$40='Abgleich Generation'!$A94)*(Generation_Entsoe_SFS_2017!$D$1:$AL$1='Abgleich Generation'!L$79)*Generation_Entsoe_SFS_2017!$D$3:$AL$40)+SUMPRODUCT((Generation_Entsoe_SFS_2017!$A$3:$A$40='Abgleich Generation'!$A94)*(Generation_Entsoe_SFS_2017!$D$1:$AL$1='Abgleich Generation'!L$78)*Generation_Entsoe_SFS_2017!$D$3:$AL$40)+SUMPRODUCT((Generation_Entsoe_SFS_2017!$A$3:$A$40='Abgleich Generation'!$A94)*(Generation_Entsoe_SFS_2017!$D$1:$AL$1='Abgleich Generation'!L$77)*Generation_Entsoe_SFS_2017!$D$3:$AL$40)+SUMPRODUCT((Generation_Entsoe_SFS_2017!$A$3:$A$40='Abgleich Generation'!$A94)*(Generation_Entsoe_SFS_2017!$D$1:$AL$1='Abgleich Generation'!L$76)*Generation_Entsoe_SFS_2017!$D$3:$AL$40)</f>
        <v>#VALUE!</v>
      </c>
      <c r="M94" s="58" t="e">
        <f>SUMPRODUCT((Generation_Entsoe_SFS_2017!$A$3:$A$40='Abgleich Generation'!$A94)*(Generation_Entsoe_SFS_2017!$D$1:$AL$1='Abgleich Generation'!M$81)*Generation_Entsoe_SFS_2017!$D$3:$AL$40)+SUMPRODUCT((Generation_Entsoe_SFS_2017!$A$3:$A$40='Abgleich Generation'!$A94)*(Generation_Entsoe_SFS_2017!$D$1:$AL$1='Abgleich Generation'!M$80)*Generation_Entsoe_SFS_2017!$D$3:$AL$40)+SUMPRODUCT((Generation_Entsoe_SFS_2017!$A$3:$A$40='Abgleich Generation'!$A94)*(Generation_Entsoe_SFS_2017!$D$1:$AL$1='Abgleich Generation'!M$79)*Generation_Entsoe_SFS_2017!$D$3:$AL$40)+SUMPRODUCT((Generation_Entsoe_SFS_2017!$A$3:$A$40='Abgleich Generation'!$A94)*(Generation_Entsoe_SFS_2017!$D$1:$AL$1='Abgleich Generation'!M$78)*Generation_Entsoe_SFS_2017!$D$3:$AL$40)+SUMPRODUCT((Generation_Entsoe_SFS_2017!$A$3:$A$40='Abgleich Generation'!$A94)*(Generation_Entsoe_SFS_2017!$D$1:$AL$1='Abgleich Generation'!M$77)*Generation_Entsoe_SFS_2017!$D$3:$AL$40)+SUMPRODUCT((Generation_Entsoe_SFS_2017!$A$3:$A$40='Abgleich Generation'!$A94)*(Generation_Entsoe_SFS_2017!$D$1:$AL$1='Abgleich Generation'!M$76)*Generation_Entsoe_SFS_2017!$D$3:$AL$40)</f>
        <v>#VALUE!</v>
      </c>
      <c r="N94" s="58" t="e">
        <f>SUMPRODUCT((Generation_Entsoe_SFS_2017!$A$3:$A$40='Abgleich Generation'!$A94)*(Generation_Entsoe_SFS_2017!$D$1:$AL$1='Abgleich Generation'!N$81)*Generation_Entsoe_SFS_2017!$D$3:$AL$40)+SUMPRODUCT((Generation_Entsoe_SFS_2017!$A$3:$A$40='Abgleich Generation'!$A94)*(Generation_Entsoe_SFS_2017!$D$1:$AL$1='Abgleich Generation'!N$80)*Generation_Entsoe_SFS_2017!$D$3:$AL$40)+SUMPRODUCT((Generation_Entsoe_SFS_2017!$A$3:$A$40='Abgleich Generation'!$A94)*(Generation_Entsoe_SFS_2017!$D$1:$AL$1='Abgleich Generation'!N$79)*Generation_Entsoe_SFS_2017!$D$3:$AL$40)+SUMPRODUCT((Generation_Entsoe_SFS_2017!$A$3:$A$40='Abgleich Generation'!$A94)*(Generation_Entsoe_SFS_2017!$D$1:$AL$1='Abgleich Generation'!N$78)*Generation_Entsoe_SFS_2017!$D$3:$AL$40)+SUMPRODUCT((Generation_Entsoe_SFS_2017!$A$3:$A$40='Abgleich Generation'!$A94)*(Generation_Entsoe_SFS_2017!$D$1:$AL$1='Abgleich Generation'!N$77)*Generation_Entsoe_SFS_2017!$D$3:$AL$40)+SUMPRODUCT((Generation_Entsoe_SFS_2017!$A$3:$A$40='Abgleich Generation'!$A94)*(Generation_Entsoe_SFS_2017!$D$1:$AL$1='Abgleich Generation'!N$76)*Generation_Entsoe_SFS_2017!$D$3:$AL$40)</f>
        <v>#VALUE!</v>
      </c>
      <c r="O94" s="58" t="e">
        <f>SUMPRODUCT((Generation_Entsoe_SFS_2017!$A$3:$A$40='Abgleich Generation'!$A94)*(Generation_Entsoe_SFS_2017!$D$1:$AL$1='Abgleich Generation'!O$81)*Generation_Entsoe_SFS_2017!$D$3:$AL$40)+SUMPRODUCT((Generation_Entsoe_SFS_2017!$A$3:$A$40='Abgleich Generation'!$A94)*(Generation_Entsoe_SFS_2017!$D$1:$AL$1='Abgleich Generation'!O$80)*Generation_Entsoe_SFS_2017!$D$3:$AL$40)+SUMPRODUCT((Generation_Entsoe_SFS_2017!$A$3:$A$40='Abgleich Generation'!$A94)*(Generation_Entsoe_SFS_2017!$D$1:$AL$1='Abgleich Generation'!O$79)*Generation_Entsoe_SFS_2017!$D$3:$AL$40)+SUMPRODUCT((Generation_Entsoe_SFS_2017!$A$3:$A$40='Abgleich Generation'!$A94)*(Generation_Entsoe_SFS_2017!$D$1:$AL$1='Abgleich Generation'!O$78)*Generation_Entsoe_SFS_2017!$D$3:$AL$40)+SUMPRODUCT((Generation_Entsoe_SFS_2017!$A$3:$A$40='Abgleich Generation'!$A94)*(Generation_Entsoe_SFS_2017!$D$1:$AL$1='Abgleich Generation'!O$77)*Generation_Entsoe_SFS_2017!$D$3:$AL$40)+SUMPRODUCT((Generation_Entsoe_SFS_2017!$A$3:$A$40='Abgleich Generation'!$A94)*(Generation_Entsoe_SFS_2017!$D$1:$AL$1='Abgleich Generation'!O$76)*Generation_Entsoe_SFS_2017!$D$3:$AL$40)</f>
        <v>#VALUE!</v>
      </c>
      <c r="P94" s="58" t="e">
        <f>SUMPRODUCT((Generation_Entsoe_SFS_2017!$A$3:$A$40='Abgleich Generation'!$A94)*(Generation_Entsoe_SFS_2017!$D$1:$AL$1='Abgleich Generation'!P$81)*Generation_Entsoe_SFS_2017!$D$3:$AL$40)+SUMPRODUCT((Generation_Entsoe_SFS_2017!$A$3:$A$40='Abgleich Generation'!$A94)*(Generation_Entsoe_SFS_2017!$D$1:$AL$1='Abgleich Generation'!P$80)*Generation_Entsoe_SFS_2017!$D$3:$AL$40)+SUMPRODUCT((Generation_Entsoe_SFS_2017!$A$3:$A$40='Abgleich Generation'!$A94)*(Generation_Entsoe_SFS_2017!$D$1:$AL$1='Abgleich Generation'!P$79)*Generation_Entsoe_SFS_2017!$D$3:$AL$40)+SUMPRODUCT((Generation_Entsoe_SFS_2017!$A$3:$A$40='Abgleich Generation'!$A94)*(Generation_Entsoe_SFS_2017!$D$1:$AL$1='Abgleich Generation'!P$78)*Generation_Entsoe_SFS_2017!$D$3:$AL$40)+SUMPRODUCT((Generation_Entsoe_SFS_2017!$A$3:$A$40='Abgleich Generation'!$A94)*(Generation_Entsoe_SFS_2017!$D$1:$AL$1='Abgleich Generation'!P$77)*Generation_Entsoe_SFS_2017!$D$3:$AL$40)+SUMPRODUCT((Generation_Entsoe_SFS_2017!$A$3:$A$40='Abgleich Generation'!$A94)*(Generation_Entsoe_SFS_2017!$D$1:$AL$1='Abgleich Generation'!P$76)*Generation_Entsoe_SFS_2017!$D$3:$AL$40)</f>
        <v>#VALUE!</v>
      </c>
      <c r="Q94" s="58" t="e">
        <f>SUMPRODUCT((Generation_Entsoe_SFS_2017!$A$3:$A$40='Abgleich Generation'!$A94)*(Generation_Entsoe_SFS_2017!$D$1:$AL$1='Abgleich Generation'!Q$81)*Generation_Entsoe_SFS_2017!$D$3:$AL$40)+SUMPRODUCT((Generation_Entsoe_SFS_2017!$A$3:$A$40='Abgleich Generation'!$A94)*(Generation_Entsoe_SFS_2017!$D$1:$AL$1='Abgleich Generation'!Q$80)*Generation_Entsoe_SFS_2017!$D$3:$AL$40)+SUMPRODUCT((Generation_Entsoe_SFS_2017!$A$3:$A$40='Abgleich Generation'!$A94)*(Generation_Entsoe_SFS_2017!$D$1:$AL$1='Abgleich Generation'!Q$79)*Generation_Entsoe_SFS_2017!$D$3:$AL$40)+SUMPRODUCT((Generation_Entsoe_SFS_2017!$A$3:$A$40='Abgleich Generation'!$A94)*(Generation_Entsoe_SFS_2017!$D$1:$AL$1='Abgleich Generation'!Q$78)*Generation_Entsoe_SFS_2017!$D$3:$AL$40)+SUMPRODUCT((Generation_Entsoe_SFS_2017!$A$3:$A$40='Abgleich Generation'!$A94)*(Generation_Entsoe_SFS_2017!$D$1:$AL$1='Abgleich Generation'!Q$77)*Generation_Entsoe_SFS_2017!$D$3:$AL$40)+SUMPRODUCT((Generation_Entsoe_SFS_2017!$A$3:$A$40='Abgleich Generation'!$A94)*(Generation_Entsoe_SFS_2017!$D$1:$AL$1='Abgleich Generation'!Q$76)*Generation_Entsoe_SFS_2017!$D$3:$AL$40)</f>
        <v>#VALUE!</v>
      </c>
      <c r="R94" s="58" t="e">
        <f>SUMPRODUCT((Generation_Entsoe_SFS_2017!$A$3:$A$40='Abgleich Generation'!$A94)*(Generation_Entsoe_SFS_2017!$D$1:$AL$1='Abgleich Generation'!R$81)*Generation_Entsoe_SFS_2017!$D$3:$AL$40)+SUMPRODUCT((Generation_Entsoe_SFS_2017!$A$3:$A$40='Abgleich Generation'!$A94)*(Generation_Entsoe_SFS_2017!$D$1:$AL$1='Abgleich Generation'!R$80)*Generation_Entsoe_SFS_2017!$D$3:$AL$40)+SUMPRODUCT((Generation_Entsoe_SFS_2017!$A$3:$A$40='Abgleich Generation'!$A94)*(Generation_Entsoe_SFS_2017!$D$1:$AL$1='Abgleich Generation'!R$79)*Generation_Entsoe_SFS_2017!$D$3:$AL$40)+SUMPRODUCT((Generation_Entsoe_SFS_2017!$A$3:$A$40='Abgleich Generation'!$A94)*(Generation_Entsoe_SFS_2017!$D$1:$AL$1='Abgleich Generation'!R$78)*Generation_Entsoe_SFS_2017!$D$3:$AL$40)+SUMPRODUCT((Generation_Entsoe_SFS_2017!$A$3:$A$40='Abgleich Generation'!$A94)*(Generation_Entsoe_SFS_2017!$D$1:$AL$1='Abgleich Generation'!R$77)*Generation_Entsoe_SFS_2017!$D$3:$AL$40)+SUMPRODUCT((Generation_Entsoe_SFS_2017!$A$3:$A$40='Abgleich Generation'!$A94)*(Generation_Entsoe_SFS_2017!$D$1:$AL$1='Abgleich Generation'!R$76)*Generation_Entsoe_SFS_2017!$D$3:$AL$40)</f>
        <v>#VALUE!</v>
      </c>
      <c r="S94" s="58" t="e">
        <f>SUMPRODUCT((Generation_Entsoe_SFS_2017!$A$3:$A$40='Abgleich Generation'!$A94)*(Generation_Entsoe_SFS_2017!$D$1:$AL$1='Abgleich Generation'!S$81)*Generation_Entsoe_SFS_2017!$D$3:$AL$40)+SUMPRODUCT((Generation_Entsoe_SFS_2017!$A$3:$A$40='Abgleich Generation'!$A94)*(Generation_Entsoe_SFS_2017!$D$1:$AL$1='Abgleich Generation'!S$80)*Generation_Entsoe_SFS_2017!$D$3:$AL$40)+SUMPRODUCT((Generation_Entsoe_SFS_2017!$A$3:$A$40='Abgleich Generation'!$A94)*(Generation_Entsoe_SFS_2017!$D$1:$AL$1='Abgleich Generation'!S$79)*Generation_Entsoe_SFS_2017!$D$3:$AL$40)+SUMPRODUCT((Generation_Entsoe_SFS_2017!$A$3:$A$40='Abgleich Generation'!$A94)*(Generation_Entsoe_SFS_2017!$D$1:$AL$1='Abgleich Generation'!S$78)*Generation_Entsoe_SFS_2017!$D$3:$AL$40)+SUMPRODUCT((Generation_Entsoe_SFS_2017!$A$3:$A$40='Abgleich Generation'!$A94)*(Generation_Entsoe_SFS_2017!$D$1:$AL$1='Abgleich Generation'!S$77)*Generation_Entsoe_SFS_2017!$D$3:$AL$40)+SUMPRODUCT((Generation_Entsoe_SFS_2017!$A$3:$A$40='Abgleich Generation'!$A94)*(Generation_Entsoe_SFS_2017!$D$1:$AL$1='Abgleich Generation'!S$76)*Generation_Entsoe_SFS_2017!$D$3:$AL$40)</f>
        <v>#VALUE!</v>
      </c>
      <c r="T94" s="58" t="e">
        <f>SUMPRODUCT((Generation_Entsoe_SFS_2017!$A$3:$A$40='Abgleich Generation'!$A94)*(Generation_Entsoe_SFS_2017!$D$1:$AL$1='Abgleich Generation'!T$81)*Generation_Entsoe_SFS_2017!$D$3:$AL$40)+SUMPRODUCT((Generation_Entsoe_SFS_2017!$A$3:$A$40='Abgleich Generation'!$A94)*(Generation_Entsoe_SFS_2017!$D$1:$AL$1='Abgleich Generation'!T$80)*Generation_Entsoe_SFS_2017!$D$3:$AL$40)+SUMPRODUCT((Generation_Entsoe_SFS_2017!$A$3:$A$40='Abgleich Generation'!$A94)*(Generation_Entsoe_SFS_2017!$D$1:$AL$1='Abgleich Generation'!T$79)*Generation_Entsoe_SFS_2017!$D$3:$AL$40)+SUMPRODUCT((Generation_Entsoe_SFS_2017!$A$3:$A$40='Abgleich Generation'!$A94)*(Generation_Entsoe_SFS_2017!$D$1:$AL$1='Abgleich Generation'!T$78)*Generation_Entsoe_SFS_2017!$D$3:$AL$40)+SUMPRODUCT((Generation_Entsoe_SFS_2017!$A$3:$A$40='Abgleich Generation'!$A94)*(Generation_Entsoe_SFS_2017!$D$1:$AL$1='Abgleich Generation'!T$77)*Generation_Entsoe_SFS_2017!$D$3:$AL$40)+SUMPRODUCT((Generation_Entsoe_SFS_2017!$A$3:$A$40='Abgleich Generation'!$A94)*(Generation_Entsoe_SFS_2017!$D$1:$AL$1='Abgleich Generation'!T$76)*Generation_Entsoe_SFS_2017!$D$3:$AL$40)</f>
        <v>#VALUE!</v>
      </c>
      <c r="U94" s="58" t="e">
        <f>SUMPRODUCT((Generation_Entsoe_SFS_2017!$A$3:$A$40='Abgleich Generation'!$A94)*(Generation_Entsoe_SFS_2017!$D$1:$AL$1='Abgleich Generation'!U$81)*Generation_Entsoe_SFS_2017!$D$3:$AL$40)+SUMPRODUCT((Generation_Entsoe_SFS_2017!$A$3:$A$40='Abgleich Generation'!$A94)*(Generation_Entsoe_SFS_2017!$D$1:$AL$1='Abgleich Generation'!U$80)*Generation_Entsoe_SFS_2017!$D$3:$AL$40)+SUMPRODUCT((Generation_Entsoe_SFS_2017!$A$3:$A$40='Abgleich Generation'!$A94)*(Generation_Entsoe_SFS_2017!$D$1:$AL$1='Abgleich Generation'!U$79)*Generation_Entsoe_SFS_2017!$D$3:$AL$40)+SUMPRODUCT((Generation_Entsoe_SFS_2017!$A$3:$A$40='Abgleich Generation'!$A94)*(Generation_Entsoe_SFS_2017!$D$1:$AL$1='Abgleich Generation'!U$78)*Generation_Entsoe_SFS_2017!$D$3:$AL$40)+SUMPRODUCT((Generation_Entsoe_SFS_2017!$A$3:$A$40='Abgleich Generation'!$A94)*(Generation_Entsoe_SFS_2017!$D$1:$AL$1='Abgleich Generation'!U$77)*Generation_Entsoe_SFS_2017!$D$3:$AL$40)+SUMPRODUCT((Generation_Entsoe_SFS_2017!$A$3:$A$40='Abgleich Generation'!$A94)*(Generation_Entsoe_SFS_2017!$D$1:$AL$1='Abgleich Generation'!U$76)*Generation_Entsoe_SFS_2017!$D$3:$AL$40)</f>
        <v>#VALUE!</v>
      </c>
      <c r="V94" s="59" t="e">
        <f t="shared" si="63"/>
        <v>#VALUE!</v>
      </c>
      <c r="W94" s="60" t="e">
        <f>SUMPRODUCT((Generation_Entsoe_SFS_2017!$A$3:$A$40='Abgleich Generation'!$A94)*(Generation_Entsoe_SFS_2017!$D$1:$AL$1='Abgleich Generation'!W$81)*Generation_Entsoe_SFS_2017!$D$3:$AL$40)+SUMPRODUCT((Generation_Entsoe_SFS_2017!$A$3:$A$40='Abgleich Generation'!$A94)*(Generation_Entsoe_SFS_2017!$D$1:$AL$1='Abgleich Generation'!W$80)*Generation_Entsoe_SFS_2017!$D$3:$AL$40)+SUMPRODUCT((Generation_Entsoe_SFS_2017!$A$3:$A$40='Abgleich Generation'!$A94)*(Generation_Entsoe_SFS_2017!$D$1:$AL$1='Abgleich Generation'!W$79)*Generation_Entsoe_SFS_2017!$D$3:$AL$40)+SUMPRODUCT((Generation_Entsoe_SFS_2017!$A$3:$A$40='Abgleich Generation'!$A94)*(Generation_Entsoe_SFS_2017!$D$1:$AL$1='Abgleich Generation'!W$78)*Generation_Entsoe_SFS_2017!$D$3:$AL$40)+SUMPRODUCT((Generation_Entsoe_SFS_2017!$A$3:$A$40='Abgleich Generation'!$A94)*(Generation_Entsoe_SFS_2017!$D$1:$AL$1='Abgleich Generation'!W$77)*Generation_Entsoe_SFS_2017!$D$3:$AL$40)+SUMPRODUCT((Generation_Entsoe_SFS_2017!$A$3:$A$40='Abgleich Generation'!$A94)*(Generation_Entsoe_SFS_2017!$D$1:$AL$1='Abgleich Generation'!W$76)*Generation_Entsoe_SFS_2017!$D$3:$AL$40)</f>
        <v>#VALUE!</v>
      </c>
      <c r="X94" s="61" t="e">
        <f>SUMPRODUCT((Generation_Entsoe_SFS_2017!$A$3:$A$40='Abgleich Generation'!$A94)*(Generation_Entsoe_SFS_2017!$D$1:$AL$1='Abgleich Generation'!X$81)*Generation_Entsoe_SFS_2017!$D$3:$AL$40)+SUMPRODUCT((Generation_Entsoe_SFS_2017!$A$3:$A$40='Abgleich Generation'!$A94)*(Generation_Entsoe_SFS_2017!$D$1:$AL$1='Abgleich Generation'!X$80)*Generation_Entsoe_SFS_2017!$D$3:$AL$40)+SUMPRODUCT((Generation_Entsoe_SFS_2017!$A$3:$A$40='Abgleich Generation'!$A94)*(Generation_Entsoe_SFS_2017!$D$1:$AL$1='Abgleich Generation'!X$79)*Generation_Entsoe_SFS_2017!$D$3:$AL$40)+SUMPRODUCT((Generation_Entsoe_SFS_2017!$A$3:$A$40='Abgleich Generation'!$A94)*(Generation_Entsoe_SFS_2017!$D$1:$AL$1='Abgleich Generation'!X$78)*Generation_Entsoe_SFS_2017!$D$3:$AL$40)+SUMPRODUCT((Generation_Entsoe_SFS_2017!$A$3:$A$40='Abgleich Generation'!$A94)*(Generation_Entsoe_SFS_2017!$D$1:$AL$1='Abgleich Generation'!X$77)*Generation_Entsoe_SFS_2017!$D$3:$AL$40)+SUMPRODUCT((Generation_Entsoe_SFS_2017!$A$3:$A$40='Abgleich Generation'!$A94)*(Generation_Entsoe_SFS_2017!$D$1:$AL$1='Abgleich Generation'!X$76)*Generation_Entsoe_SFS_2017!$D$3:$AL$40)</f>
        <v>#VALUE!</v>
      </c>
      <c r="Y94" s="61" t="e">
        <f t="shared" si="64"/>
        <v>#VALUE!</v>
      </c>
    </row>
    <row r="95" spans="1:25" x14ac:dyDescent="0.25">
      <c r="A95" s="14" t="s">
        <v>21</v>
      </c>
      <c r="B95" s="25" t="e">
        <f t="shared" si="60"/>
        <v>#VALUE!</v>
      </c>
      <c r="C95" s="26" t="e">
        <f>SUMPRODUCT((Generation_Entsoe_SFS_2017!$A$3:$A$40='Abgleich Generation'!$A95)*(Generation_Entsoe_SFS_2017!$D$1:$AL$1='Abgleich Generation'!C$81)*Generation_Entsoe_SFS_2017!$D$3:$AL$40)+SUMPRODUCT((Generation_Entsoe_SFS_2017!$A$3:$A$40='Abgleich Generation'!$A95)*(Generation_Entsoe_SFS_2017!$D$1:$AL$1='Abgleich Generation'!C$80)*Generation_Entsoe_SFS_2017!$D$3:$AL$40)+SUMPRODUCT((Generation_Entsoe_SFS_2017!$A$3:$A$40='Abgleich Generation'!$A95)*(Generation_Entsoe_SFS_2017!$D$1:$AL$1='Abgleich Generation'!C$79)*Generation_Entsoe_SFS_2017!$D$3:$AL$40)+SUMPRODUCT((Generation_Entsoe_SFS_2017!$A$3:$A$40='Abgleich Generation'!$A95)*(Generation_Entsoe_SFS_2017!$D$1:$AL$1='Abgleich Generation'!C$78)*Generation_Entsoe_SFS_2017!$D$3:$AL$40)</f>
        <v>#VALUE!</v>
      </c>
      <c r="D95" s="26" t="e">
        <f t="shared" si="61"/>
        <v>#VALUE!</v>
      </c>
      <c r="E95" s="26" t="e">
        <f>SUMPRODUCT((Generation_Entsoe_SFS_2017!$A$3:$A$40='Abgleich Generation'!$A95)*(Generation_Entsoe_SFS_2017!$D$1:$AL$1='Abgleich Generation'!E$81)*Generation_Entsoe_SFS_2017!$D$3:$AL$40)+SUMPRODUCT((Generation_Entsoe_SFS_2017!$A$3:$A$40='Abgleich Generation'!$A95)*(Generation_Entsoe_SFS_2017!$D$1:$AL$1='Abgleich Generation'!E$80)*Generation_Entsoe_SFS_2017!$D$3:$AL$40)+SUMPRODUCT((Generation_Entsoe_SFS_2017!$A$3:$A$40='Abgleich Generation'!$A95)*(Generation_Entsoe_SFS_2017!$D$1:$AL$1='Abgleich Generation'!E$79)*Generation_Entsoe_SFS_2017!$D$3:$AL$40)+SUMPRODUCT((Generation_Entsoe_SFS_2017!$A$3:$A$40='Abgleich Generation'!$A95)*(Generation_Entsoe_SFS_2017!$D$1:$AL$1='Abgleich Generation'!E$78)*Generation_Entsoe_SFS_2017!$D$3:$AL$40)</f>
        <v>#VALUE!</v>
      </c>
      <c r="F95" s="26" t="e">
        <f>SUMPRODUCT((Generation_Entsoe_SFS_2017!$A$3:$A$40='Abgleich Generation'!$A95)*(Generation_Entsoe_SFS_2017!$D$1:$AL$1='Abgleich Generation'!F$81)*Generation_Entsoe_SFS_2017!$D$3:$AL$40)+SUMPRODUCT((Generation_Entsoe_SFS_2017!$A$3:$A$40='Abgleich Generation'!$A95)*(Generation_Entsoe_SFS_2017!$D$1:$AL$1='Abgleich Generation'!F$80)*Generation_Entsoe_SFS_2017!$D$3:$AL$40)+SUMPRODUCT((Generation_Entsoe_SFS_2017!$A$3:$A$40='Abgleich Generation'!$A95)*(Generation_Entsoe_SFS_2017!$D$1:$AL$1='Abgleich Generation'!F$79)*Generation_Entsoe_SFS_2017!$D$3:$AL$40)+SUMPRODUCT((Generation_Entsoe_SFS_2017!$A$3:$A$40='Abgleich Generation'!$A95)*(Generation_Entsoe_SFS_2017!$D$1:$AL$1='Abgleich Generation'!F$78)*Generation_Entsoe_SFS_2017!$D$3:$AL$40)</f>
        <v>#VALUE!</v>
      </c>
      <c r="G95" s="26" t="e">
        <f>SUMPRODUCT((Generation_Entsoe_SFS_2017!$A$3:$A$40='Abgleich Generation'!$A95)*(Generation_Entsoe_SFS_2017!$D$1:$AL$1='Abgleich Generation'!G$81)*Generation_Entsoe_SFS_2017!$D$3:$AL$40)+SUMPRODUCT((Generation_Entsoe_SFS_2017!$A$3:$A$40='Abgleich Generation'!$A95)*(Generation_Entsoe_SFS_2017!$D$1:$AL$1='Abgleich Generation'!G$80)*Generation_Entsoe_SFS_2017!$D$3:$AL$40)+SUMPRODUCT((Generation_Entsoe_SFS_2017!$A$3:$A$40='Abgleich Generation'!$A95)*(Generation_Entsoe_SFS_2017!$D$1:$AL$1='Abgleich Generation'!G$79)*Generation_Entsoe_SFS_2017!$D$3:$AL$40)+SUMPRODUCT((Generation_Entsoe_SFS_2017!$A$3:$A$40='Abgleich Generation'!$A95)*(Generation_Entsoe_SFS_2017!$D$1:$AL$1='Abgleich Generation'!G$78)*Generation_Entsoe_SFS_2017!$D$3:$AL$40)</f>
        <v>#VALUE!</v>
      </c>
      <c r="H95" s="26" t="e">
        <f>SUMPRODUCT((Generation_Entsoe_SFS_2017!$A$3:$A$40='Abgleich Generation'!$A95)*(Generation_Entsoe_SFS_2017!$D$1:$AL$1='Abgleich Generation'!H$81)*Generation_Entsoe_SFS_2017!$D$3:$AL$40)+SUMPRODUCT((Generation_Entsoe_SFS_2017!$A$3:$A$40='Abgleich Generation'!$A95)*(Generation_Entsoe_SFS_2017!$D$1:$AL$1='Abgleich Generation'!H$80)*Generation_Entsoe_SFS_2017!$D$3:$AL$40)+SUMPRODUCT((Generation_Entsoe_SFS_2017!$A$3:$A$40='Abgleich Generation'!$A95)*(Generation_Entsoe_SFS_2017!$D$1:$AL$1='Abgleich Generation'!H$79)*Generation_Entsoe_SFS_2017!$D$3:$AL$40)+SUMPRODUCT((Generation_Entsoe_SFS_2017!$A$3:$A$40='Abgleich Generation'!$A95)*(Generation_Entsoe_SFS_2017!$D$1:$AL$1='Abgleich Generation'!H$78)*Generation_Entsoe_SFS_2017!$D$3:$AL$40)</f>
        <v>#VALUE!</v>
      </c>
      <c r="I95" s="26" t="e">
        <f>SUMPRODUCT((Generation_Entsoe_SFS_2017!$A$3:$A$40='Abgleich Generation'!$A95)*(Generation_Entsoe_SFS_2017!$D$1:$AL$1='Abgleich Generation'!I$81)*Generation_Entsoe_SFS_2017!$D$3:$AL$40)+SUMPRODUCT((Generation_Entsoe_SFS_2017!$A$3:$A$40='Abgleich Generation'!$A95)*(Generation_Entsoe_SFS_2017!$D$1:$AL$1='Abgleich Generation'!I$80)*Generation_Entsoe_SFS_2017!$D$3:$AL$40)+SUMPRODUCT((Generation_Entsoe_SFS_2017!$A$3:$A$40='Abgleich Generation'!$A95)*(Generation_Entsoe_SFS_2017!$D$1:$AL$1='Abgleich Generation'!I$79)*Generation_Entsoe_SFS_2017!$D$3:$AL$40)+SUMPRODUCT((Generation_Entsoe_SFS_2017!$A$3:$A$40='Abgleich Generation'!$A95)*(Generation_Entsoe_SFS_2017!$D$1:$AL$1='Abgleich Generation'!I$78)*Generation_Entsoe_SFS_2017!$D$3:$AL$40)</f>
        <v>#VALUE!</v>
      </c>
      <c r="J95" s="26" t="e">
        <f>SUMPRODUCT((Generation_Entsoe_SFS_2017!$A$3:$A$40='Abgleich Generation'!$A95)*(Generation_Entsoe_SFS_2017!$D$1:$AL$1='Abgleich Generation'!J$81)*Generation_Entsoe_SFS_2017!$D$3:$AL$40)+SUMPRODUCT((Generation_Entsoe_SFS_2017!$A$3:$A$40='Abgleich Generation'!$A95)*(Generation_Entsoe_SFS_2017!$D$1:$AL$1='Abgleich Generation'!J$80)*Generation_Entsoe_SFS_2017!$D$3:$AL$40)+SUMPRODUCT((Generation_Entsoe_SFS_2017!$A$3:$A$40='Abgleich Generation'!$A95)*(Generation_Entsoe_SFS_2017!$D$1:$AL$1='Abgleich Generation'!J$79)*Generation_Entsoe_SFS_2017!$D$3:$AL$40)+SUMPRODUCT((Generation_Entsoe_SFS_2017!$A$3:$A$40='Abgleich Generation'!$A95)*(Generation_Entsoe_SFS_2017!$D$1:$AL$1='Abgleich Generation'!J$78)*Generation_Entsoe_SFS_2017!$D$3:$AL$40)</f>
        <v>#VALUE!</v>
      </c>
      <c r="K95" s="27" t="e">
        <f t="shared" si="62"/>
        <v>#VALUE!</v>
      </c>
      <c r="L95" s="26" t="e">
        <f>SUMPRODUCT((Generation_Entsoe_SFS_2017!$A$3:$A$40='Abgleich Generation'!$A95)*(Generation_Entsoe_SFS_2017!$D$1:$AL$1='Abgleich Generation'!L$81)*Generation_Entsoe_SFS_2017!$D$3:$AL$40)+SUMPRODUCT((Generation_Entsoe_SFS_2017!$A$3:$A$40='Abgleich Generation'!$A95)*(Generation_Entsoe_SFS_2017!$D$1:$AL$1='Abgleich Generation'!L$80)*Generation_Entsoe_SFS_2017!$D$3:$AL$40)+SUMPRODUCT((Generation_Entsoe_SFS_2017!$A$3:$A$40='Abgleich Generation'!$A95)*(Generation_Entsoe_SFS_2017!$D$1:$AL$1='Abgleich Generation'!L$79)*Generation_Entsoe_SFS_2017!$D$3:$AL$40)+SUMPRODUCT((Generation_Entsoe_SFS_2017!$A$3:$A$40='Abgleich Generation'!$A95)*(Generation_Entsoe_SFS_2017!$D$1:$AL$1='Abgleich Generation'!L$78)*Generation_Entsoe_SFS_2017!$D$3:$AL$40)+SUMPRODUCT((Generation_Entsoe_SFS_2017!$A$3:$A$40='Abgleich Generation'!$A95)*(Generation_Entsoe_SFS_2017!$D$1:$AL$1='Abgleich Generation'!L$77)*Generation_Entsoe_SFS_2017!$D$3:$AL$40)+SUMPRODUCT((Generation_Entsoe_SFS_2017!$A$3:$A$40='Abgleich Generation'!$A95)*(Generation_Entsoe_SFS_2017!$D$1:$AL$1='Abgleich Generation'!L$76)*Generation_Entsoe_SFS_2017!$D$3:$AL$40)</f>
        <v>#VALUE!</v>
      </c>
      <c r="M95" s="26" t="e">
        <f>SUMPRODUCT((Generation_Entsoe_SFS_2017!$A$3:$A$40='Abgleich Generation'!$A95)*(Generation_Entsoe_SFS_2017!$D$1:$AL$1='Abgleich Generation'!M$81)*Generation_Entsoe_SFS_2017!$D$3:$AL$40)+SUMPRODUCT((Generation_Entsoe_SFS_2017!$A$3:$A$40='Abgleich Generation'!$A95)*(Generation_Entsoe_SFS_2017!$D$1:$AL$1='Abgleich Generation'!M$80)*Generation_Entsoe_SFS_2017!$D$3:$AL$40)+SUMPRODUCT((Generation_Entsoe_SFS_2017!$A$3:$A$40='Abgleich Generation'!$A95)*(Generation_Entsoe_SFS_2017!$D$1:$AL$1='Abgleich Generation'!M$79)*Generation_Entsoe_SFS_2017!$D$3:$AL$40)+SUMPRODUCT((Generation_Entsoe_SFS_2017!$A$3:$A$40='Abgleich Generation'!$A95)*(Generation_Entsoe_SFS_2017!$D$1:$AL$1='Abgleich Generation'!M$78)*Generation_Entsoe_SFS_2017!$D$3:$AL$40)+SUMPRODUCT((Generation_Entsoe_SFS_2017!$A$3:$A$40='Abgleich Generation'!$A95)*(Generation_Entsoe_SFS_2017!$D$1:$AL$1='Abgleich Generation'!M$77)*Generation_Entsoe_SFS_2017!$D$3:$AL$40)+SUMPRODUCT((Generation_Entsoe_SFS_2017!$A$3:$A$40='Abgleich Generation'!$A95)*(Generation_Entsoe_SFS_2017!$D$1:$AL$1='Abgleich Generation'!M$76)*Generation_Entsoe_SFS_2017!$D$3:$AL$40)</f>
        <v>#VALUE!</v>
      </c>
      <c r="N95" s="26" t="e">
        <f>SUMPRODUCT((Generation_Entsoe_SFS_2017!$A$3:$A$40='Abgleich Generation'!$A95)*(Generation_Entsoe_SFS_2017!$D$1:$AL$1='Abgleich Generation'!N$81)*Generation_Entsoe_SFS_2017!$D$3:$AL$40)+SUMPRODUCT((Generation_Entsoe_SFS_2017!$A$3:$A$40='Abgleich Generation'!$A95)*(Generation_Entsoe_SFS_2017!$D$1:$AL$1='Abgleich Generation'!N$80)*Generation_Entsoe_SFS_2017!$D$3:$AL$40)+SUMPRODUCT((Generation_Entsoe_SFS_2017!$A$3:$A$40='Abgleich Generation'!$A95)*(Generation_Entsoe_SFS_2017!$D$1:$AL$1='Abgleich Generation'!N$79)*Generation_Entsoe_SFS_2017!$D$3:$AL$40)+SUMPRODUCT((Generation_Entsoe_SFS_2017!$A$3:$A$40='Abgleich Generation'!$A95)*(Generation_Entsoe_SFS_2017!$D$1:$AL$1='Abgleich Generation'!N$78)*Generation_Entsoe_SFS_2017!$D$3:$AL$40)+SUMPRODUCT((Generation_Entsoe_SFS_2017!$A$3:$A$40='Abgleich Generation'!$A95)*(Generation_Entsoe_SFS_2017!$D$1:$AL$1='Abgleich Generation'!N$77)*Generation_Entsoe_SFS_2017!$D$3:$AL$40)+SUMPRODUCT((Generation_Entsoe_SFS_2017!$A$3:$A$40='Abgleich Generation'!$A95)*(Generation_Entsoe_SFS_2017!$D$1:$AL$1='Abgleich Generation'!N$76)*Generation_Entsoe_SFS_2017!$D$3:$AL$40)</f>
        <v>#VALUE!</v>
      </c>
      <c r="O95" s="26" t="e">
        <f>SUMPRODUCT((Generation_Entsoe_SFS_2017!$A$3:$A$40='Abgleich Generation'!$A95)*(Generation_Entsoe_SFS_2017!$D$1:$AL$1='Abgleich Generation'!O$81)*Generation_Entsoe_SFS_2017!$D$3:$AL$40)+SUMPRODUCT((Generation_Entsoe_SFS_2017!$A$3:$A$40='Abgleich Generation'!$A95)*(Generation_Entsoe_SFS_2017!$D$1:$AL$1='Abgleich Generation'!O$80)*Generation_Entsoe_SFS_2017!$D$3:$AL$40)+SUMPRODUCT((Generation_Entsoe_SFS_2017!$A$3:$A$40='Abgleich Generation'!$A95)*(Generation_Entsoe_SFS_2017!$D$1:$AL$1='Abgleich Generation'!O$79)*Generation_Entsoe_SFS_2017!$D$3:$AL$40)+SUMPRODUCT((Generation_Entsoe_SFS_2017!$A$3:$A$40='Abgleich Generation'!$A95)*(Generation_Entsoe_SFS_2017!$D$1:$AL$1='Abgleich Generation'!O$78)*Generation_Entsoe_SFS_2017!$D$3:$AL$40)+SUMPRODUCT((Generation_Entsoe_SFS_2017!$A$3:$A$40='Abgleich Generation'!$A95)*(Generation_Entsoe_SFS_2017!$D$1:$AL$1='Abgleich Generation'!O$77)*Generation_Entsoe_SFS_2017!$D$3:$AL$40)+SUMPRODUCT((Generation_Entsoe_SFS_2017!$A$3:$A$40='Abgleich Generation'!$A95)*(Generation_Entsoe_SFS_2017!$D$1:$AL$1='Abgleich Generation'!O$76)*Generation_Entsoe_SFS_2017!$D$3:$AL$40)</f>
        <v>#VALUE!</v>
      </c>
      <c r="P95" s="26" t="e">
        <f>SUMPRODUCT((Generation_Entsoe_SFS_2017!$A$3:$A$40='Abgleich Generation'!$A95)*(Generation_Entsoe_SFS_2017!$D$1:$AL$1='Abgleich Generation'!P$81)*Generation_Entsoe_SFS_2017!$D$3:$AL$40)+SUMPRODUCT((Generation_Entsoe_SFS_2017!$A$3:$A$40='Abgleich Generation'!$A95)*(Generation_Entsoe_SFS_2017!$D$1:$AL$1='Abgleich Generation'!P$80)*Generation_Entsoe_SFS_2017!$D$3:$AL$40)+SUMPRODUCT((Generation_Entsoe_SFS_2017!$A$3:$A$40='Abgleich Generation'!$A95)*(Generation_Entsoe_SFS_2017!$D$1:$AL$1='Abgleich Generation'!P$79)*Generation_Entsoe_SFS_2017!$D$3:$AL$40)+SUMPRODUCT((Generation_Entsoe_SFS_2017!$A$3:$A$40='Abgleich Generation'!$A95)*(Generation_Entsoe_SFS_2017!$D$1:$AL$1='Abgleich Generation'!P$78)*Generation_Entsoe_SFS_2017!$D$3:$AL$40)+SUMPRODUCT((Generation_Entsoe_SFS_2017!$A$3:$A$40='Abgleich Generation'!$A95)*(Generation_Entsoe_SFS_2017!$D$1:$AL$1='Abgleich Generation'!P$77)*Generation_Entsoe_SFS_2017!$D$3:$AL$40)+SUMPRODUCT((Generation_Entsoe_SFS_2017!$A$3:$A$40='Abgleich Generation'!$A95)*(Generation_Entsoe_SFS_2017!$D$1:$AL$1='Abgleich Generation'!P$76)*Generation_Entsoe_SFS_2017!$D$3:$AL$40)</f>
        <v>#VALUE!</v>
      </c>
      <c r="Q95" s="26" t="e">
        <f>SUMPRODUCT((Generation_Entsoe_SFS_2017!$A$3:$A$40='Abgleich Generation'!$A95)*(Generation_Entsoe_SFS_2017!$D$1:$AL$1='Abgleich Generation'!Q$81)*Generation_Entsoe_SFS_2017!$D$3:$AL$40)+SUMPRODUCT((Generation_Entsoe_SFS_2017!$A$3:$A$40='Abgleich Generation'!$A95)*(Generation_Entsoe_SFS_2017!$D$1:$AL$1='Abgleich Generation'!Q$80)*Generation_Entsoe_SFS_2017!$D$3:$AL$40)+SUMPRODUCT((Generation_Entsoe_SFS_2017!$A$3:$A$40='Abgleich Generation'!$A95)*(Generation_Entsoe_SFS_2017!$D$1:$AL$1='Abgleich Generation'!Q$79)*Generation_Entsoe_SFS_2017!$D$3:$AL$40)+SUMPRODUCT((Generation_Entsoe_SFS_2017!$A$3:$A$40='Abgleich Generation'!$A95)*(Generation_Entsoe_SFS_2017!$D$1:$AL$1='Abgleich Generation'!Q$78)*Generation_Entsoe_SFS_2017!$D$3:$AL$40)+SUMPRODUCT((Generation_Entsoe_SFS_2017!$A$3:$A$40='Abgleich Generation'!$A95)*(Generation_Entsoe_SFS_2017!$D$1:$AL$1='Abgleich Generation'!Q$77)*Generation_Entsoe_SFS_2017!$D$3:$AL$40)+SUMPRODUCT((Generation_Entsoe_SFS_2017!$A$3:$A$40='Abgleich Generation'!$A95)*(Generation_Entsoe_SFS_2017!$D$1:$AL$1='Abgleich Generation'!Q$76)*Generation_Entsoe_SFS_2017!$D$3:$AL$40)</f>
        <v>#VALUE!</v>
      </c>
      <c r="R95" s="26" t="e">
        <f>SUMPRODUCT((Generation_Entsoe_SFS_2017!$A$3:$A$40='Abgleich Generation'!$A95)*(Generation_Entsoe_SFS_2017!$D$1:$AL$1='Abgleich Generation'!R$81)*Generation_Entsoe_SFS_2017!$D$3:$AL$40)+SUMPRODUCT((Generation_Entsoe_SFS_2017!$A$3:$A$40='Abgleich Generation'!$A95)*(Generation_Entsoe_SFS_2017!$D$1:$AL$1='Abgleich Generation'!R$80)*Generation_Entsoe_SFS_2017!$D$3:$AL$40)+SUMPRODUCT((Generation_Entsoe_SFS_2017!$A$3:$A$40='Abgleich Generation'!$A95)*(Generation_Entsoe_SFS_2017!$D$1:$AL$1='Abgleich Generation'!R$79)*Generation_Entsoe_SFS_2017!$D$3:$AL$40)+SUMPRODUCT((Generation_Entsoe_SFS_2017!$A$3:$A$40='Abgleich Generation'!$A95)*(Generation_Entsoe_SFS_2017!$D$1:$AL$1='Abgleich Generation'!R$78)*Generation_Entsoe_SFS_2017!$D$3:$AL$40)+SUMPRODUCT((Generation_Entsoe_SFS_2017!$A$3:$A$40='Abgleich Generation'!$A95)*(Generation_Entsoe_SFS_2017!$D$1:$AL$1='Abgleich Generation'!R$77)*Generation_Entsoe_SFS_2017!$D$3:$AL$40)+SUMPRODUCT((Generation_Entsoe_SFS_2017!$A$3:$A$40='Abgleich Generation'!$A95)*(Generation_Entsoe_SFS_2017!$D$1:$AL$1='Abgleich Generation'!R$76)*Generation_Entsoe_SFS_2017!$D$3:$AL$40)</f>
        <v>#VALUE!</v>
      </c>
      <c r="S95" s="26" t="e">
        <f>SUMPRODUCT((Generation_Entsoe_SFS_2017!$A$3:$A$40='Abgleich Generation'!$A95)*(Generation_Entsoe_SFS_2017!$D$1:$AL$1='Abgleich Generation'!S$81)*Generation_Entsoe_SFS_2017!$D$3:$AL$40)+SUMPRODUCT((Generation_Entsoe_SFS_2017!$A$3:$A$40='Abgleich Generation'!$A95)*(Generation_Entsoe_SFS_2017!$D$1:$AL$1='Abgleich Generation'!S$80)*Generation_Entsoe_SFS_2017!$D$3:$AL$40)+SUMPRODUCT((Generation_Entsoe_SFS_2017!$A$3:$A$40='Abgleich Generation'!$A95)*(Generation_Entsoe_SFS_2017!$D$1:$AL$1='Abgleich Generation'!S$79)*Generation_Entsoe_SFS_2017!$D$3:$AL$40)+SUMPRODUCT((Generation_Entsoe_SFS_2017!$A$3:$A$40='Abgleich Generation'!$A95)*(Generation_Entsoe_SFS_2017!$D$1:$AL$1='Abgleich Generation'!S$78)*Generation_Entsoe_SFS_2017!$D$3:$AL$40)+SUMPRODUCT((Generation_Entsoe_SFS_2017!$A$3:$A$40='Abgleich Generation'!$A95)*(Generation_Entsoe_SFS_2017!$D$1:$AL$1='Abgleich Generation'!S$77)*Generation_Entsoe_SFS_2017!$D$3:$AL$40)+SUMPRODUCT((Generation_Entsoe_SFS_2017!$A$3:$A$40='Abgleich Generation'!$A95)*(Generation_Entsoe_SFS_2017!$D$1:$AL$1='Abgleich Generation'!S$76)*Generation_Entsoe_SFS_2017!$D$3:$AL$40)</f>
        <v>#VALUE!</v>
      </c>
      <c r="T95" s="26" t="e">
        <f>SUMPRODUCT((Generation_Entsoe_SFS_2017!$A$3:$A$40='Abgleich Generation'!$A95)*(Generation_Entsoe_SFS_2017!$D$1:$AL$1='Abgleich Generation'!T$81)*Generation_Entsoe_SFS_2017!$D$3:$AL$40)+SUMPRODUCT((Generation_Entsoe_SFS_2017!$A$3:$A$40='Abgleich Generation'!$A95)*(Generation_Entsoe_SFS_2017!$D$1:$AL$1='Abgleich Generation'!T$80)*Generation_Entsoe_SFS_2017!$D$3:$AL$40)+SUMPRODUCT((Generation_Entsoe_SFS_2017!$A$3:$A$40='Abgleich Generation'!$A95)*(Generation_Entsoe_SFS_2017!$D$1:$AL$1='Abgleich Generation'!T$79)*Generation_Entsoe_SFS_2017!$D$3:$AL$40)+SUMPRODUCT((Generation_Entsoe_SFS_2017!$A$3:$A$40='Abgleich Generation'!$A95)*(Generation_Entsoe_SFS_2017!$D$1:$AL$1='Abgleich Generation'!T$78)*Generation_Entsoe_SFS_2017!$D$3:$AL$40)+SUMPRODUCT((Generation_Entsoe_SFS_2017!$A$3:$A$40='Abgleich Generation'!$A95)*(Generation_Entsoe_SFS_2017!$D$1:$AL$1='Abgleich Generation'!T$77)*Generation_Entsoe_SFS_2017!$D$3:$AL$40)+SUMPRODUCT((Generation_Entsoe_SFS_2017!$A$3:$A$40='Abgleich Generation'!$A95)*(Generation_Entsoe_SFS_2017!$D$1:$AL$1='Abgleich Generation'!T$76)*Generation_Entsoe_SFS_2017!$D$3:$AL$40)</f>
        <v>#VALUE!</v>
      </c>
      <c r="U95" s="26" t="e">
        <f>SUMPRODUCT((Generation_Entsoe_SFS_2017!$A$3:$A$40='Abgleich Generation'!$A95)*(Generation_Entsoe_SFS_2017!$D$1:$AL$1='Abgleich Generation'!U$81)*Generation_Entsoe_SFS_2017!$D$3:$AL$40)+SUMPRODUCT((Generation_Entsoe_SFS_2017!$A$3:$A$40='Abgleich Generation'!$A95)*(Generation_Entsoe_SFS_2017!$D$1:$AL$1='Abgleich Generation'!U$80)*Generation_Entsoe_SFS_2017!$D$3:$AL$40)+SUMPRODUCT((Generation_Entsoe_SFS_2017!$A$3:$A$40='Abgleich Generation'!$A95)*(Generation_Entsoe_SFS_2017!$D$1:$AL$1='Abgleich Generation'!U$79)*Generation_Entsoe_SFS_2017!$D$3:$AL$40)+SUMPRODUCT((Generation_Entsoe_SFS_2017!$A$3:$A$40='Abgleich Generation'!$A95)*(Generation_Entsoe_SFS_2017!$D$1:$AL$1='Abgleich Generation'!U$78)*Generation_Entsoe_SFS_2017!$D$3:$AL$40)+SUMPRODUCT((Generation_Entsoe_SFS_2017!$A$3:$A$40='Abgleich Generation'!$A95)*(Generation_Entsoe_SFS_2017!$D$1:$AL$1='Abgleich Generation'!U$77)*Generation_Entsoe_SFS_2017!$D$3:$AL$40)+SUMPRODUCT((Generation_Entsoe_SFS_2017!$A$3:$A$40='Abgleich Generation'!$A95)*(Generation_Entsoe_SFS_2017!$D$1:$AL$1='Abgleich Generation'!U$76)*Generation_Entsoe_SFS_2017!$D$3:$AL$40)</f>
        <v>#VALUE!</v>
      </c>
      <c r="V95" s="27" t="e">
        <f t="shared" si="63"/>
        <v>#VALUE!</v>
      </c>
      <c r="W95" s="28" t="e">
        <f>SUMPRODUCT((Generation_Entsoe_SFS_2017!$A$3:$A$40='Abgleich Generation'!$A95)*(Generation_Entsoe_SFS_2017!$D$1:$AL$1='Abgleich Generation'!W$81)*Generation_Entsoe_SFS_2017!$D$3:$AL$40)+SUMPRODUCT((Generation_Entsoe_SFS_2017!$A$3:$A$40='Abgleich Generation'!$A95)*(Generation_Entsoe_SFS_2017!$D$1:$AL$1='Abgleich Generation'!W$80)*Generation_Entsoe_SFS_2017!$D$3:$AL$40)+SUMPRODUCT((Generation_Entsoe_SFS_2017!$A$3:$A$40='Abgleich Generation'!$A95)*(Generation_Entsoe_SFS_2017!$D$1:$AL$1='Abgleich Generation'!W$79)*Generation_Entsoe_SFS_2017!$D$3:$AL$40)+SUMPRODUCT((Generation_Entsoe_SFS_2017!$A$3:$A$40='Abgleich Generation'!$A95)*(Generation_Entsoe_SFS_2017!$D$1:$AL$1='Abgleich Generation'!W$78)*Generation_Entsoe_SFS_2017!$D$3:$AL$40)+SUMPRODUCT((Generation_Entsoe_SFS_2017!$A$3:$A$40='Abgleich Generation'!$A95)*(Generation_Entsoe_SFS_2017!$D$1:$AL$1='Abgleich Generation'!W$77)*Generation_Entsoe_SFS_2017!$D$3:$AL$40)+SUMPRODUCT((Generation_Entsoe_SFS_2017!$A$3:$A$40='Abgleich Generation'!$A95)*(Generation_Entsoe_SFS_2017!$D$1:$AL$1='Abgleich Generation'!W$76)*Generation_Entsoe_SFS_2017!$D$3:$AL$40)</f>
        <v>#VALUE!</v>
      </c>
      <c r="X95" s="29" t="e">
        <f>SUMPRODUCT((Generation_Entsoe_SFS_2017!$A$3:$A$40='Abgleich Generation'!$A95)*(Generation_Entsoe_SFS_2017!$D$1:$AL$1='Abgleich Generation'!X$81)*Generation_Entsoe_SFS_2017!$D$3:$AL$40)+SUMPRODUCT((Generation_Entsoe_SFS_2017!$A$3:$A$40='Abgleich Generation'!$A95)*(Generation_Entsoe_SFS_2017!$D$1:$AL$1='Abgleich Generation'!X$80)*Generation_Entsoe_SFS_2017!$D$3:$AL$40)+SUMPRODUCT((Generation_Entsoe_SFS_2017!$A$3:$A$40='Abgleich Generation'!$A95)*(Generation_Entsoe_SFS_2017!$D$1:$AL$1='Abgleich Generation'!X$79)*Generation_Entsoe_SFS_2017!$D$3:$AL$40)+SUMPRODUCT((Generation_Entsoe_SFS_2017!$A$3:$A$40='Abgleich Generation'!$A95)*(Generation_Entsoe_SFS_2017!$D$1:$AL$1='Abgleich Generation'!X$78)*Generation_Entsoe_SFS_2017!$D$3:$AL$40)+SUMPRODUCT((Generation_Entsoe_SFS_2017!$A$3:$A$40='Abgleich Generation'!$A95)*(Generation_Entsoe_SFS_2017!$D$1:$AL$1='Abgleich Generation'!X$77)*Generation_Entsoe_SFS_2017!$D$3:$AL$40)+SUMPRODUCT((Generation_Entsoe_SFS_2017!$A$3:$A$40='Abgleich Generation'!$A95)*(Generation_Entsoe_SFS_2017!$D$1:$AL$1='Abgleich Generation'!X$76)*Generation_Entsoe_SFS_2017!$D$3:$AL$40)</f>
        <v>#VALUE!</v>
      </c>
      <c r="Y95" s="29" t="e">
        <f t="shared" si="64"/>
        <v>#VALUE!</v>
      </c>
    </row>
    <row r="96" spans="1:25" x14ac:dyDescent="0.25">
      <c r="A96" s="14" t="s">
        <v>22</v>
      </c>
      <c r="B96" s="57" t="e">
        <f t="shared" si="60"/>
        <v>#VALUE!</v>
      </c>
      <c r="C96" s="58" t="e">
        <f>SUMPRODUCT((Generation_Entsoe_SFS_2017!$A$3:$A$40='Abgleich Generation'!$A96)*(Generation_Entsoe_SFS_2017!$D$1:$AL$1='Abgleich Generation'!C$81)*Generation_Entsoe_SFS_2017!$D$3:$AL$40)+SUMPRODUCT((Generation_Entsoe_SFS_2017!$A$3:$A$40='Abgleich Generation'!$A96)*(Generation_Entsoe_SFS_2017!$D$1:$AL$1='Abgleich Generation'!C$80)*Generation_Entsoe_SFS_2017!$D$3:$AL$40)+SUMPRODUCT((Generation_Entsoe_SFS_2017!$A$3:$A$40='Abgleich Generation'!$A96)*(Generation_Entsoe_SFS_2017!$D$1:$AL$1='Abgleich Generation'!C$79)*Generation_Entsoe_SFS_2017!$D$3:$AL$40)+SUMPRODUCT((Generation_Entsoe_SFS_2017!$A$3:$A$40='Abgleich Generation'!$A96)*(Generation_Entsoe_SFS_2017!$D$1:$AL$1='Abgleich Generation'!C$78)*Generation_Entsoe_SFS_2017!$D$3:$AL$40)</f>
        <v>#VALUE!</v>
      </c>
      <c r="D96" s="58" t="e">
        <f t="shared" si="61"/>
        <v>#VALUE!</v>
      </c>
      <c r="E96" s="58" t="e">
        <f>SUMPRODUCT((Generation_Entsoe_SFS_2017!$A$3:$A$40='Abgleich Generation'!$A96)*(Generation_Entsoe_SFS_2017!$D$1:$AL$1='Abgleich Generation'!E$81)*Generation_Entsoe_SFS_2017!$D$3:$AL$40)+SUMPRODUCT((Generation_Entsoe_SFS_2017!$A$3:$A$40='Abgleich Generation'!$A96)*(Generation_Entsoe_SFS_2017!$D$1:$AL$1='Abgleich Generation'!E$80)*Generation_Entsoe_SFS_2017!$D$3:$AL$40)+SUMPRODUCT((Generation_Entsoe_SFS_2017!$A$3:$A$40='Abgleich Generation'!$A96)*(Generation_Entsoe_SFS_2017!$D$1:$AL$1='Abgleich Generation'!E$79)*Generation_Entsoe_SFS_2017!$D$3:$AL$40)+SUMPRODUCT((Generation_Entsoe_SFS_2017!$A$3:$A$40='Abgleich Generation'!$A96)*(Generation_Entsoe_SFS_2017!$D$1:$AL$1='Abgleich Generation'!E$78)*Generation_Entsoe_SFS_2017!$D$3:$AL$40)</f>
        <v>#VALUE!</v>
      </c>
      <c r="F96" s="58" t="e">
        <f>SUMPRODUCT((Generation_Entsoe_SFS_2017!$A$3:$A$40='Abgleich Generation'!$A96)*(Generation_Entsoe_SFS_2017!$D$1:$AL$1='Abgleich Generation'!F$81)*Generation_Entsoe_SFS_2017!$D$3:$AL$40)+SUMPRODUCT((Generation_Entsoe_SFS_2017!$A$3:$A$40='Abgleich Generation'!$A96)*(Generation_Entsoe_SFS_2017!$D$1:$AL$1='Abgleich Generation'!F$80)*Generation_Entsoe_SFS_2017!$D$3:$AL$40)+SUMPRODUCT((Generation_Entsoe_SFS_2017!$A$3:$A$40='Abgleich Generation'!$A96)*(Generation_Entsoe_SFS_2017!$D$1:$AL$1='Abgleich Generation'!F$79)*Generation_Entsoe_SFS_2017!$D$3:$AL$40)+SUMPRODUCT((Generation_Entsoe_SFS_2017!$A$3:$A$40='Abgleich Generation'!$A96)*(Generation_Entsoe_SFS_2017!$D$1:$AL$1='Abgleich Generation'!F$78)*Generation_Entsoe_SFS_2017!$D$3:$AL$40)</f>
        <v>#VALUE!</v>
      </c>
      <c r="G96" s="58" t="e">
        <f>SUMPRODUCT((Generation_Entsoe_SFS_2017!$A$3:$A$40='Abgleich Generation'!$A96)*(Generation_Entsoe_SFS_2017!$D$1:$AL$1='Abgleich Generation'!G$81)*Generation_Entsoe_SFS_2017!$D$3:$AL$40)+SUMPRODUCT((Generation_Entsoe_SFS_2017!$A$3:$A$40='Abgleich Generation'!$A96)*(Generation_Entsoe_SFS_2017!$D$1:$AL$1='Abgleich Generation'!G$80)*Generation_Entsoe_SFS_2017!$D$3:$AL$40)+SUMPRODUCT((Generation_Entsoe_SFS_2017!$A$3:$A$40='Abgleich Generation'!$A96)*(Generation_Entsoe_SFS_2017!$D$1:$AL$1='Abgleich Generation'!G$79)*Generation_Entsoe_SFS_2017!$D$3:$AL$40)+SUMPRODUCT((Generation_Entsoe_SFS_2017!$A$3:$A$40='Abgleich Generation'!$A96)*(Generation_Entsoe_SFS_2017!$D$1:$AL$1='Abgleich Generation'!G$78)*Generation_Entsoe_SFS_2017!$D$3:$AL$40)</f>
        <v>#VALUE!</v>
      </c>
      <c r="H96" s="58" t="e">
        <f>SUMPRODUCT((Generation_Entsoe_SFS_2017!$A$3:$A$40='Abgleich Generation'!$A96)*(Generation_Entsoe_SFS_2017!$D$1:$AL$1='Abgleich Generation'!H$81)*Generation_Entsoe_SFS_2017!$D$3:$AL$40)+SUMPRODUCT((Generation_Entsoe_SFS_2017!$A$3:$A$40='Abgleich Generation'!$A96)*(Generation_Entsoe_SFS_2017!$D$1:$AL$1='Abgleich Generation'!H$80)*Generation_Entsoe_SFS_2017!$D$3:$AL$40)+SUMPRODUCT((Generation_Entsoe_SFS_2017!$A$3:$A$40='Abgleich Generation'!$A96)*(Generation_Entsoe_SFS_2017!$D$1:$AL$1='Abgleich Generation'!H$79)*Generation_Entsoe_SFS_2017!$D$3:$AL$40)+SUMPRODUCT((Generation_Entsoe_SFS_2017!$A$3:$A$40='Abgleich Generation'!$A96)*(Generation_Entsoe_SFS_2017!$D$1:$AL$1='Abgleich Generation'!H$78)*Generation_Entsoe_SFS_2017!$D$3:$AL$40)</f>
        <v>#VALUE!</v>
      </c>
      <c r="I96" s="58" t="e">
        <f>SUMPRODUCT((Generation_Entsoe_SFS_2017!$A$3:$A$40='Abgleich Generation'!$A96)*(Generation_Entsoe_SFS_2017!$D$1:$AL$1='Abgleich Generation'!I$81)*Generation_Entsoe_SFS_2017!$D$3:$AL$40)+SUMPRODUCT((Generation_Entsoe_SFS_2017!$A$3:$A$40='Abgleich Generation'!$A96)*(Generation_Entsoe_SFS_2017!$D$1:$AL$1='Abgleich Generation'!I$80)*Generation_Entsoe_SFS_2017!$D$3:$AL$40)+SUMPRODUCT((Generation_Entsoe_SFS_2017!$A$3:$A$40='Abgleich Generation'!$A96)*(Generation_Entsoe_SFS_2017!$D$1:$AL$1='Abgleich Generation'!I$79)*Generation_Entsoe_SFS_2017!$D$3:$AL$40)+SUMPRODUCT((Generation_Entsoe_SFS_2017!$A$3:$A$40='Abgleich Generation'!$A96)*(Generation_Entsoe_SFS_2017!$D$1:$AL$1='Abgleich Generation'!I$78)*Generation_Entsoe_SFS_2017!$D$3:$AL$40)</f>
        <v>#VALUE!</v>
      </c>
      <c r="J96" s="58" t="e">
        <f>SUMPRODUCT((Generation_Entsoe_SFS_2017!$A$3:$A$40='Abgleich Generation'!$A96)*(Generation_Entsoe_SFS_2017!$D$1:$AL$1='Abgleich Generation'!J$81)*Generation_Entsoe_SFS_2017!$D$3:$AL$40)+SUMPRODUCT((Generation_Entsoe_SFS_2017!$A$3:$A$40='Abgleich Generation'!$A96)*(Generation_Entsoe_SFS_2017!$D$1:$AL$1='Abgleich Generation'!J$80)*Generation_Entsoe_SFS_2017!$D$3:$AL$40)+SUMPRODUCT((Generation_Entsoe_SFS_2017!$A$3:$A$40='Abgleich Generation'!$A96)*(Generation_Entsoe_SFS_2017!$D$1:$AL$1='Abgleich Generation'!J$79)*Generation_Entsoe_SFS_2017!$D$3:$AL$40)+SUMPRODUCT((Generation_Entsoe_SFS_2017!$A$3:$A$40='Abgleich Generation'!$A96)*(Generation_Entsoe_SFS_2017!$D$1:$AL$1='Abgleich Generation'!J$78)*Generation_Entsoe_SFS_2017!$D$3:$AL$40)</f>
        <v>#VALUE!</v>
      </c>
      <c r="K96" s="59" t="e">
        <f t="shared" si="62"/>
        <v>#VALUE!</v>
      </c>
      <c r="L96" s="58" t="e">
        <f>SUMPRODUCT((Generation_Entsoe_SFS_2017!$A$3:$A$40='Abgleich Generation'!$A96)*(Generation_Entsoe_SFS_2017!$D$1:$AL$1='Abgleich Generation'!L$81)*Generation_Entsoe_SFS_2017!$D$3:$AL$40)+SUMPRODUCT((Generation_Entsoe_SFS_2017!$A$3:$A$40='Abgleich Generation'!$A96)*(Generation_Entsoe_SFS_2017!$D$1:$AL$1='Abgleich Generation'!L$80)*Generation_Entsoe_SFS_2017!$D$3:$AL$40)+SUMPRODUCT((Generation_Entsoe_SFS_2017!$A$3:$A$40='Abgleich Generation'!$A96)*(Generation_Entsoe_SFS_2017!$D$1:$AL$1='Abgleich Generation'!L$79)*Generation_Entsoe_SFS_2017!$D$3:$AL$40)+SUMPRODUCT((Generation_Entsoe_SFS_2017!$A$3:$A$40='Abgleich Generation'!$A96)*(Generation_Entsoe_SFS_2017!$D$1:$AL$1='Abgleich Generation'!L$78)*Generation_Entsoe_SFS_2017!$D$3:$AL$40)+SUMPRODUCT((Generation_Entsoe_SFS_2017!$A$3:$A$40='Abgleich Generation'!$A96)*(Generation_Entsoe_SFS_2017!$D$1:$AL$1='Abgleich Generation'!L$77)*Generation_Entsoe_SFS_2017!$D$3:$AL$40)+SUMPRODUCT((Generation_Entsoe_SFS_2017!$A$3:$A$40='Abgleich Generation'!$A96)*(Generation_Entsoe_SFS_2017!$D$1:$AL$1='Abgleich Generation'!L$76)*Generation_Entsoe_SFS_2017!$D$3:$AL$40)</f>
        <v>#VALUE!</v>
      </c>
      <c r="M96" s="58" t="e">
        <f>SUMPRODUCT((Generation_Entsoe_SFS_2017!$A$3:$A$40='Abgleich Generation'!$A96)*(Generation_Entsoe_SFS_2017!$D$1:$AL$1='Abgleich Generation'!M$81)*Generation_Entsoe_SFS_2017!$D$3:$AL$40)+SUMPRODUCT((Generation_Entsoe_SFS_2017!$A$3:$A$40='Abgleich Generation'!$A96)*(Generation_Entsoe_SFS_2017!$D$1:$AL$1='Abgleich Generation'!M$80)*Generation_Entsoe_SFS_2017!$D$3:$AL$40)+SUMPRODUCT((Generation_Entsoe_SFS_2017!$A$3:$A$40='Abgleich Generation'!$A96)*(Generation_Entsoe_SFS_2017!$D$1:$AL$1='Abgleich Generation'!M$79)*Generation_Entsoe_SFS_2017!$D$3:$AL$40)+SUMPRODUCT((Generation_Entsoe_SFS_2017!$A$3:$A$40='Abgleich Generation'!$A96)*(Generation_Entsoe_SFS_2017!$D$1:$AL$1='Abgleich Generation'!M$78)*Generation_Entsoe_SFS_2017!$D$3:$AL$40)+SUMPRODUCT((Generation_Entsoe_SFS_2017!$A$3:$A$40='Abgleich Generation'!$A96)*(Generation_Entsoe_SFS_2017!$D$1:$AL$1='Abgleich Generation'!M$77)*Generation_Entsoe_SFS_2017!$D$3:$AL$40)+SUMPRODUCT((Generation_Entsoe_SFS_2017!$A$3:$A$40='Abgleich Generation'!$A96)*(Generation_Entsoe_SFS_2017!$D$1:$AL$1='Abgleich Generation'!M$76)*Generation_Entsoe_SFS_2017!$D$3:$AL$40)</f>
        <v>#VALUE!</v>
      </c>
      <c r="N96" s="58" t="e">
        <f>SUMPRODUCT((Generation_Entsoe_SFS_2017!$A$3:$A$40='Abgleich Generation'!$A96)*(Generation_Entsoe_SFS_2017!$D$1:$AL$1='Abgleich Generation'!N$81)*Generation_Entsoe_SFS_2017!$D$3:$AL$40)+SUMPRODUCT((Generation_Entsoe_SFS_2017!$A$3:$A$40='Abgleich Generation'!$A96)*(Generation_Entsoe_SFS_2017!$D$1:$AL$1='Abgleich Generation'!N$80)*Generation_Entsoe_SFS_2017!$D$3:$AL$40)+SUMPRODUCT((Generation_Entsoe_SFS_2017!$A$3:$A$40='Abgleich Generation'!$A96)*(Generation_Entsoe_SFS_2017!$D$1:$AL$1='Abgleich Generation'!N$79)*Generation_Entsoe_SFS_2017!$D$3:$AL$40)+SUMPRODUCT((Generation_Entsoe_SFS_2017!$A$3:$A$40='Abgleich Generation'!$A96)*(Generation_Entsoe_SFS_2017!$D$1:$AL$1='Abgleich Generation'!N$78)*Generation_Entsoe_SFS_2017!$D$3:$AL$40)+SUMPRODUCT((Generation_Entsoe_SFS_2017!$A$3:$A$40='Abgleich Generation'!$A96)*(Generation_Entsoe_SFS_2017!$D$1:$AL$1='Abgleich Generation'!N$77)*Generation_Entsoe_SFS_2017!$D$3:$AL$40)+SUMPRODUCT((Generation_Entsoe_SFS_2017!$A$3:$A$40='Abgleich Generation'!$A96)*(Generation_Entsoe_SFS_2017!$D$1:$AL$1='Abgleich Generation'!N$76)*Generation_Entsoe_SFS_2017!$D$3:$AL$40)</f>
        <v>#VALUE!</v>
      </c>
      <c r="O96" s="58" t="e">
        <f>SUMPRODUCT((Generation_Entsoe_SFS_2017!$A$3:$A$40='Abgleich Generation'!$A96)*(Generation_Entsoe_SFS_2017!$D$1:$AL$1='Abgleich Generation'!O$81)*Generation_Entsoe_SFS_2017!$D$3:$AL$40)+SUMPRODUCT((Generation_Entsoe_SFS_2017!$A$3:$A$40='Abgleich Generation'!$A96)*(Generation_Entsoe_SFS_2017!$D$1:$AL$1='Abgleich Generation'!O$80)*Generation_Entsoe_SFS_2017!$D$3:$AL$40)+SUMPRODUCT((Generation_Entsoe_SFS_2017!$A$3:$A$40='Abgleich Generation'!$A96)*(Generation_Entsoe_SFS_2017!$D$1:$AL$1='Abgleich Generation'!O$79)*Generation_Entsoe_SFS_2017!$D$3:$AL$40)+SUMPRODUCT((Generation_Entsoe_SFS_2017!$A$3:$A$40='Abgleich Generation'!$A96)*(Generation_Entsoe_SFS_2017!$D$1:$AL$1='Abgleich Generation'!O$78)*Generation_Entsoe_SFS_2017!$D$3:$AL$40)+SUMPRODUCT((Generation_Entsoe_SFS_2017!$A$3:$A$40='Abgleich Generation'!$A96)*(Generation_Entsoe_SFS_2017!$D$1:$AL$1='Abgleich Generation'!O$77)*Generation_Entsoe_SFS_2017!$D$3:$AL$40)+SUMPRODUCT((Generation_Entsoe_SFS_2017!$A$3:$A$40='Abgleich Generation'!$A96)*(Generation_Entsoe_SFS_2017!$D$1:$AL$1='Abgleich Generation'!O$76)*Generation_Entsoe_SFS_2017!$D$3:$AL$40)</f>
        <v>#VALUE!</v>
      </c>
      <c r="P96" s="58" t="e">
        <f>SUMPRODUCT((Generation_Entsoe_SFS_2017!$A$3:$A$40='Abgleich Generation'!$A96)*(Generation_Entsoe_SFS_2017!$D$1:$AL$1='Abgleich Generation'!P$81)*Generation_Entsoe_SFS_2017!$D$3:$AL$40)+SUMPRODUCT((Generation_Entsoe_SFS_2017!$A$3:$A$40='Abgleich Generation'!$A96)*(Generation_Entsoe_SFS_2017!$D$1:$AL$1='Abgleich Generation'!P$80)*Generation_Entsoe_SFS_2017!$D$3:$AL$40)+SUMPRODUCT((Generation_Entsoe_SFS_2017!$A$3:$A$40='Abgleich Generation'!$A96)*(Generation_Entsoe_SFS_2017!$D$1:$AL$1='Abgleich Generation'!P$79)*Generation_Entsoe_SFS_2017!$D$3:$AL$40)+SUMPRODUCT((Generation_Entsoe_SFS_2017!$A$3:$A$40='Abgleich Generation'!$A96)*(Generation_Entsoe_SFS_2017!$D$1:$AL$1='Abgleich Generation'!P$78)*Generation_Entsoe_SFS_2017!$D$3:$AL$40)+SUMPRODUCT((Generation_Entsoe_SFS_2017!$A$3:$A$40='Abgleich Generation'!$A96)*(Generation_Entsoe_SFS_2017!$D$1:$AL$1='Abgleich Generation'!P$77)*Generation_Entsoe_SFS_2017!$D$3:$AL$40)+SUMPRODUCT((Generation_Entsoe_SFS_2017!$A$3:$A$40='Abgleich Generation'!$A96)*(Generation_Entsoe_SFS_2017!$D$1:$AL$1='Abgleich Generation'!P$76)*Generation_Entsoe_SFS_2017!$D$3:$AL$40)</f>
        <v>#VALUE!</v>
      </c>
      <c r="Q96" s="58" t="e">
        <f>SUMPRODUCT((Generation_Entsoe_SFS_2017!$A$3:$A$40='Abgleich Generation'!$A96)*(Generation_Entsoe_SFS_2017!$D$1:$AL$1='Abgleich Generation'!Q$81)*Generation_Entsoe_SFS_2017!$D$3:$AL$40)+SUMPRODUCT((Generation_Entsoe_SFS_2017!$A$3:$A$40='Abgleich Generation'!$A96)*(Generation_Entsoe_SFS_2017!$D$1:$AL$1='Abgleich Generation'!Q$80)*Generation_Entsoe_SFS_2017!$D$3:$AL$40)+SUMPRODUCT((Generation_Entsoe_SFS_2017!$A$3:$A$40='Abgleich Generation'!$A96)*(Generation_Entsoe_SFS_2017!$D$1:$AL$1='Abgleich Generation'!Q$79)*Generation_Entsoe_SFS_2017!$D$3:$AL$40)+SUMPRODUCT((Generation_Entsoe_SFS_2017!$A$3:$A$40='Abgleich Generation'!$A96)*(Generation_Entsoe_SFS_2017!$D$1:$AL$1='Abgleich Generation'!Q$78)*Generation_Entsoe_SFS_2017!$D$3:$AL$40)+SUMPRODUCT((Generation_Entsoe_SFS_2017!$A$3:$A$40='Abgleich Generation'!$A96)*(Generation_Entsoe_SFS_2017!$D$1:$AL$1='Abgleich Generation'!Q$77)*Generation_Entsoe_SFS_2017!$D$3:$AL$40)+SUMPRODUCT((Generation_Entsoe_SFS_2017!$A$3:$A$40='Abgleich Generation'!$A96)*(Generation_Entsoe_SFS_2017!$D$1:$AL$1='Abgleich Generation'!Q$76)*Generation_Entsoe_SFS_2017!$D$3:$AL$40)</f>
        <v>#VALUE!</v>
      </c>
      <c r="R96" s="58" t="e">
        <f>SUMPRODUCT((Generation_Entsoe_SFS_2017!$A$3:$A$40='Abgleich Generation'!$A96)*(Generation_Entsoe_SFS_2017!$D$1:$AL$1='Abgleich Generation'!R$81)*Generation_Entsoe_SFS_2017!$D$3:$AL$40)+SUMPRODUCT((Generation_Entsoe_SFS_2017!$A$3:$A$40='Abgleich Generation'!$A96)*(Generation_Entsoe_SFS_2017!$D$1:$AL$1='Abgleich Generation'!R$80)*Generation_Entsoe_SFS_2017!$D$3:$AL$40)+SUMPRODUCT((Generation_Entsoe_SFS_2017!$A$3:$A$40='Abgleich Generation'!$A96)*(Generation_Entsoe_SFS_2017!$D$1:$AL$1='Abgleich Generation'!R$79)*Generation_Entsoe_SFS_2017!$D$3:$AL$40)+SUMPRODUCT((Generation_Entsoe_SFS_2017!$A$3:$A$40='Abgleich Generation'!$A96)*(Generation_Entsoe_SFS_2017!$D$1:$AL$1='Abgleich Generation'!R$78)*Generation_Entsoe_SFS_2017!$D$3:$AL$40)+SUMPRODUCT((Generation_Entsoe_SFS_2017!$A$3:$A$40='Abgleich Generation'!$A96)*(Generation_Entsoe_SFS_2017!$D$1:$AL$1='Abgleich Generation'!R$77)*Generation_Entsoe_SFS_2017!$D$3:$AL$40)+SUMPRODUCT((Generation_Entsoe_SFS_2017!$A$3:$A$40='Abgleich Generation'!$A96)*(Generation_Entsoe_SFS_2017!$D$1:$AL$1='Abgleich Generation'!R$76)*Generation_Entsoe_SFS_2017!$D$3:$AL$40)</f>
        <v>#VALUE!</v>
      </c>
      <c r="S96" s="58" t="e">
        <f>SUMPRODUCT((Generation_Entsoe_SFS_2017!$A$3:$A$40='Abgleich Generation'!$A96)*(Generation_Entsoe_SFS_2017!$D$1:$AL$1='Abgleich Generation'!S$81)*Generation_Entsoe_SFS_2017!$D$3:$AL$40)+SUMPRODUCT((Generation_Entsoe_SFS_2017!$A$3:$A$40='Abgleich Generation'!$A96)*(Generation_Entsoe_SFS_2017!$D$1:$AL$1='Abgleich Generation'!S$80)*Generation_Entsoe_SFS_2017!$D$3:$AL$40)+SUMPRODUCT((Generation_Entsoe_SFS_2017!$A$3:$A$40='Abgleich Generation'!$A96)*(Generation_Entsoe_SFS_2017!$D$1:$AL$1='Abgleich Generation'!S$79)*Generation_Entsoe_SFS_2017!$D$3:$AL$40)+SUMPRODUCT((Generation_Entsoe_SFS_2017!$A$3:$A$40='Abgleich Generation'!$A96)*(Generation_Entsoe_SFS_2017!$D$1:$AL$1='Abgleich Generation'!S$78)*Generation_Entsoe_SFS_2017!$D$3:$AL$40)+SUMPRODUCT((Generation_Entsoe_SFS_2017!$A$3:$A$40='Abgleich Generation'!$A96)*(Generation_Entsoe_SFS_2017!$D$1:$AL$1='Abgleich Generation'!S$77)*Generation_Entsoe_SFS_2017!$D$3:$AL$40)+SUMPRODUCT((Generation_Entsoe_SFS_2017!$A$3:$A$40='Abgleich Generation'!$A96)*(Generation_Entsoe_SFS_2017!$D$1:$AL$1='Abgleich Generation'!S$76)*Generation_Entsoe_SFS_2017!$D$3:$AL$40)</f>
        <v>#VALUE!</v>
      </c>
      <c r="T96" s="58" t="e">
        <f>SUMPRODUCT((Generation_Entsoe_SFS_2017!$A$3:$A$40='Abgleich Generation'!$A96)*(Generation_Entsoe_SFS_2017!$D$1:$AL$1='Abgleich Generation'!T$81)*Generation_Entsoe_SFS_2017!$D$3:$AL$40)+SUMPRODUCT((Generation_Entsoe_SFS_2017!$A$3:$A$40='Abgleich Generation'!$A96)*(Generation_Entsoe_SFS_2017!$D$1:$AL$1='Abgleich Generation'!T$80)*Generation_Entsoe_SFS_2017!$D$3:$AL$40)+SUMPRODUCT((Generation_Entsoe_SFS_2017!$A$3:$A$40='Abgleich Generation'!$A96)*(Generation_Entsoe_SFS_2017!$D$1:$AL$1='Abgleich Generation'!T$79)*Generation_Entsoe_SFS_2017!$D$3:$AL$40)+SUMPRODUCT((Generation_Entsoe_SFS_2017!$A$3:$A$40='Abgleich Generation'!$A96)*(Generation_Entsoe_SFS_2017!$D$1:$AL$1='Abgleich Generation'!T$78)*Generation_Entsoe_SFS_2017!$D$3:$AL$40)+SUMPRODUCT((Generation_Entsoe_SFS_2017!$A$3:$A$40='Abgleich Generation'!$A96)*(Generation_Entsoe_SFS_2017!$D$1:$AL$1='Abgleich Generation'!T$77)*Generation_Entsoe_SFS_2017!$D$3:$AL$40)+SUMPRODUCT((Generation_Entsoe_SFS_2017!$A$3:$A$40='Abgleich Generation'!$A96)*(Generation_Entsoe_SFS_2017!$D$1:$AL$1='Abgleich Generation'!T$76)*Generation_Entsoe_SFS_2017!$D$3:$AL$40)</f>
        <v>#VALUE!</v>
      </c>
      <c r="U96" s="58" t="e">
        <f>SUMPRODUCT((Generation_Entsoe_SFS_2017!$A$3:$A$40='Abgleich Generation'!$A96)*(Generation_Entsoe_SFS_2017!$D$1:$AL$1='Abgleich Generation'!U$81)*Generation_Entsoe_SFS_2017!$D$3:$AL$40)+SUMPRODUCT((Generation_Entsoe_SFS_2017!$A$3:$A$40='Abgleich Generation'!$A96)*(Generation_Entsoe_SFS_2017!$D$1:$AL$1='Abgleich Generation'!U$80)*Generation_Entsoe_SFS_2017!$D$3:$AL$40)+SUMPRODUCT((Generation_Entsoe_SFS_2017!$A$3:$A$40='Abgleich Generation'!$A96)*(Generation_Entsoe_SFS_2017!$D$1:$AL$1='Abgleich Generation'!U$79)*Generation_Entsoe_SFS_2017!$D$3:$AL$40)+SUMPRODUCT((Generation_Entsoe_SFS_2017!$A$3:$A$40='Abgleich Generation'!$A96)*(Generation_Entsoe_SFS_2017!$D$1:$AL$1='Abgleich Generation'!U$78)*Generation_Entsoe_SFS_2017!$D$3:$AL$40)+SUMPRODUCT((Generation_Entsoe_SFS_2017!$A$3:$A$40='Abgleich Generation'!$A96)*(Generation_Entsoe_SFS_2017!$D$1:$AL$1='Abgleich Generation'!U$77)*Generation_Entsoe_SFS_2017!$D$3:$AL$40)+SUMPRODUCT((Generation_Entsoe_SFS_2017!$A$3:$A$40='Abgleich Generation'!$A96)*(Generation_Entsoe_SFS_2017!$D$1:$AL$1='Abgleich Generation'!U$76)*Generation_Entsoe_SFS_2017!$D$3:$AL$40)</f>
        <v>#VALUE!</v>
      </c>
      <c r="V96" s="59" t="e">
        <f t="shared" si="63"/>
        <v>#VALUE!</v>
      </c>
      <c r="W96" s="60" t="e">
        <f>SUMPRODUCT((Generation_Entsoe_SFS_2017!$A$3:$A$40='Abgleich Generation'!$A96)*(Generation_Entsoe_SFS_2017!$D$1:$AL$1='Abgleich Generation'!W$81)*Generation_Entsoe_SFS_2017!$D$3:$AL$40)+SUMPRODUCT((Generation_Entsoe_SFS_2017!$A$3:$A$40='Abgleich Generation'!$A96)*(Generation_Entsoe_SFS_2017!$D$1:$AL$1='Abgleich Generation'!W$80)*Generation_Entsoe_SFS_2017!$D$3:$AL$40)+SUMPRODUCT((Generation_Entsoe_SFS_2017!$A$3:$A$40='Abgleich Generation'!$A96)*(Generation_Entsoe_SFS_2017!$D$1:$AL$1='Abgleich Generation'!W$79)*Generation_Entsoe_SFS_2017!$D$3:$AL$40)+SUMPRODUCT((Generation_Entsoe_SFS_2017!$A$3:$A$40='Abgleich Generation'!$A96)*(Generation_Entsoe_SFS_2017!$D$1:$AL$1='Abgleich Generation'!W$78)*Generation_Entsoe_SFS_2017!$D$3:$AL$40)+SUMPRODUCT((Generation_Entsoe_SFS_2017!$A$3:$A$40='Abgleich Generation'!$A96)*(Generation_Entsoe_SFS_2017!$D$1:$AL$1='Abgleich Generation'!W$77)*Generation_Entsoe_SFS_2017!$D$3:$AL$40)+SUMPRODUCT((Generation_Entsoe_SFS_2017!$A$3:$A$40='Abgleich Generation'!$A96)*(Generation_Entsoe_SFS_2017!$D$1:$AL$1='Abgleich Generation'!W$76)*Generation_Entsoe_SFS_2017!$D$3:$AL$40)</f>
        <v>#VALUE!</v>
      </c>
      <c r="X96" s="61" t="e">
        <f>SUMPRODUCT((Generation_Entsoe_SFS_2017!$A$3:$A$40='Abgleich Generation'!$A96)*(Generation_Entsoe_SFS_2017!$D$1:$AL$1='Abgleich Generation'!X$81)*Generation_Entsoe_SFS_2017!$D$3:$AL$40)+SUMPRODUCT((Generation_Entsoe_SFS_2017!$A$3:$A$40='Abgleich Generation'!$A96)*(Generation_Entsoe_SFS_2017!$D$1:$AL$1='Abgleich Generation'!X$80)*Generation_Entsoe_SFS_2017!$D$3:$AL$40)+SUMPRODUCT((Generation_Entsoe_SFS_2017!$A$3:$A$40='Abgleich Generation'!$A96)*(Generation_Entsoe_SFS_2017!$D$1:$AL$1='Abgleich Generation'!X$79)*Generation_Entsoe_SFS_2017!$D$3:$AL$40)+SUMPRODUCT((Generation_Entsoe_SFS_2017!$A$3:$A$40='Abgleich Generation'!$A96)*(Generation_Entsoe_SFS_2017!$D$1:$AL$1='Abgleich Generation'!X$78)*Generation_Entsoe_SFS_2017!$D$3:$AL$40)+SUMPRODUCT((Generation_Entsoe_SFS_2017!$A$3:$A$40='Abgleich Generation'!$A96)*(Generation_Entsoe_SFS_2017!$D$1:$AL$1='Abgleich Generation'!X$77)*Generation_Entsoe_SFS_2017!$D$3:$AL$40)+SUMPRODUCT((Generation_Entsoe_SFS_2017!$A$3:$A$40='Abgleich Generation'!$A96)*(Generation_Entsoe_SFS_2017!$D$1:$AL$1='Abgleich Generation'!X$76)*Generation_Entsoe_SFS_2017!$D$3:$AL$40)</f>
        <v>#VALUE!</v>
      </c>
      <c r="Y96" s="61" t="e">
        <f t="shared" si="64"/>
        <v>#VALUE!</v>
      </c>
    </row>
    <row r="97" spans="1:33" x14ac:dyDescent="0.25">
      <c r="A97" s="14" t="s">
        <v>23</v>
      </c>
      <c r="B97" s="25" t="e">
        <f t="shared" si="60"/>
        <v>#VALUE!</v>
      </c>
      <c r="C97" s="26" t="e">
        <f>SUMPRODUCT((Generation_Entsoe_SFS_2017!$A$3:$A$40='Abgleich Generation'!$A97)*(Generation_Entsoe_SFS_2017!$D$1:$AL$1='Abgleich Generation'!C$81)*Generation_Entsoe_SFS_2017!$D$3:$AL$40)+SUMPRODUCT((Generation_Entsoe_SFS_2017!$A$3:$A$40='Abgleich Generation'!$A97)*(Generation_Entsoe_SFS_2017!$D$1:$AL$1='Abgleich Generation'!C$80)*Generation_Entsoe_SFS_2017!$D$3:$AL$40)+SUMPRODUCT((Generation_Entsoe_SFS_2017!$A$3:$A$40='Abgleich Generation'!$A97)*(Generation_Entsoe_SFS_2017!$D$1:$AL$1='Abgleich Generation'!C$79)*Generation_Entsoe_SFS_2017!$D$3:$AL$40)+SUMPRODUCT((Generation_Entsoe_SFS_2017!$A$3:$A$40='Abgleich Generation'!$A97)*(Generation_Entsoe_SFS_2017!$D$1:$AL$1='Abgleich Generation'!C$78)*Generation_Entsoe_SFS_2017!$D$3:$AL$40)</f>
        <v>#VALUE!</v>
      </c>
      <c r="D97" s="26" t="e">
        <f t="shared" si="61"/>
        <v>#VALUE!</v>
      </c>
      <c r="E97" s="26" t="e">
        <f>SUMPRODUCT((Generation_Entsoe_SFS_2017!$A$3:$A$40='Abgleich Generation'!$A97)*(Generation_Entsoe_SFS_2017!$D$1:$AL$1='Abgleich Generation'!E$81)*Generation_Entsoe_SFS_2017!$D$3:$AL$40)+SUMPRODUCT((Generation_Entsoe_SFS_2017!$A$3:$A$40='Abgleich Generation'!$A97)*(Generation_Entsoe_SFS_2017!$D$1:$AL$1='Abgleich Generation'!E$80)*Generation_Entsoe_SFS_2017!$D$3:$AL$40)+SUMPRODUCT((Generation_Entsoe_SFS_2017!$A$3:$A$40='Abgleich Generation'!$A97)*(Generation_Entsoe_SFS_2017!$D$1:$AL$1='Abgleich Generation'!E$79)*Generation_Entsoe_SFS_2017!$D$3:$AL$40)+SUMPRODUCT((Generation_Entsoe_SFS_2017!$A$3:$A$40='Abgleich Generation'!$A97)*(Generation_Entsoe_SFS_2017!$D$1:$AL$1='Abgleich Generation'!E$78)*Generation_Entsoe_SFS_2017!$D$3:$AL$40)</f>
        <v>#VALUE!</v>
      </c>
      <c r="F97" s="26" t="e">
        <f>SUMPRODUCT((Generation_Entsoe_SFS_2017!$A$3:$A$40='Abgleich Generation'!$A97)*(Generation_Entsoe_SFS_2017!$D$1:$AL$1='Abgleich Generation'!F$81)*Generation_Entsoe_SFS_2017!$D$3:$AL$40)+SUMPRODUCT((Generation_Entsoe_SFS_2017!$A$3:$A$40='Abgleich Generation'!$A97)*(Generation_Entsoe_SFS_2017!$D$1:$AL$1='Abgleich Generation'!F$80)*Generation_Entsoe_SFS_2017!$D$3:$AL$40)+SUMPRODUCT((Generation_Entsoe_SFS_2017!$A$3:$A$40='Abgleich Generation'!$A97)*(Generation_Entsoe_SFS_2017!$D$1:$AL$1='Abgleich Generation'!F$79)*Generation_Entsoe_SFS_2017!$D$3:$AL$40)+SUMPRODUCT((Generation_Entsoe_SFS_2017!$A$3:$A$40='Abgleich Generation'!$A97)*(Generation_Entsoe_SFS_2017!$D$1:$AL$1='Abgleich Generation'!F$78)*Generation_Entsoe_SFS_2017!$D$3:$AL$40)</f>
        <v>#VALUE!</v>
      </c>
      <c r="G97" s="26" t="e">
        <f>SUMPRODUCT((Generation_Entsoe_SFS_2017!$A$3:$A$40='Abgleich Generation'!$A97)*(Generation_Entsoe_SFS_2017!$D$1:$AL$1='Abgleich Generation'!G$81)*Generation_Entsoe_SFS_2017!$D$3:$AL$40)+SUMPRODUCT((Generation_Entsoe_SFS_2017!$A$3:$A$40='Abgleich Generation'!$A97)*(Generation_Entsoe_SFS_2017!$D$1:$AL$1='Abgleich Generation'!G$80)*Generation_Entsoe_SFS_2017!$D$3:$AL$40)+SUMPRODUCT((Generation_Entsoe_SFS_2017!$A$3:$A$40='Abgleich Generation'!$A97)*(Generation_Entsoe_SFS_2017!$D$1:$AL$1='Abgleich Generation'!G$79)*Generation_Entsoe_SFS_2017!$D$3:$AL$40)+SUMPRODUCT((Generation_Entsoe_SFS_2017!$A$3:$A$40='Abgleich Generation'!$A97)*(Generation_Entsoe_SFS_2017!$D$1:$AL$1='Abgleich Generation'!G$78)*Generation_Entsoe_SFS_2017!$D$3:$AL$40)</f>
        <v>#VALUE!</v>
      </c>
      <c r="H97" s="26" t="e">
        <f>SUMPRODUCT((Generation_Entsoe_SFS_2017!$A$3:$A$40='Abgleich Generation'!$A97)*(Generation_Entsoe_SFS_2017!$D$1:$AL$1='Abgleich Generation'!H$81)*Generation_Entsoe_SFS_2017!$D$3:$AL$40)+SUMPRODUCT((Generation_Entsoe_SFS_2017!$A$3:$A$40='Abgleich Generation'!$A97)*(Generation_Entsoe_SFS_2017!$D$1:$AL$1='Abgleich Generation'!H$80)*Generation_Entsoe_SFS_2017!$D$3:$AL$40)+SUMPRODUCT((Generation_Entsoe_SFS_2017!$A$3:$A$40='Abgleich Generation'!$A97)*(Generation_Entsoe_SFS_2017!$D$1:$AL$1='Abgleich Generation'!H$79)*Generation_Entsoe_SFS_2017!$D$3:$AL$40)+SUMPRODUCT((Generation_Entsoe_SFS_2017!$A$3:$A$40='Abgleich Generation'!$A97)*(Generation_Entsoe_SFS_2017!$D$1:$AL$1='Abgleich Generation'!H$78)*Generation_Entsoe_SFS_2017!$D$3:$AL$40)</f>
        <v>#VALUE!</v>
      </c>
      <c r="I97" s="26" t="e">
        <f>SUMPRODUCT((Generation_Entsoe_SFS_2017!$A$3:$A$40='Abgleich Generation'!$A97)*(Generation_Entsoe_SFS_2017!$D$1:$AL$1='Abgleich Generation'!I$81)*Generation_Entsoe_SFS_2017!$D$3:$AL$40)+SUMPRODUCT((Generation_Entsoe_SFS_2017!$A$3:$A$40='Abgleich Generation'!$A97)*(Generation_Entsoe_SFS_2017!$D$1:$AL$1='Abgleich Generation'!I$80)*Generation_Entsoe_SFS_2017!$D$3:$AL$40)+SUMPRODUCT((Generation_Entsoe_SFS_2017!$A$3:$A$40='Abgleich Generation'!$A97)*(Generation_Entsoe_SFS_2017!$D$1:$AL$1='Abgleich Generation'!I$79)*Generation_Entsoe_SFS_2017!$D$3:$AL$40)+SUMPRODUCT((Generation_Entsoe_SFS_2017!$A$3:$A$40='Abgleich Generation'!$A97)*(Generation_Entsoe_SFS_2017!$D$1:$AL$1='Abgleich Generation'!I$78)*Generation_Entsoe_SFS_2017!$D$3:$AL$40)</f>
        <v>#VALUE!</v>
      </c>
      <c r="J97" s="26" t="e">
        <f>SUMPRODUCT((Generation_Entsoe_SFS_2017!$A$3:$A$40='Abgleich Generation'!$A97)*(Generation_Entsoe_SFS_2017!$D$1:$AL$1='Abgleich Generation'!J$81)*Generation_Entsoe_SFS_2017!$D$3:$AL$40)+SUMPRODUCT((Generation_Entsoe_SFS_2017!$A$3:$A$40='Abgleich Generation'!$A97)*(Generation_Entsoe_SFS_2017!$D$1:$AL$1='Abgleich Generation'!J$80)*Generation_Entsoe_SFS_2017!$D$3:$AL$40)+SUMPRODUCT((Generation_Entsoe_SFS_2017!$A$3:$A$40='Abgleich Generation'!$A97)*(Generation_Entsoe_SFS_2017!$D$1:$AL$1='Abgleich Generation'!J$79)*Generation_Entsoe_SFS_2017!$D$3:$AL$40)+SUMPRODUCT((Generation_Entsoe_SFS_2017!$A$3:$A$40='Abgleich Generation'!$A97)*(Generation_Entsoe_SFS_2017!$D$1:$AL$1='Abgleich Generation'!J$78)*Generation_Entsoe_SFS_2017!$D$3:$AL$40)</f>
        <v>#VALUE!</v>
      </c>
      <c r="K97" s="27" t="e">
        <f t="shared" si="62"/>
        <v>#VALUE!</v>
      </c>
      <c r="L97" s="26" t="e">
        <f>SUMPRODUCT((Generation_Entsoe_SFS_2017!$A$3:$A$40='Abgleich Generation'!$A97)*(Generation_Entsoe_SFS_2017!$D$1:$AL$1='Abgleich Generation'!L$81)*Generation_Entsoe_SFS_2017!$D$3:$AL$40)+SUMPRODUCT((Generation_Entsoe_SFS_2017!$A$3:$A$40='Abgleich Generation'!$A97)*(Generation_Entsoe_SFS_2017!$D$1:$AL$1='Abgleich Generation'!L$80)*Generation_Entsoe_SFS_2017!$D$3:$AL$40)+SUMPRODUCT((Generation_Entsoe_SFS_2017!$A$3:$A$40='Abgleich Generation'!$A97)*(Generation_Entsoe_SFS_2017!$D$1:$AL$1='Abgleich Generation'!L$79)*Generation_Entsoe_SFS_2017!$D$3:$AL$40)+SUMPRODUCT((Generation_Entsoe_SFS_2017!$A$3:$A$40='Abgleich Generation'!$A97)*(Generation_Entsoe_SFS_2017!$D$1:$AL$1='Abgleich Generation'!L$78)*Generation_Entsoe_SFS_2017!$D$3:$AL$40)+SUMPRODUCT((Generation_Entsoe_SFS_2017!$A$3:$A$40='Abgleich Generation'!$A97)*(Generation_Entsoe_SFS_2017!$D$1:$AL$1='Abgleich Generation'!L$77)*Generation_Entsoe_SFS_2017!$D$3:$AL$40)+SUMPRODUCT((Generation_Entsoe_SFS_2017!$A$3:$A$40='Abgleich Generation'!$A97)*(Generation_Entsoe_SFS_2017!$D$1:$AL$1='Abgleich Generation'!L$76)*Generation_Entsoe_SFS_2017!$D$3:$AL$40)</f>
        <v>#VALUE!</v>
      </c>
      <c r="M97" s="26" t="e">
        <f>SUMPRODUCT((Generation_Entsoe_SFS_2017!$A$3:$A$40='Abgleich Generation'!$A97)*(Generation_Entsoe_SFS_2017!$D$1:$AL$1='Abgleich Generation'!M$81)*Generation_Entsoe_SFS_2017!$D$3:$AL$40)+SUMPRODUCT((Generation_Entsoe_SFS_2017!$A$3:$A$40='Abgleich Generation'!$A97)*(Generation_Entsoe_SFS_2017!$D$1:$AL$1='Abgleich Generation'!M$80)*Generation_Entsoe_SFS_2017!$D$3:$AL$40)+SUMPRODUCT((Generation_Entsoe_SFS_2017!$A$3:$A$40='Abgleich Generation'!$A97)*(Generation_Entsoe_SFS_2017!$D$1:$AL$1='Abgleich Generation'!M$79)*Generation_Entsoe_SFS_2017!$D$3:$AL$40)+SUMPRODUCT((Generation_Entsoe_SFS_2017!$A$3:$A$40='Abgleich Generation'!$A97)*(Generation_Entsoe_SFS_2017!$D$1:$AL$1='Abgleich Generation'!M$78)*Generation_Entsoe_SFS_2017!$D$3:$AL$40)+SUMPRODUCT((Generation_Entsoe_SFS_2017!$A$3:$A$40='Abgleich Generation'!$A97)*(Generation_Entsoe_SFS_2017!$D$1:$AL$1='Abgleich Generation'!M$77)*Generation_Entsoe_SFS_2017!$D$3:$AL$40)+SUMPRODUCT((Generation_Entsoe_SFS_2017!$A$3:$A$40='Abgleich Generation'!$A97)*(Generation_Entsoe_SFS_2017!$D$1:$AL$1='Abgleich Generation'!M$76)*Generation_Entsoe_SFS_2017!$D$3:$AL$40)</f>
        <v>#VALUE!</v>
      </c>
      <c r="N97" s="26" t="e">
        <f>SUMPRODUCT((Generation_Entsoe_SFS_2017!$A$3:$A$40='Abgleich Generation'!$A97)*(Generation_Entsoe_SFS_2017!$D$1:$AL$1='Abgleich Generation'!N$81)*Generation_Entsoe_SFS_2017!$D$3:$AL$40)+SUMPRODUCT((Generation_Entsoe_SFS_2017!$A$3:$A$40='Abgleich Generation'!$A97)*(Generation_Entsoe_SFS_2017!$D$1:$AL$1='Abgleich Generation'!N$80)*Generation_Entsoe_SFS_2017!$D$3:$AL$40)+SUMPRODUCT((Generation_Entsoe_SFS_2017!$A$3:$A$40='Abgleich Generation'!$A97)*(Generation_Entsoe_SFS_2017!$D$1:$AL$1='Abgleich Generation'!N$79)*Generation_Entsoe_SFS_2017!$D$3:$AL$40)+SUMPRODUCT((Generation_Entsoe_SFS_2017!$A$3:$A$40='Abgleich Generation'!$A97)*(Generation_Entsoe_SFS_2017!$D$1:$AL$1='Abgleich Generation'!N$78)*Generation_Entsoe_SFS_2017!$D$3:$AL$40)+SUMPRODUCT((Generation_Entsoe_SFS_2017!$A$3:$A$40='Abgleich Generation'!$A97)*(Generation_Entsoe_SFS_2017!$D$1:$AL$1='Abgleich Generation'!N$77)*Generation_Entsoe_SFS_2017!$D$3:$AL$40)+SUMPRODUCT((Generation_Entsoe_SFS_2017!$A$3:$A$40='Abgleich Generation'!$A97)*(Generation_Entsoe_SFS_2017!$D$1:$AL$1='Abgleich Generation'!N$76)*Generation_Entsoe_SFS_2017!$D$3:$AL$40)</f>
        <v>#VALUE!</v>
      </c>
      <c r="O97" s="26" t="e">
        <f>SUMPRODUCT((Generation_Entsoe_SFS_2017!$A$3:$A$40='Abgleich Generation'!$A97)*(Generation_Entsoe_SFS_2017!$D$1:$AL$1='Abgleich Generation'!O$81)*Generation_Entsoe_SFS_2017!$D$3:$AL$40)+SUMPRODUCT((Generation_Entsoe_SFS_2017!$A$3:$A$40='Abgleich Generation'!$A97)*(Generation_Entsoe_SFS_2017!$D$1:$AL$1='Abgleich Generation'!O$80)*Generation_Entsoe_SFS_2017!$D$3:$AL$40)+SUMPRODUCT((Generation_Entsoe_SFS_2017!$A$3:$A$40='Abgleich Generation'!$A97)*(Generation_Entsoe_SFS_2017!$D$1:$AL$1='Abgleich Generation'!O$79)*Generation_Entsoe_SFS_2017!$D$3:$AL$40)+SUMPRODUCT((Generation_Entsoe_SFS_2017!$A$3:$A$40='Abgleich Generation'!$A97)*(Generation_Entsoe_SFS_2017!$D$1:$AL$1='Abgleich Generation'!O$78)*Generation_Entsoe_SFS_2017!$D$3:$AL$40)+SUMPRODUCT((Generation_Entsoe_SFS_2017!$A$3:$A$40='Abgleich Generation'!$A97)*(Generation_Entsoe_SFS_2017!$D$1:$AL$1='Abgleich Generation'!O$77)*Generation_Entsoe_SFS_2017!$D$3:$AL$40)+SUMPRODUCT((Generation_Entsoe_SFS_2017!$A$3:$A$40='Abgleich Generation'!$A97)*(Generation_Entsoe_SFS_2017!$D$1:$AL$1='Abgleich Generation'!O$76)*Generation_Entsoe_SFS_2017!$D$3:$AL$40)</f>
        <v>#VALUE!</v>
      </c>
      <c r="P97" s="26" t="e">
        <f>SUMPRODUCT((Generation_Entsoe_SFS_2017!$A$3:$A$40='Abgleich Generation'!$A97)*(Generation_Entsoe_SFS_2017!$D$1:$AL$1='Abgleich Generation'!P$81)*Generation_Entsoe_SFS_2017!$D$3:$AL$40)+SUMPRODUCT((Generation_Entsoe_SFS_2017!$A$3:$A$40='Abgleich Generation'!$A97)*(Generation_Entsoe_SFS_2017!$D$1:$AL$1='Abgleich Generation'!P$80)*Generation_Entsoe_SFS_2017!$D$3:$AL$40)+SUMPRODUCT((Generation_Entsoe_SFS_2017!$A$3:$A$40='Abgleich Generation'!$A97)*(Generation_Entsoe_SFS_2017!$D$1:$AL$1='Abgleich Generation'!P$79)*Generation_Entsoe_SFS_2017!$D$3:$AL$40)+SUMPRODUCT((Generation_Entsoe_SFS_2017!$A$3:$A$40='Abgleich Generation'!$A97)*(Generation_Entsoe_SFS_2017!$D$1:$AL$1='Abgleich Generation'!P$78)*Generation_Entsoe_SFS_2017!$D$3:$AL$40)+SUMPRODUCT((Generation_Entsoe_SFS_2017!$A$3:$A$40='Abgleich Generation'!$A97)*(Generation_Entsoe_SFS_2017!$D$1:$AL$1='Abgleich Generation'!P$77)*Generation_Entsoe_SFS_2017!$D$3:$AL$40)+SUMPRODUCT((Generation_Entsoe_SFS_2017!$A$3:$A$40='Abgleich Generation'!$A97)*(Generation_Entsoe_SFS_2017!$D$1:$AL$1='Abgleich Generation'!P$76)*Generation_Entsoe_SFS_2017!$D$3:$AL$40)</f>
        <v>#VALUE!</v>
      </c>
      <c r="Q97" s="26" t="e">
        <f>SUMPRODUCT((Generation_Entsoe_SFS_2017!$A$3:$A$40='Abgleich Generation'!$A97)*(Generation_Entsoe_SFS_2017!$D$1:$AL$1='Abgleich Generation'!Q$81)*Generation_Entsoe_SFS_2017!$D$3:$AL$40)+SUMPRODUCT((Generation_Entsoe_SFS_2017!$A$3:$A$40='Abgleich Generation'!$A97)*(Generation_Entsoe_SFS_2017!$D$1:$AL$1='Abgleich Generation'!Q$80)*Generation_Entsoe_SFS_2017!$D$3:$AL$40)+SUMPRODUCT((Generation_Entsoe_SFS_2017!$A$3:$A$40='Abgleich Generation'!$A97)*(Generation_Entsoe_SFS_2017!$D$1:$AL$1='Abgleich Generation'!Q$79)*Generation_Entsoe_SFS_2017!$D$3:$AL$40)+SUMPRODUCT((Generation_Entsoe_SFS_2017!$A$3:$A$40='Abgleich Generation'!$A97)*(Generation_Entsoe_SFS_2017!$D$1:$AL$1='Abgleich Generation'!Q$78)*Generation_Entsoe_SFS_2017!$D$3:$AL$40)+SUMPRODUCT((Generation_Entsoe_SFS_2017!$A$3:$A$40='Abgleich Generation'!$A97)*(Generation_Entsoe_SFS_2017!$D$1:$AL$1='Abgleich Generation'!Q$77)*Generation_Entsoe_SFS_2017!$D$3:$AL$40)+SUMPRODUCT((Generation_Entsoe_SFS_2017!$A$3:$A$40='Abgleich Generation'!$A97)*(Generation_Entsoe_SFS_2017!$D$1:$AL$1='Abgleich Generation'!Q$76)*Generation_Entsoe_SFS_2017!$D$3:$AL$40)</f>
        <v>#VALUE!</v>
      </c>
      <c r="R97" s="26" t="e">
        <f>SUMPRODUCT((Generation_Entsoe_SFS_2017!$A$3:$A$40='Abgleich Generation'!$A97)*(Generation_Entsoe_SFS_2017!$D$1:$AL$1='Abgleich Generation'!R$81)*Generation_Entsoe_SFS_2017!$D$3:$AL$40)+SUMPRODUCT((Generation_Entsoe_SFS_2017!$A$3:$A$40='Abgleich Generation'!$A97)*(Generation_Entsoe_SFS_2017!$D$1:$AL$1='Abgleich Generation'!R$80)*Generation_Entsoe_SFS_2017!$D$3:$AL$40)+SUMPRODUCT((Generation_Entsoe_SFS_2017!$A$3:$A$40='Abgleich Generation'!$A97)*(Generation_Entsoe_SFS_2017!$D$1:$AL$1='Abgleich Generation'!R$79)*Generation_Entsoe_SFS_2017!$D$3:$AL$40)+SUMPRODUCT((Generation_Entsoe_SFS_2017!$A$3:$A$40='Abgleich Generation'!$A97)*(Generation_Entsoe_SFS_2017!$D$1:$AL$1='Abgleich Generation'!R$78)*Generation_Entsoe_SFS_2017!$D$3:$AL$40)+SUMPRODUCT((Generation_Entsoe_SFS_2017!$A$3:$A$40='Abgleich Generation'!$A97)*(Generation_Entsoe_SFS_2017!$D$1:$AL$1='Abgleich Generation'!R$77)*Generation_Entsoe_SFS_2017!$D$3:$AL$40)+SUMPRODUCT((Generation_Entsoe_SFS_2017!$A$3:$A$40='Abgleich Generation'!$A97)*(Generation_Entsoe_SFS_2017!$D$1:$AL$1='Abgleich Generation'!R$76)*Generation_Entsoe_SFS_2017!$D$3:$AL$40)</f>
        <v>#VALUE!</v>
      </c>
      <c r="S97" s="26" t="e">
        <f>SUMPRODUCT((Generation_Entsoe_SFS_2017!$A$3:$A$40='Abgleich Generation'!$A97)*(Generation_Entsoe_SFS_2017!$D$1:$AL$1='Abgleich Generation'!S$81)*Generation_Entsoe_SFS_2017!$D$3:$AL$40)+SUMPRODUCT((Generation_Entsoe_SFS_2017!$A$3:$A$40='Abgleich Generation'!$A97)*(Generation_Entsoe_SFS_2017!$D$1:$AL$1='Abgleich Generation'!S$80)*Generation_Entsoe_SFS_2017!$D$3:$AL$40)+SUMPRODUCT((Generation_Entsoe_SFS_2017!$A$3:$A$40='Abgleich Generation'!$A97)*(Generation_Entsoe_SFS_2017!$D$1:$AL$1='Abgleich Generation'!S$79)*Generation_Entsoe_SFS_2017!$D$3:$AL$40)+SUMPRODUCT((Generation_Entsoe_SFS_2017!$A$3:$A$40='Abgleich Generation'!$A97)*(Generation_Entsoe_SFS_2017!$D$1:$AL$1='Abgleich Generation'!S$78)*Generation_Entsoe_SFS_2017!$D$3:$AL$40)+SUMPRODUCT((Generation_Entsoe_SFS_2017!$A$3:$A$40='Abgleich Generation'!$A97)*(Generation_Entsoe_SFS_2017!$D$1:$AL$1='Abgleich Generation'!S$77)*Generation_Entsoe_SFS_2017!$D$3:$AL$40)+SUMPRODUCT((Generation_Entsoe_SFS_2017!$A$3:$A$40='Abgleich Generation'!$A97)*(Generation_Entsoe_SFS_2017!$D$1:$AL$1='Abgleich Generation'!S$76)*Generation_Entsoe_SFS_2017!$D$3:$AL$40)</f>
        <v>#VALUE!</v>
      </c>
      <c r="T97" s="26" t="e">
        <f>SUMPRODUCT((Generation_Entsoe_SFS_2017!$A$3:$A$40='Abgleich Generation'!$A97)*(Generation_Entsoe_SFS_2017!$D$1:$AL$1='Abgleich Generation'!T$81)*Generation_Entsoe_SFS_2017!$D$3:$AL$40)+SUMPRODUCT((Generation_Entsoe_SFS_2017!$A$3:$A$40='Abgleich Generation'!$A97)*(Generation_Entsoe_SFS_2017!$D$1:$AL$1='Abgleich Generation'!T$80)*Generation_Entsoe_SFS_2017!$D$3:$AL$40)+SUMPRODUCT((Generation_Entsoe_SFS_2017!$A$3:$A$40='Abgleich Generation'!$A97)*(Generation_Entsoe_SFS_2017!$D$1:$AL$1='Abgleich Generation'!T$79)*Generation_Entsoe_SFS_2017!$D$3:$AL$40)+SUMPRODUCT((Generation_Entsoe_SFS_2017!$A$3:$A$40='Abgleich Generation'!$A97)*(Generation_Entsoe_SFS_2017!$D$1:$AL$1='Abgleich Generation'!T$78)*Generation_Entsoe_SFS_2017!$D$3:$AL$40)+SUMPRODUCT((Generation_Entsoe_SFS_2017!$A$3:$A$40='Abgleich Generation'!$A97)*(Generation_Entsoe_SFS_2017!$D$1:$AL$1='Abgleich Generation'!T$77)*Generation_Entsoe_SFS_2017!$D$3:$AL$40)+SUMPRODUCT((Generation_Entsoe_SFS_2017!$A$3:$A$40='Abgleich Generation'!$A97)*(Generation_Entsoe_SFS_2017!$D$1:$AL$1='Abgleich Generation'!T$76)*Generation_Entsoe_SFS_2017!$D$3:$AL$40)</f>
        <v>#VALUE!</v>
      </c>
      <c r="U97" s="26" t="e">
        <f>SUMPRODUCT((Generation_Entsoe_SFS_2017!$A$3:$A$40='Abgleich Generation'!$A97)*(Generation_Entsoe_SFS_2017!$D$1:$AL$1='Abgleich Generation'!U$81)*Generation_Entsoe_SFS_2017!$D$3:$AL$40)+SUMPRODUCT((Generation_Entsoe_SFS_2017!$A$3:$A$40='Abgleich Generation'!$A97)*(Generation_Entsoe_SFS_2017!$D$1:$AL$1='Abgleich Generation'!U$80)*Generation_Entsoe_SFS_2017!$D$3:$AL$40)+SUMPRODUCT((Generation_Entsoe_SFS_2017!$A$3:$A$40='Abgleich Generation'!$A97)*(Generation_Entsoe_SFS_2017!$D$1:$AL$1='Abgleich Generation'!U$79)*Generation_Entsoe_SFS_2017!$D$3:$AL$40)+SUMPRODUCT((Generation_Entsoe_SFS_2017!$A$3:$A$40='Abgleich Generation'!$A97)*(Generation_Entsoe_SFS_2017!$D$1:$AL$1='Abgleich Generation'!U$78)*Generation_Entsoe_SFS_2017!$D$3:$AL$40)+SUMPRODUCT((Generation_Entsoe_SFS_2017!$A$3:$A$40='Abgleich Generation'!$A97)*(Generation_Entsoe_SFS_2017!$D$1:$AL$1='Abgleich Generation'!U$77)*Generation_Entsoe_SFS_2017!$D$3:$AL$40)+SUMPRODUCT((Generation_Entsoe_SFS_2017!$A$3:$A$40='Abgleich Generation'!$A97)*(Generation_Entsoe_SFS_2017!$D$1:$AL$1='Abgleich Generation'!U$76)*Generation_Entsoe_SFS_2017!$D$3:$AL$40)</f>
        <v>#VALUE!</v>
      </c>
      <c r="V97" s="27" t="e">
        <f t="shared" si="63"/>
        <v>#VALUE!</v>
      </c>
      <c r="W97" s="28" t="e">
        <f>SUMPRODUCT((Generation_Entsoe_SFS_2017!$A$3:$A$40='Abgleich Generation'!$A97)*(Generation_Entsoe_SFS_2017!$D$1:$AL$1='Abgleich Generation'!W$81)*Generation_Entsoe_SFS_2017!$D$3:$AL$40)+SUMPRODUCT((Generation_Entsoe_SFS_2017!$A$3:$A$40='Abgleich Generation'!$A97)*(Generation_Entsoe_SFS_2017!$D$1:$AL$1='Abgleich Generation'!W$80)*Generation_Entsoe_SFS_2017!$D$3:$AL$40)+SUMPRODUCT((Generation_Entsoe_SFS_2017!$A$3:$A$40='Abgleich Generation'!$A97)*(Generation_Entsoe_SFS_2017!$D$1:$AL$1='Abgleich Generation'!W$79)*Generation_Entsoe_SFS_2017!$D$3:$AL$40)+SUMPRODUCT((Generation_Entsoe_SFS_2017!$A$3:$A$40='Abgleich Generation'!$A97)*(Generation_Entsoe_SFS_2017!$D$1:$AL$1='Abgleich Generation'!W$78)*Generation_Entsoe_SFS_2017!$D$3:$AL$40)+SUMPRODUCT((Generation_Entsoe_SFS_2017!$A$3:$A$40='Abgleich Generation'!$A97)*(Generation_Entsoe_SFS_2017!$D$1:$AL$1='Abgleich Generation'!W$77)*Generation_Entsoe_SFS_2017!$D$3:$AL$40)+SUMPRODUCT((Generation_Entsoe_SFS_2017!$A$3:$A$40='Abgleich Generation'!$A97)*(Generation_Entsoe_SFS_2017!$D$1:$AL$1='Abgleich Generation'!W$76)*Generation_Entsoe_SFS_2017!$D$3:$AL$40)</f>
        <v>#VALUE!</v>
      </c>
      <c r="X97" s="29" t="e">
        <f>SUMPRODUCT((Generation_Entsoe_SFS_2017!$A$3:$A$40='Abgleich Generation'!$A97)*(Generation_Entsoe_SFS_2017!$D$1:$AL$1='Abgleich Generation'!X$81)*Generation_Entsoe_SFS_2017!$D$3:$AL$40)+SUMPRODUCT((Generation_Entsoe_SFS_2017!$A$3:$A$40='Abgleich Generation'!$A97)*(Generation_Entsoe_SFS_2017!$D$1:$AL$1='Abgleich Generation'!X$80)*Generation_Entsoe_SFS_2017!$D$3:$AL$40)+SUMPRODUCT((Generation_Entsoe_SFS_2017!$A$3:$A$40='Abgleich Generation'!$A97)*(Generation_Entsoe_SFS_2017!$D$1:$AL$1='Abgleich Generation'!X$79)*Generation_Entsoe_SFS_2017!$D$3:$AL$40)+SUMPRODUCT((Generation_Entsoe_SFS_2017!$A$3:$A$40='Abgleich Generation'!$A97)*(Generation_Entsoe_SFS_2017!$D$1:$AL$1='Abgleich Generation'!X$78)*Generation_Entsoe_SFS_2017!$D$3:$AL$40)+SUMPRODUCT((Generation_Entsoe_SFS_2017!$A$3:$A$40='Abgleich Generation'!$A97)*(Generation_Entsoe_SFS_2017!$D$1:$AL$1='Abgleich Generation'!X$77)*Generation_Entsoe_SFS_2017!$D$3:$AL$40)+SUMPRODUCT((Generation_Entsoe_SFS_2017!$A$3:$A$40='Abgleich Generation'!$A97)*(Generation_Entsoe_SFS_2017!$D$1:$AL$1='Abgleich Generation'!X$76)*Generation_Entsoe_SFS_2017!$D$3:$AL$40)</f>
        <v>#VALUE!</v>
      </c>
      <c r="Y97" s="29" t="e">
        <f t="shared" si="64"/>
        <v>#VALUE!</v>
      </c>
    </row>
    <row r="98" spans="1:33" x14ac:dyDescent="0.25">
      <c r="A98" s="14" t="s">
        <v>24</v>
      </c>
      <c r="B98" s="57" t="e">
        <f t="shared" si="60"/>
        <v>#VALUE!</v>
      </c>
      <c r="C98" s="58" t="e">
        <f>SUMPRODUCT((Generation_Entsoe_SFS_2017!$A$3:$A$40='Abgleich Generation'!$A98)*(Generation_Entsoe_SFS_2017!$D$1:$AL$1='Abgleich Generation'!C$81)*Generation_Entsoe_SFS_2017!$D$3:$AL$40)+SUMPRODUCT((Generation_Entsoe_SFS_2017!$A$3:$A$40='Abgleich Generation'!$A98)*(Generation_Entsoe_SFS_2017!$D$1:$AL$1='Abgleich Generation'!C$80)*Generation_Entsoe_SFS_2017!$D$3:$AL$40)+SUMPRODUCT((Generation_Entsoe_SFS_2017!$A$3:$A$40='Abgleich Generation'!$A98)*(Generation_Entsoe_SFS_2017!$D$1:$AL$1='Abgleich Generation'!C$79)*Generation_Entsoe_SFS_2017!$D$3:$AL$40)+SUMPRODUCT((Generation_Entsoe_SFS_2017!$A$3:$A$40='Abgleich Generation'!$A98)*(Generation_Entsoe_SFS_2017!$D$1:$AL$1='Abgleich Generation'!C$78)*Generation_Entsoe_SFS_2017!$D$3:$AL$40)</f>
        <v>#VALUE!</v>
      </c>
      <c r="D98" s="58" t="e">
        <f t="shared" si="61"/>
        <v>#VALUE!</v>
      </c>
      <c r="E98" s="58" t="e">
        <f>SUMPRODUCT((Generation_Entsoe_SFS_2017!$A$3:$A$40='Abgleich Generation'!$A98)*(Generation_Entsoe_SFS_2017!$D$1:$AL$1='Abgleich Generation'!E$81)*Generation_Entsoe_SFS_2017!$D$3:$AL$40)+SUMPRODUCT((Generation_Entsoe_SFS_2017!$A$3:$A$40='Abgleich Generation'!$A98)*(Generation_Entsoe_SFS_2017!$D$1:$AL$1='Abgleich Generation'!E$80)*Generation_Entsoe_SFS_2017!$D$3:$AL$40)+SUMPRODUCT((Generation_Entsoe_SFS_2017!$A$3:$A$40='Abgleich Generation'!$A98)*(Generation_Entsoe_SFS_2017!$D$1:$AL$1='Abgleich Generation'!E$79)*Generation_Entsoe_SFS_2017!$D$3:$AL$40)+SUMPRODUCT((Generation_Entsoe_SFS_2017!$A$3:$A$40='Abgleich Generation'!$A98)*(Generation_Entsoe_SFS_2017!$D$1:$AL$1='Abgleich Generation'!E$78)*Generation_Entsoe_SFS_2017!$D$3:$AL$40)</f>
        <v>#VALUE!</v>
      </c>
      <c r="F98" s="58" t="e">
        <f>SUMPRODUCT((Generation_Entsoe_SFS_2017!$A$3:$A$40='Abgleich Generation'!$A98)*(Generation_Entsoe_SFS_2017!$D$1:$AL$1='Abgleich Generation'!F$81)*Generation_Entsoe_SFS_2017!$D$3:$AL$40)+SUMPRODUCT((Generation_Entsoe_SFS_2017!$A$3:$A$40='Abgleich Generation'!$A98)*(Generation_Entsoe_SFS_2017!$D$1:$AL$1='Abgleich Generation'!F$80)*Generation_Entsoe_SFS_2017!$D$3:$AL$40)+SUMPRODUCT((Generation_Entsoe_SFS_2017!$A$3:$A$40='Abgleich Generation'!$A98)*(Generation_Entsoe_SFS_2017!$D$1:$AL$1='Abgleich Generation'!F$79)*Generation_Entsoe_SFS_2017!$D$3:$AL$40)+SUMPRODUCT((Generation_Entsoe_SFS_2017!$A$3:$A$40='Abgleich Generation'!$A98)*(Generation_Entsoe_SFS_2017!$D$1:$AL$1='Abgleich Generation'!F$78)*Generation_Entsoe_SFS_2017!$D$3:$AL$40)</f>
        <v>#VALUE!</v>
      </c>
      <c r="G98" s="58" t="e">
        <f>SUMPRODUCT((Generation_Entsoe_SFS_2017!$A$3:$A$40='Abgleich Generation'!$A98)*(Generation_Entsoe_SFS_2017!$D$1:$AL$1='Abgleich Generation'!G$81)*Generation_Entsoe_SFS_2017!$D$3:$AL$40)+SUMPRODUCT((Generation_Entsoe_SFS_2017!$A$3:$A$40='Abgleich Generation'!$A98)*(Generation_Entsoe_SFS_2017!$D$1:$AL$1='Abgleich Generation'!G$80)*Generation_Entsoe_SFS_2017!$D$3:$AL$40)+SUMPRODUCT((Generation_Entsoe_SFS_2017!$A$3:$A$40='Abgleich Generation'!$A98)*(Generation_Entsoe_SFS_2017!$D$1:$AL$1='Abgleich Generation'!G$79)*Generation_Entsoe_SFS_2017!$D$3:$AL$40)+SUMPRODUCT((Generation_Entsoe_SFS_2017!$A$3:$A$40='Abgleich Generation'!$A98)*(Generation_Entsoe_SFS_2017!$D$1:$AL$1='Abgleich Generation'!G$78)*Generation_Entsoe_SFS_2017!$D$3:$AL$40)</f>
        <v>#VALUE!</v>
      </c>
      <c r="H98" s="58" t="e">
        <f>SUMPRODUCT((Generation_Entsoe_SFS_2017!$A$3:$A$40='Abgleich Generation'!$A98)*(Generation_Entsoe_SFS_2017!$D$1:$AL$1='Abgleich Generation'!H$81)*Generation_Entsoe_SFS_2017!$D$3:$AL$40)+SUMPRODUCT((Generation_Entsoe_SFS_2017!$A$3:$A$40='Abgleich Generation'!$A98)*(Generation_Entsoe_SFS_2017!$D$1:$AL$1='Abgleich Generation'!H$80)*Generation_Entsoe_SFS_2017!$D$3:$AL$40)+SUMPRODUCT((Generation_Entsoe_SFS_2017!$A$3:$A$40='Abgleich Generation'!$A98)*(Generation_Entsoe_SFS_2017!$D$1:$AL$1='Abgleich Generation'!H$79)*Generation_Entsoe_SFS_2017!$D$3:$AL$40)+SUMPRODUCT((Generation_Entsoe_SFS_2017!$A$3:$A$40='Abgleich Generation'!$A98)*(Generation_Entsoe_SFS_2017!$D$1:$AL$1='Abgleich Generation'!H$78)*Generation_Entsoe_SFS_2017!$D$3:$AL$40)</f>
        <v>#VALUE!</v>
      </c>
      <c r="I98" s="58" t="e">
        <f>SUMPRODUCT((Generation_Entsoe_SFS_2017!$A$3:$A$40='Abgleich Generation'!$A98)*(Generation_Entsoe_SFS_2017!$D$1:$AL$1='Abgleich Generation'!I$81)*Generation_Entsoe_SFS_2017!$D$3:$AL$40)+SUMPRODUCT((Generation_Entsoe_SFS_2017!$A$3:$A$40='Abgleich Generation'!$A98)*(Generation_Entsoe_SFS_2017!$D$1:$AL$1='Abgleich Generation'!I$80)*Generation_Entsoe_SFS_2017!$D$3:$AL$40)+SUMPRODUCT((Generation_Entsoe_SFS_2017!$A$3:$A$40='Abgleich Generation'!$A98)*(Generation_Entsoe_SFS_2017!$D$1:$AL$1='Abgleich Generation'!I$79)*Generation_Entsoe_SFS_2017!$D$3:$AL$40)+SUMPRODUCT((Generation_Entsoe_SFS_2017!$A$3:$A$40='Abgleich Generation'!$A98)*(Generation_Entsoe_SFS_2017!$D$1:$AL$1='Abgleich Generation'!I$78)*Generation_Entsoe_SFS_2017!$D$3:$AL$40)</f>
        <v>#VALUE!</v>
      </c>
      <c r="J98" s="58" t="e">
        <f>SUMPRODUCT((Generation_Entsoe_SFS_2017!$A$3:$A$40='Abgleich Generation'!$A98)*(Generation_Entsoe_SFS_2017!$D$1:$AL$1='Abgleich Generation'!J$81)*Generation_Entsoe_SFS_2017!$D$3:$AL$40)+SUMPRODUCT((Generation_Entsoe_SFS_2017!$A$3:$A$40='Abgleich Generation'!$A98)*(Generation_Entsoe_SFS_2017!$D$1:$AL$1='Abgleich Generation'!J$80)*Generation_Entsoe_SFS_2017!$D$3:$AL$40)+SUMPRODUCT((Generation_Entsoe_SFS_2017!$A$3:$A$40='Abgleich Generation'!$A98)*(Generation_Entsoe_SFS_2017!$D$1:$AL$1='Abgleich Generation'!J$79)*Generation_Entsoe_SFS_2017!$D$3:$AL$40)+SUMPRODUCT((Generation_Entsoe_SFS_2017!$A$3:$A$40='Abgleich Generation'!$A98)*(Generation_Entsoe_SFS_2017!$D$1:$AL$1='Abgleich Generation'!J$78)*Generation_Entsoe_SFS_2017!$D$3:$AL$40)</f>
        <v>#VALUE!</v>
      </c>
      <c r="K98" s="59" t="e">
        <f t="shared" si="62"/>
        <v>#VALUE!</v>
      </c>
      <c r="L98" s="58" t="e">
        <f>SUMPRODUCT((Generation_Entsoe_SFS_2017!$A$3:$A$40='Abgleich Generation'!$A98)*(Generation_Entsoe_SFS_2017!$D$1:$AL$1='Abgleich Generation'!L$81)*Generation_Entsoe_SFS_2017!$D$3:$AL$40)+SUMPRODUCT((Generation_Entsoe_SFS_2017!$A$3:$A$40='Abgleich Generation'!$A98)*(Generation_Entsoe_SFS_2017!$D$1:$AL$1='Abgleich Generation'!L$80)*Generation_Entsoe_SFS_2017!$D$3:$AL$40)+SUMPRODUCT((Generation_Entsoe_SFS_2017!$A$3:$A$40='Abgleich Generation'!$A98)*(Generation_Entsoe_SFS_2017!$D$1:$AL$1='Abgleich Generation'!L$79)*Generation_Entsoe_SFS_2017!$D$3:$AL$40)+SUMPRODUCT((Generation_Entsoe_SFS_2017!$A$3:$A$40='Abgleich Generation'!$A98)*(Generation_Entsoe_SFS_2017!$D$1:$AL$1='Abgleich Generation'!L$78)*Generation_Entsoe_SFS_2017!$D$3:$AL$40)+SUMPRODUCT((Generation_Entsoe_SFS_2017!$A$3:$A$40='Abgleich Generation'!$A98)*(Generation_Entsoe_SFS_2017!$D$1:$AL$1='Abgleich Generation'!L$77)*Generation_Entsoe_SFS_2017!$D$3:$AL$40)+SUMPRODUCT((Generation_Entsoe_SFS_2017!$A$3:$A$40='Abgleich Generation'!$A98)*(Generation_Entsoe_SFS_2017!$D$1:$AL$1='Abgleich Generation'!L$76)*Generation_Entsoe_SFS_2017!$D$3:$AL$40)</f>
        <v>#VALUE!</v>
      </c>
      <c r="M98" s="58" t="e">
        <f>SUMPRODUCT((Generation_Entsoe_SFS_2017!$A$3:$A$40='Abgleich Generation'!$A98)*(Generation_Entsoe_SFS_2017!$D$1:$AL$1='Abgleich Generation'!M$81)*Generation_Entsoe_SFS_2017!$D$3:$AL$40)+SUMPRODUCT((Generation_Entsoe_SFS_2017!$A$3:$A$40='Abgleich Generation'!$A98)*(Generation_Entsoe_SFS_2017!$D$1:$AL$1='Abgleich Generation'!M$80)*Generation_Entsoe_SFS_2017!$D$3:$AL$40)+SUMPRODUCT((Generation_Entsoe_SFS_2017!$A$3:$A$40='Abgleich Generation'!$A98)*(Generation_Entsoe_SFS_2017!$D$1:$AL$1='Abgleich Generation'!M$79)*Generation_Entsoe_SFS_2017!$D$3:$AL$40)+SUMPRODUCT((Generation_Entsoe_SFS_2017!$A$3:$A$40='Abgleich Generation'!$A98)*(Generation_Entsoe_SFS_2017!$D$1:$AL$1='Abgleich Generation'!M$78)*Generation_Entsoe_SFS_2017!$D$3:$AL$40)+SUMPRODUCT((Generation_Entsoe_SFS_2017!$A$3:$A$40='Abgleich Generation'!$A98)*(Generation_Entsoe_SFS_2017!$D$1:$AL$1='Abgleich Generation'!M$77)*Generation_Entsoe_SFS_2017!$D$3:$AL$40)+SUMPRODUCT((Generation_Entsoe_SFS_2017!$A$3:$A$40='Abgleich Generation'!$A98)*(Generation_Entsoe_SFS_2017!$D$1:$AL$1='Abgleich Generation'!M$76)*Generation_Entsoe_SFS_2017!$D$3:$AL$40)</f>
        <v>#VALUE!</v>
      </c>
      <c r="N98" s="58" t="e">
        <f>SUMPRODUCT((Generation_Entsoe_SFS_2017!$A$3:$A$40='Abgleich Generation'!$A98)*(Generation_Entsoe_SFS_2017!$D$1:$AL$1='Abgleich Generation'!N$81)*Generation_Entsoe_SFS_2017!$D$3:$AL$40)+SUMPRODUCT((Generation_Entsoe_SFS_2017!$A$3:$A$40='Abgleich Generation'!$A98)*(Generation_Entsoe_SFS_2017!$D$1:$AL$1='Abgleich Generation'!N$80)*Generation_Entsoe_SFS_2017!$D$3:$AL$40)+SUMPRODUCT((Generation_Entsoe_SFS_2017!$A$3:$A$40='Abgleich Generation'!$A98)*(Generation_Entsoe_SFS_2017!$D$1:$AL$1='Abgleich Generation'!N$79)*Generation_Entsoe_SFS_2017!$D$3:$AL$40)+SUMPRODUCT((Generation_Entsoe_SFS_2017!$A$3:$A$40='Abgleich Generation'!$A98)*(Generation_Entsoe_SFS_2017!$D$1:$AL$1='Abgleich Generation'!N$78)*Generation_Entsoe_SFS_2017!$D$3:$AL$40)+SUMPRODUCT((Generation_Entsoe_SFS_2017!$A$3:$A$40='Abgleich Generation'!$A98)*(Generation_Entsoe_SFS_2017!$D$1:$AL$1='Abgleich Generation'!N$77)*Generation_Entsoe_SFS_2017!$D$3:$AL$40)+SUMPRODUCT((Generation_Entsoe_SFS_2017!$A$3:$A$40='Abgleich Generation'!$A98)*(Generation_Entsoe_SFS_2017!$D$1:$AL$1='Abgleich Generation'!N$76)*Generation_Entsoe_SFS_2017!$D$3:$AL$40)</f>
        <v>#VALUE!</v>
      </c>
      <c r="O98" s="58" t="e">
        <f>SUMPRODUCT((Generation_Entsoe_SFS_2017!$A$3:$A$40='Abgleich Generation'!$A98)*(Generation_Entsoe_SFS_2017!$D$1:$AL$1='Abgleich Generation'!O$81)*Generation_Entsoe_SFS_2017!$D$3:$AL$40)+SUMPRODUCT((Generation_Entsoe_SFS_2017!$A$3:$A$40='Abgleich Generation'!$A98)*(Generation_Entsoe_SFS_2017!$D$1:$AL$1='Abgleich Generation'!O$80)*Generation_Entsoe_SFS_2017!$D$3:$AL$40)+SUMPRODUCT((Generation_Entsoe_SFS_2017!$A$3:$A$40='Abgleich Generation'!$A98)*(Generation_Entsoe_SFS_2017!$D$1:$AL$1='Abgleich Generation'!O$79)*Generation_Entsoe_SFS_2017!$D$3:$AL$40)+SUMPRODUCT((Generation_Entsoe_SFS_2017!$A$3:$A$40='Abgleich Generation'!$A98)*(Generation_Entsoe_SFS_2017!$D$1:$AL$1='Abgleich Generation'!O$78)*Generation_Entsoe_SFS_2017!$D$3:$AL$40)+SUMPRODUCT((Generation_Entsoe_SFS_2017!$A$3:$A$40='Abgleich Generation'!$A98)*(Generation_Entsoe_SFS_2017!$D$1:$AL$1='Abgleich Generation'!O$77)*Generation_Entsoe_SFS_2017!$D$3:$AL$40)+SUMPRODUCT((Generation_Entsoe_SFS_2017!$A$3:$A$40='Abgleich Generation'!$A98)*(Generation_Entsoe_SFS_2017!$D$1:$AL$1='Abgleich Generation'!O$76)*Generation_Entsoe_SFS_2017!$D$3:$AL$40)</f>
        <v>#VALUE!</v>
      </c>
      <c r="P98" s="58" t="e">
        <f>SUMPRODUCT((Generation_Entsoe_SFS_2017!$A$3:$A$40='Abgleich Generation'!$A98)*(Generation_Entsoe_SFS_2017!$D$1:$AL$1='Abgleich Generation'!P$81)*Generation_Entsoe_SFS_2017!$D$3:$AL$40)+SUMPRODUCT((Generation_Entsoe_SFS_2017!$A$3:$A$40='Abgleich Generation'!$A98)*(Generation_Entsoe_SFS_2017!$D$1:$AL$1='Abgleich Generation'!P$80)*Generation_Entsoe_SFS_2017!$D$3:$AL$40)+SUMPRODUCT((Generation_Entsoe_SFS_2017!$A$3:$A$40='Abgleich Generation'!$A98)*(Generation_Entsoe_SFS_2017!$D$1:$AL$1='Abgleich Generation'!P$79)*Generation_Entsoe_SFS_2017!$D$3:$AL$40)+SUMPRODUCT((Generation_Entsoe_SFS_2017!$A$3:$A$40='Abgleich Generation'!$A98)*(Generation_Entsoe_SFS_2017!$D$1:$AL$1='Abgleich Generation'!P$78)*Generation_Entsoe_SFS_2017!$D$3:$AL$40)+SUMPRODUCT((Generation_Entsoe_SFS_2017!$A$3:$A$40='Abgleich Generation'!$A98)*(Generation_Entsoe_SFS_2017!$D$1:$AL$1='Abgleich Generation'!P$77)*Generation_Entsoe_SFS_2017!$D$3:$AL$40)+SUMPRODUCT((Generation_Entsoe_SFS_2017!$A$3:$A$40='Abgleich Generation'!$A98)*(Generation_Entsoe_SFS_2017!$D$1:$AL$1='Abgleich Generation'!P$76)*Generation_Entsoe_SFS_2017!$D$3:$AL$40)</f>
        <v>#VALUE!</v>
      </c>
      <c r="Q98" s="58" t="e">
        <f>SUMPRODUCT((Generation_Entsoe_SFS_2017!$A$3:$A$40='Abgleich Generation'!$A98)*(Generation_Entsoe_SFS_2017!$D$1:$AL$1='Abgleich Generation'!Q$81)*Generation_Entsoe_SFS_2017!$D$3:$AL$40)+SUMPRODUCT((Generation_Entsoe_SFS_2017!$A$3:$A$40='Abgleich Generation'!$A98)*(Generation_Entsoe_SFS_2017!$D$1:$AL$1='Abgleich Generation'!Q$80)*Generation_Entsoe_SFS_2017!$D$3:$AL$40)+SUMPRODUCT((Generation_Entsoe_SFS_2017!$A$3:$A$40='Abgleich Generation'!$A98)*(Generation_Entsoe_SFS_2017!$D$1:$AL$1='Abgleich Generation'!Q$79)*Generation_Entsoe_SFS_2017!$D$3:$AL$40)+SUMPRODUCT((Generation_Entsoe_SFS_2017!$A$3:$A$40='Abgleich Generation'!$A98)*(Generation_Entsoe_SFS_2017!$D$1:$AL$1='Abgleich Generation'!Q$78)*Generation_Entsoe_SFS_2017!$D$3:$AL$40)+SUMPRODUCT((Generation_Entsoe_SFS_2017!$A$3:$A$40='Abgleich Generation'!$A98)*(Generation_Entsoe_SFS_2017!$D$1:$AL$1='Abgleich Generation'!Q$77)*Generation_Entsoe_SFS_2017!$D$3:$AL$40)+SUMPRODUCT((Generation_Entsoe_SFS_2017!$A$3:$A$40='Abgleich Generation'!$A98)*(Generation_Entsoe_SFS_2017!$D$1:$AL$1='Abgleich Generation'!Q$76)*Generation_Entsoe_SFS_2017!$D$3:$AL$40)</f>
        <v>#VALUE!</v>
      </c>
      <c r="R98" s="58" t="e">
        <f>SUMPRODUCT((Generation_Entsoe_SFS_2017!$A$3:$A$40='Abgleich Generation'!$A98)*(Generation_Entsoe_SFS_2017!$D$1:$AL$1='Abgleich Generation'!R$81)*Generation_Entsoe_SFS_2017!$D$3:$AL$40)+SUMPRODUCT((Generation_Entsoe_SFS_2017!$A$3:$A$40='Abgleich Generation'!$A98)*(Generation_Entsoe_SFS_2017!$D$1:$AL$1='Abgleich Generation'!R$80)*Generation_Entsoe_SFS_2017!$D$3:$AL$40)+SUMPRODUCT((Generation_Entsoe_SFS_2017!$A$3:$A$40='Abgleich Generation'!$A98)*(Generation_Entsoe_SFS_2017!$D$1:$AL$1='Abgleich Generation'!R$79)*Generation_Entsoe_SFS_2017!$D$3:$AL$40)+SUMPRODUCT((Generation_Entsoe_SFS_2017!$A$3:$A$40='Abgleich Generation'!$A98)*(Generation_Entsoe_SFS_2017!$D$1:$AL$1='Abgleich Generation'!R$78)*Generation_Entsoe_SFS_2017!$D$3:$AL$40)+SUMPRODUCT((Generation_Entsoe_SFS_2017!$A$3:$A$40='Abgleich Generation'!$A98)*(Generation_Entsoe_SFS_2017!$D$1:$AL$1='Abgleich Generation'!R$77)*Generation_Entsoe_SFS_2017!$D$3:$AL$40)+SUMPRODUCT((Generation_Entsoe_SFS_2017!$A$3:$A$40='Abgleich Generation'!$A98)*(Generation_Entsoe_SFS_2017!$D$1:$AL$1='Abgleich Generation'!R$76)*Generation_Entsoe_SFS_2017!$D$3:$AL$40)</f>
        <v>#VALUE!</v>
      </c>
      <c r="S98" s="58" t="e">
        <f>SUMPRODUCT((Generation_Entsoe_SFS_2017!$A$3:$A$40='Abgleich Generation'!$A98)*(Generation_Entsoe_SFS_2017!$D$1:$AL$1='Abgleich Generation'!S$81)*Generation_Entsoe_SFS_2017!$D$3:$AL$40)+SUMPRODUCT((Generation_Entsoe_SFS_2017!$A$3:$A$40='Abgleich Generation'!$A98)*(Generation_Entsoe_SFS_2017!$D$1:$AL$1='Abgleich Generation'!S$80)*Generation_Entsoe_SFS_2017!$D$3:$AL$40)+SUMPRODUCT((Generation_Entsoe_SFS_2017!$A$3:$A$40='Abgleich Generation'!$A98)*(Generation_Entsoe_SFS_2017!$D$1:$AL$1='Abgleich Generation'!S$79)*Generation_Entsoe_SFS_2017!$D$3:$AL$40)+SUMPRODUCT((Generation_Entsoe_SFS_2017!$A$3:$A$40='Abgleich Generation'!$A98)*(Generation_Entsoe_SFS_2017!$D$1:$AL$1='Abgleich Generation'!S$78)*Generation_Entsoe_SFS_2017!$D$3:$AL$40)+SUMPRODUCT((Generation_Entsoe_SFS_2017!$A$3:$A$40='Abgleich Generation'!$A98)*(Generation_Entsoe_SFS_2017!$D$1:$AL$1='Abgleich Generation'!S$77)*Generation_Entsoe_SFS_2017!$D$3:$AL$40)+SUMPRODUCT((Generation_Entsoe_SFS_2017!$A$3:$A$40='Abgleich Generation'!$A98)*(Generation_Entsoe_SFS_2017!$D$1:$AL$1='Abgleich Generation'!S$76)*Generation_Entsoe_SFS_2017!$D$3:$AL$40)</f>
        <v>#VALUE!</v>
      </c>
      <c r="T98" s="58" t="e">
        <f>SUMPRODUCT((Generation_Entsoe_SFS_2017!$A$3:$A$40='Abgleich Generation'!$A98)*(Generation_Entsoe_SFS_2017!$D$1:$AL$1='Abgleich Generation'!T$81)*Generation_Entsoe_SFS_2017!$D$3:$AL$40)+SUMPRODUCT((Generation_Entsoe_SFS_2017!$A$3:$A$40='Abgleich Generation'!$A98)*(Generation_Entsoe_SFS_2017!$D$1:$AL$1='Abgleich Generation'!T$80)*Generation_Entsoe_SFS_2017!$D$3:$AL$40)+SUMPRODUCT((Generation_Entsoe_SFS_2017!$A$3:$A$40='Abgleich Generation'!$A98)*(Generation_Entsoe_SFS_2017!$D$1:$AL$1='Abgleich Generation'!T$79)*Generation_Entsoe_SFS_2017!$D$3:$AL$40)+SUMPRODUCT((Generation_Entsoe_SFS_2017!$A$3:$A$40='Abgleich Generation'!$A98)*(Generation_Entsoe_SFS_2017!$D$1:$AL$1='Abgleich Generation'!T$78)*Generation_Entsoe_SFS_2017!$D$3:$AL$40)+SUMPRODUCT((Generation_Entsoe_SFS_2017!$A$3:$A$40='Abgleich Generation'!$A98)*(Generation_Entsoe_SFS_2017!$D$1:$AL$1='Abgleich Generation'!T$77)*Generation_Entsoe_SFS_2017!$D$3:$AL$40)+SUMPRODUCT((Generation_Entsoe_SFS_2017!$A$3:$A$40='Abgleich Generation'!$A98)*(Generation_Entsoe_SFS_2017!$D$1:$AL$1='Abgleich Generation'!T$76)*Generation_Entsoe_SFS_2017!$D$3:$AL$40)</f>
        <v>#VALUE!</v>
      </c>
      <c r="U98" s="58" t="e">
        <f>SUMPRODUCT((Generation_Entsoe_SFS_2017!$A$3:$A$40='Abgleich Generation'!$A98)*(Generation_Entsoe_SFS_2017!$D$1:$AL$1='Abgleich Generation'!U$81)*Generation_Entsoe_SFS_2017!$D$3:$AL$40)+SUMPRODUCT((Generation_Entsoe_SFS_2017!$A$3:$A$40='Abgleich Generation'!$A98)*(Generation_Entsoe_SFS_2017!$D$1:$AL$1='Abgleich Generation'!U$80)*Generation_Entsoe_SFS_2017!$D$3:$AL$40)+SUMPRODUCT((Generation_Entsoe_SFS_2017!$A$3:$A$40='Abgleich Generation'!$A98)*(Generation_Entsoe_SFS_2017!$D$1:$AL$1='Abgleich Generation'!U$79)*Generation_Entsoe_SFS_2017!$D$3:$AL$40)+SUMPRODUCT((Generation_Entsoe_SFS_2017!$A$3:$A$40='Abgleich Generation'!$A98)*(Generation_Entsoe_SFS_2017!$D$1:$AL$1='Abgleich Generation'!U$78)*Generation_Entsoe_SFS_2017!$D$3:$AL$40)+SUMPRODUCT((Generation_Entsoe_SFS_2017!$A$3:$A$40='Abgleich Generation'!$A98)*(Generation_Entsoe_SFS_2017!$D$1:$AL$1='Abgleich Generation'!U$77)*Generation_Entsoe_SFS_2017!$D$3:$AL$40)+SUMPRODUCT((Generation_Entsoe_SFS_2017!$A$3:$A$40='Abgleich Generation'!$A98)*(Generation_Entsoe_SFS_2017!$D$1:$AL$1='Abgleich Generation'!U$76)*Generation_Entsoe_SFS_2017!$D$3:$AL$40)</f>
        <v>#VALUE!</v>
      </c>
      <c r="V98" s="59" t="e">
        <f t="shared" si="63"/>
        <v>#VALUE!</v>
      </c>
      <c r="W98" s="60" t="e">
        <f>SUMPRODUCT((Generation_Entsoe_SFS_2017!$A$3:$A$40='Abgleich Generation'!$A98)*(Generation_Entsoe_SFS_2017!$D$1:$AL$1='Abgleich Generation'!W$81)*Generation_Entsoe_SFS_2017!$D$3:$AL$40)+SUMPRODUCT((Generation_Entsoe_SFS_2017!$A$3:$A$40='Abgleich Generation'!$A98)*(Generation_Entsoe_SFS_2017!$D$1:$AL$1='Abgleich Generation'!W$80)*Generation_Entsoe_SFS_2017!$D$3:$AL$40)+SUMPRODUCT((Generation_Entsoe_SFS_2017!$A$3:$A$40='Abgleich Generation'!$A98)*(Generation_Entsoe_SFS_2017!$D$1:$AL$1='Abgleich Generation'!W$79)*Generation_Entsoe_SFS_2017!$D$3:$AL$40)+SUMPRODUCT((Generation_Entsoe_SFS_2017!$A$3:$A$40='Abgleich Generation'!$A98)*(Generation_Entsoe_SFS_2017!$D$1:$AL$1='Abgleich Generation'!W$78)*Generation_Entsoe_SFS_2017!$D$3:$AL$40)+SUMPRODUCT((Generation_Entsoe_SFS_2017!$A$3:$A$40='Abgleich Generation'!$A98)*(Generation_Entsoe_SFS_2017!$D$1:$AL$1='Abgleich Generation'!W$77)*Generation_Entsoe_SFS_2017!$D$3:$AL$40)+SUMPRODUCT((Generation_Entsoe_SFS_2017!$A$3:$A$40='Abgleich Generation'!$A98)*(Generation_Entsoe_SFS_2017!$D$1:$AL$1='Abgleich Generation'!W$76)*Generation_Entsoe_SFS_2017!$D$3:$AL$40)</f>
        <v>#VALUE!</v>
      </c>
      <c r="X98" s="61" t="e">
        <f>SUMPRODUCT((Generation_Entsoe_SFS_2017!$A$3:$A$40='Abgleich Generation'!$A98)*(Generation_Entsoe_SFS_2017!$D$1:$AL$1='Abgleich Generation'!X$81)*Generation_Entsoe_SFS_2017!$D$3:$AL$40)+SUMPRODUCT((Generation_Entsoe_SFS_2017!$A$3:$A$40='Abgleich Generation'!$A98)*(Generation_Entsoe_SFS_2017!$D$1:$AL$1='Abgleich Generation'!X$80)*Generation_Entsoe_SFS_2017!$D$3:$AL$40)+SUMPRODUCT((Generation_Entsoe_SFS_2017!$A$3:$A$40='Abgleich Generation'!$A98)*(Generation_Entsoe_SFS_2017!$D$1:$AL$1='Abgleich Generation'!X$79)*Generation_Entsoe_SFS_2017!$D$3:$AL$40)+SUMPRODUCT((Generation_Entsoe_SFS_2017!$A$3:$A$40='Abgleich Generation'!$A98)*(Generation_Entsoe_SFS_2017!$D$1:$AL$1='Abgleich Generation'!X$78)*Generation_Entsoe_SFS_2017!$D$3:$AL$40)+SUMPRODUCT((Generation_Entsoe_SFS_2017!$A$3:$A$40='Abgleich Generation'!$A98)*(Generation_Entsoe_SFS_2017!$D$1:$AL$1='Abgleich Generation'!X$77)*Generation_Entsoe_SFS_2017!$D$3:$AL$40)+SUMPRODUCT((Generation_Entsoe_SFS_2017!$A$3:$A$40='Abgleich Generation'!$A98)*(Generation_Entsoe_SFS_2017!$D$1:$AL$1='Abgleich Generation'!X$76)*Generation_Entsoe_SFS_2017!$D$3:$AL$40)</f>
        <v>#VALUE!</v>
      </c>
      <c r="Y98" s="61" t="e">
        <f t="shared" si="64"/>
        <v>#VALUE!</v>
      </c>
    </row>
    <row r="99" spans="1:33" x14ac:dyDescent="0.25">
      <c r="A99" s="14" t="s">
        <v>25</v>
      </c>
      <c r="B99" s="25" t="e">
        <f t="shared" si="60"/>
        <v>#VALUE!</v>
      </c>
      <c r="C99" s="26" t="e">
        <f>SUMPRODUCT((Generation_Entsoe_SFS_2017!$A$3:$A$40='Abgleich Generation'!$A99)*(Generation_Entsoe_SFS_2017!$D$1:$AL$1='Abgleich Generation'!C$81)*Generation_Entsoe_SFS_2017!$D$3:$AL$40)+SUMPRODUCT((Generation_Entsoe_SFS_2017!$A$3:$A$40='Abgleich Generation'!$A99)*(Generation_Entsoe_SFS_2017!$D$1:$AL$1='Abgleich Generation'!C$80)*Generation_Entsoe_SFS_2017!$D$3:$AL$40)+SUMPRODUCT((Generation_Entsoe_SFS_2017!$A$3:$A$40='Abgleich Generation'!$A99)*(Generation_Entsoe_SFS_2017!$D$1:$AL$1='Abgleich Generation'!C$79)*Generation_Entsoe_SFS_2017!$D$3:$AL$40)+SUMPRODUCT((Generation_Entsoe_SFS_2017!$A$3:$A$40='Abgleich Generation'!$A99)*(Generation_Entsoe_SFS_2017!$D$1:$AL$1='Abgleich Generation'!C$78)*Generation_Entsoe_SFS_2017!$D$3:$AL$40)</f>
        <v>#VALUE!</v>
      </c>
      <c r="D99" s="26" t="e">
        <f t="shared" si="61"/>
        <v>#VALUE!</v>
      </c>
      <c r="E99" s="26" t="e">
        <f>SUMPRODUCT((Generation_Entsoe_SFS_2017!$A$3:$A$40='Abgleich Generation'!$A99)*(Generation_Entsoe_SFS_2017!$D$1:$AL$1='Abgleich Generation'!E$81)*Generation_Entsoe_SFS_2017!$D$3:$AL$40)+SUMPRODUCT((Generation_Entsoe_SFS_2017!$A$3:$A$40='Abgleich Generation'!$A99)*(Generation_Entsoe_SFS_2017!$D$1:$AL$1='Abgleich Generation'!E$80)*Generation_Entsoe_SFS_2017!$D$3:$AL$40)+SUMPRODUCT((Generation_Entsoe_SFS_2017!$A$3:$A$40='Abgleich Generation'!$A99)*(Generation_Entsoe_SFS_2017!$D$1:$AL$1='Abgleich Generation'!E$79)*Generation_Entsoe_SFS_2017!$D$3:$AL$40)+SUMPRODUCT((Generation_Entsoe_SFS_2017!$A$3:$A$40='Abgleich Generation'!$A99)*(Generation_Entsoe_SFS_2017!$D$1:$AL$1='Abgleich Generation'!E$78)*Generation_Entsoe_SFS_2017!$D$3:$AL$40)</f>
        <v>#VALUE!</v>
      </c>
      <c r="F99" s="26" t="e">
        <f>SUMPRODUCT((Generation_Entsoe_SFS_2017!$A$3:$A$40='Abgleich Generation'!$A99)*(Generation_Entsoe_SFS_2017!$D$1:$AL$1='Abgleich Generation'!F$81)*Generation_Entsoe_SFS_2017!$D$3:$AL$40)+SUMPRODUCT((Generation_Entsoe_SFS_2017!$A$3:$A$40='Abgleich Generation'!$A99)*(Generation_Entsoe_SFS_2017!$D$1:$AL$1='Abgleich Generation'!F$80)*Generation_Entsoe_SFS_2017!$D$3:$AL$40)+SUMPRODUCT((Generation_Entsoe_SFS_2017!$A$3:$A$40='Abgleich Generation'!$A99)*(Generation_Entsoe_SFS_2017!$D$1:$AL$1='Abgleich Generation'!F$79)*Generation_Entsoe_SFS_2017!$D$3:$AL$40)+SUMPRODUCT((Generation_Entsoe_SFS_2017!$A$3:$A$40='Abgleich Generation'!$A99)*(Generation_Entsoe_SFS_2017!$D$1:$AL$1='Abgleich Generation'!F$78)*Generation_Entsoe_SFS_2017!$D$3:$AL$40)</f>
        <v>#VALUE!</v>
      </c>
      <c r="G99" s="26" t="e">
        <f>SUMPRODUCT((Generation_Entsoe_SFS_2017!$A$3:$A$40='Abgleich Generation'!$A99)*(Generation_Entsoe_SFS_2017!$D$1:$AL$1='Abgleich Generation'!G$81)*Generation_Entsoe_SFS_2017!$D$3:$AL$40)+SUMPRODUCT((Generation_Entsoe_SFS_2017!$A$3:$A$40='Abgleich Generation'!$A99)*(Generation_Entsoe_SFS_2017!$D$1:$AL$1='Abgleich Generation'!G$80)*Generation_Entsoe_SFS_2017!$D$3:$AL$40)+SUMPRODUCT((Generation_Entsoe_SFS_2017!$A$3:$A$40='Abgleich Generation'!$A99)*(Generation_Entsoe_SFS_2017!$D$1:$AL$1='Abgleich Generation'!G$79)*Generation_Entsoe_SFS_2017!$D$3:$AL$40)+SUMPRODUCT((Generation_Entsoe_SFS_2017!$A$3:$A$40='Abgleich Generation'!$A99)*(Generation_Entsoe_SFS_2017!$D$1:$AL$1='Abgleich Generation'!G$78)*Generation_Entsoe_SFS_2017!$D$3:$AL$40)</f>
        <v>#VALUE!</v>
      </c>
      <c r="H99" s="26" t="e">
        <f>SUMPRODUCT((Generation_Entsoe_SFS_2017!$A$3:$A$40='Abgleich Generation'!$A99)*(Generation_Entsoe_SFS_2017!$D$1:$AL$1='Abgleich Generation'!H$81)*Generation_Entsoe_SFS_2017!$D$3:$AL$40)+SUMPRODUCT((Generation_Entsoe_SFS_2017!$A$3:$A$40='Abgleich Generation'!$A99)*(Generation_Entsoe_SFS_2017!$D$1:$AL$1='Abgleich Generation'!H$80)*Generation_Entsoe_SFS_2017!$D$3:$AL$40)+SUMPRODUCT((Generation_Entsoe_SFS_2017!$A$3:$A$40='Abgleich Generation'!$A99)*(Generation_Entsoe_SFS_2017!$D$1:$AL$1='Abgleich Generation'!H$79)*Generation_Entsoe_SFS_2017!$D$3:$AL$40)+SUMPRODUCT((Generation_Entsoe_SFS_2017!$A$3:$A$40='Abgleich Generation'!$A99)*(Generation_Entsoe_SFS_2017!$D$1:$AL$1='Abgleich Generation'!H$78)*Generation_Entsoe_SFS_2017!$D$3:$AL$40)</f>
        <v>#VALUE!</v>
      </c>
      <c r="I99" s="26" t="e">
        <f>SUMPRODUCT((Generation_Entsoe_SFS_2017!$A$3:$A$40='Abgleich Generation'!$A99)*(Generation_Entsoe_SFS_2017!$D$1:$AL$1='Abgleich Generation'!I$81)*Generation_Entsoe_SFS_2017!$D$3:$AL$40)+SUMPRODUCT((Generation_Entsoe_SFS_2017!$A$3:$A$40='Abgleich Generation'!$A99)*(Generation_Entsoe_SFS_2017!$D$1:$AL$1='Abgleich Generation'!I$80)*Generation_Entsoe_SFS_2017!$D$3:$AL$40)+SUMPRODUCT((Generation_Entsoe_SFS_2017!$A$3:$A$40='Abgleich Generation'!$A99)*(Generation_Entsoe_SFS_2017!$D$1:$AL$1='Abgleich Generation'!I$79)*Generation_Entsoe_SFS_2017!$D$3:$AL$40)+SUMPRODUCT((Generation_Entsoe_SFS_2017!$A$3:$A$40='Abgleich Generation'!$A99)*(Generation_Entsoe_SFS_2017!$D$1:$AL$1='Abgleich Generation'!I$78)*Generation_Entsoe_SFS_2017!$D$3:$AL$40)</f>
        <v>#VALUE!</v>
      </c>
      <c r="J99" s="26" t="e">
        <f>SUMPRODUCT((Generation_Entsoe_SFS_2017!$A$3:$A$40='Abgleich Generation'!$A99)*(Generation_Entsoe_SFS_2017!$D$1:$AL$1='Abgleich Generation'!J$81)*Generation_Entsoe_SFS_2017!$D$3:$AL$40)+SUMPRODUCT((Generation_Entsoe_SFS_2017!$A$3:$A$40='Abgleich Generation'!$A99)*(Generation_Entsoe_SFS_2017!$D$1:$AL$1='Abgleich Generation'!J$80)*Generation_Entsoe_SFS_2017!$D$3:$AL$40)+SUMPRODUCT((Generation_Entsoe_SFS_2017!$A$3:$A$40='Abgleich Generation'!$A99)*(Generation_Entsoe_SFS_2017!$D$1:$AL$1='Abgleich Generation'!J$79)*Generation_Entsoe_SFS_2017!$D$3:$AL$40)+SUMPRODUCT((Generation_Entsoe_SFS_2017!$A$3:$A$40='Abgleich Generation'!$A99)*(Generation_Entsoe_SFS_2017!$D$1:$AL$1='Abgleich Generation'!J$78)*Generation_Entsoe_SFS_2017!$D$3:$AL$40)</f>
        <v>#VALUE!</v>
      </c>
      <c r="K99" s="27" t="e">
        <f t="shared" si="62"/>
        <v>#VALUE!</v>
      </c>
      <c r="L99" s="26" t="e">
        <f>SUMPRODUCT((Generation_Entsoe_SFS_2017!$A$3:$A$40='Abgleich Generation'!$A99)*(Generation_Entsoe_SFS_2017!$D$1:$AL$1='Abgleich Generation'!L$81)*Generation_Entsoe_SFS_2017!$D$3:$AL$40)+SUMPRODUCT((Generation_Entsoe_SFS_2017!$A$3:$A$40='Abgleich Generation'!$A99)*(Generation_Entsoe_SFS_2017!$D$1:$AL$1='Abgleich Generation'!L$80)*Generation_Entsoe_SFS_2017!$D$3:$AL$40)+SUMPRODUCT((Generation_Entsoe_SFS_2017!$A$3:$A$40='Abgleich Generation'!$A99)*(Generation_Entsoe_SFS_2017!$D$1:$AL$1='Abgleich Generation'!L$79)*Generation_Entsoe_SFS_2017!$D$3:$AL$40)+SUMPRODUCT((Generation_Entsoe_SFS_2017!$A$3:$A$40='Abgleich Generation'!$A99)*(Generation_Entsoe_SFS_2017!$D$1:$AL$1='Abgleich Generation'!L$78)*Generation_Entsoe_SFS_2017!$D$3:$AL$40)+SUMPRODUCT((Generation_Entsoe_SFS_2017!$A$3:$A$40='Abgleich Generation'!$A99)*(Generation_Entsoe_SFS_2017!$D$1:$AL$1='Abgleich Generation'!L$77)*Generation_Entsoe_SFS_2017!$D$3:$AL$40)+SUMPRODUCT((Generation_Entsoe_SFS_2017!$A$3:$A$40='Abgleich Generation'!$A99)*(Generation_Entsoe_SFS_2017!$D$1:$AL$1='Abgleich Generation'!L$76)*Generation_Entsoe_SFS_2017!$D$3:$AL$40)</f>
        <v>#VALUE!</v>
      </c>
      <c r="M99" s="26" t="e">
        <f>SUMPRODUCT((Generation_Entsoe_SFS_2017!$A$3:$A$40='Abgleich Generation'!$A99)*(Generation_Entsoe_SFS_2017!$D$1:$AL$1='Abgleich Generation'!M$81)*Generation_Entsoe_SFS_2017!$D$3:$AL$40)+SUMPRODUCT((Generation_Entsoe_SFS_2017!$A$3:$A$40='Abgleich Generation'!$A99)*(Generation_Entsoe_SFS_2017!$D$1:$AL$1='Abgleich Generation'!M$80)*Generation_Entsoe_SFS_2017!$D$3:$AL$40)+SUMPRODUCT((Generation_Entsoe_SFS_2017!$A$3:$A$40='Abgleich Generation'!$A99)*(Generation_Entsoe_SFS_2017!$D$1:$AL$1='Abgleich Generation'!M$79)*Generation_Entsoe_SFS_2017!$D$3:$AL$40)+SUMPRODUCT((Generation_Entsoe_SFS_2017!$A$3:$A$40='Abgleich Generation'!$A99)*(Generation_Entsoe_SFS_2017!$D$1:$AL$1='Abgleich Generation'!M$78)*Generation_Entsoe_SFS_2017!$D$3:$AL$40)+SUMPRODUCT((Generation_Entsoe_SFS_2017!$A$3:$A$40='Abgleich Generation'!$A99)*(Generation_Entsoe_SFS_2017!$D$1:$AL$1='Abgleich Generation'!M$77)*Generation_Entsoe_SFS_2017!$D$3:$AL$40)+SUMPRODUCT((Generation_Entsoe_SFS_2017!$A$3:$A$40='Abgleich Generation'!$A99)*(Generation_Entsoe_SFS_2017!$D$1:$AL$1='Abgleich Generation'!M$76)*Generation_Entsoe_SFS_2017!$D$3:$AL$40)</f>
        <v>#VALUE!</v>
      </c>
      <c r="N99" s="26" t="e">
        <f>SUMPRODUCT((Generation_Entsoe_SFS_2017!$A$3:$A$40='Abgleich Generation'!$A99)*(Generation_Entsoe_SFS_2017!$D$1:$AL$1='Abgleich Generation'!N$81)*Generation_Entsoe_SFS_2017!$D$3:$AL$40)+SUMPRODUCT((Generation_Entsoe_SFS_2017!$A$3:$A$40='Abgleich Generation'!$A99)*(Generation_Entsoe_SFS_2017!$D$1:$AL$1='Abgleich Generation'!N$80)*Generation_Entsoe_SFS_2017!$D$3:$AL$40)+SUMPRODUCT((Generation_Entsoe_SFS_2017!$A$3:$A$40='Abgleich Generation'!$A99)*(Generation_Entsoe_SFS_2017!$D$1:$AL$1='Abgleich Generation'!N$79)*Generation_Entsoe_SFS_2017!$D$3:$AL$40)+SUMPRODUCT((Generation_Entsoe_SFS_2017!$A$3:$A$40='Abgleich Generation'!$A99)*(Generation_Entsoe_SFS_2017!$D$1:$AL$1='Abgleich Generation'!N$78)*Generation_Entsoe_SFS_2017!$D$3:$AL$40)+SUMPRODUCT((Generation_Entsoe_SFS_2017!$A$3:$A$40='Abgleich Generation'!$A99)*(Generation_Entsoe_SFS_2017!$D$1:$AL$1='Abgleich Generation'!N$77)*Generation_Entsoe_SFS_2017!$D$3:$AL$40)+SUMPRODUCT((Generation_Entsoe_SFS_2017!$A$3:$A$40='Abgleich Generation'!$A99)*(Generation_Entsoe_SFS_2017!$D$1:$AL$1='Abgleich Generation'!N$76)*Generation_Entsoe_SFS_2017!$D$3:$AL$40)</f>
        <v>#VALUE!</v>
      </c>
      <c r="O99" s="26" t="e">
        <f>SUMPRODUCT((Generation_Entsoe_SFS_2017!$A$3:$A$40='Abgleich Generation'!$A99)*(Generation_Entsoe_SFS_2017!$D$1:$AL$1='Abgleich Generation'!O$81)*Generation_Entsoe_SFS_2017!$D$3:$AL$40)+SUMPRODUCT((Generation_Entsoe_SFS_2017!$A$3:$A$40='Abgleich Generation'!$A99)*(Generation_Entsoe_SFS_2017!$D$1:$AL$1='Abgleich Generation'!O$80)*Generation_Entsoe_SFS_2017!$D$3:$AL$40)+SUMPRODUCT((Generation_Entsoe_SFS_2017!$A$3:$A$40='Abgleich Generation'!$A99)*(Generation_Entsoe_SFS_2017!$D$1:$AL$1='Abgleich Generation'!O$79)*Generation_Entsoe_SFS_2017!$D$3:$AL$40)+SUMPRODUCT((Generation_Entsoe_SFS_2017!$A$3:$A$40='Abgleich Generation'!$A99)*(Generation_Entsoe_SFS_2017!$D$1:$AL$1='Abgleich Generation'!O$78)*Generation_Entsoe_SFS_2017!$D$3:$AL$40)+SUMPRODUCT((Generation_Entsoe_SFS_2017!$A$3:$A$40='Abgleich Generation'!$A99)*(Generation_Entsoe_SFS_2017!$D$1:$AL$1='Abgleich Generation'!O$77)*Generation_Entsoe_SFS_2017!$D$3:$AL$40)+SUMPRODUCT((Generation_Entsoe_SFS_2017!$A$3:$A$40='Abgleich Generation'!$A99)*(Generation_Entsoe_SFS_2017!$D$1:$AL$1='Abgleich Generation'!O$76)*Generation_Entsoe_SFS_2017!$D$3:$AL$40)</f>
        <v>#VALUE!</v>
      </c>
      <c r="P99" s="26" t="e">
        <f>SUMPRODUCT((Generation_Entsoe_SFS_2017!$A$3:$A$40='Abgleich Generation'!$A99)*(Generation_Entsoe_SFS_2017!$D$1:$AL$1='Abgleich Generation'!P$81)*Generation_Entsoe_SFS_2017!$D$3:$AL$40)+SUMPRODUCT((Generation_Entsoe_SFS_2017!$A$3:$A$40='Abgleich Generation'!$A99)*(Generation_Entsoe_SFS_2017!$D$1:$AL$1='Abgleich Generation'!P$80)*Generation_Entsoe_SFS_2017!$D$3:$AL$40)+SUMPRODUCT((Generation_Entsoe_SFS_2017!$A$3:$A$40='Abgleich Generation'!$A99)*(Generation_Entsoe_SFS_2017!$D$1:$AL$1='Abgleich Generation'!P$79)*Generation_Entsoe_SFS_2017!$D$3:$AL$40)+SUMPRODUCT((Generation_Entsoe_SFS_2017!$A$3:$A$40='Abgleich Generation'!$A99)*(Generation_Entsoe_SFS_2017!$D$1:$AL$1='Abgleich Generation'!P$78)*Generation_Entsoe_SFS_2017!$D$3:$AL$40)+SUMPRODUCT((Generation_Entsoe_SFS_2017!$A$3:$A$40='Abgleich Generation'!$A99)*(Generation_Entsoe_SFS_2017!$D$1:$AL$1='Abgleich Generation'!P$77)*Generation_Entsoe_SFS_2017!$D$3:$AL$40)+SUMPRODUCT((Generation_Entsoe_SFS_2017!$A$3:$A$40='Abgleich Generation'!$A99)*(Generation_Entsoe_SFS_2017!$D$1:$AL$1='Abgleich Generation'!P$76)*Generation_Entsoe_SFS_2017!$D$3:$AL$40)</f>
        <v>#VALUE!</v>
      </c>
      <c r="Q99" s="26" t="e">
        <f>SUMPRODUCT((Generation_Entsoe_SFS_2017!$A$3:$A$40='Abgleich Generation'!$A99)*(Generation_Entsoe_SFS_2017!$D$1:$AL$1='Abgleich Generation'!Q$81)*Generation_Entsoe_SFS_2017!$D$3:$AL$40)+SUMPRODUCT((Generation_Entsoe_SFS_2017!$A$3:$A$40='Abgleich Generation'!$A99)*(Generation_Entsoe_SFS_2017!$D$1:$AL$1='Abgleich Generation'!Q$80)*Generation_Entsoe_SFS_2017!$D$3:$AL$40)+SUMPRODUCT((Generation_Entsoe_SFS_2017!$A$3:$A$40='Abgleich Generation'!$A99)*(Generation_Entsoe_SFS_2017!$D$1:$AL$1='Abgleich Generation'!Q$79)*Generation_Entsoe_SFS_2017!$D$3:$AL$40)+SUMPRODUCT((Generation_Entsoe_SFS_2017!$A$3:$A$40='Abgleich Generation'!$A99)*(Generation_Entsoe_SFS_2017!$D$1:$AL$1='Abgleich Generation'!Q$78)*Generation_Entsoe_SFS_2017!$D$3:$AL$40)+SUMPRODUCT((Generation_Entsoe_SFS_2017!$A$3:$A$40='Abgleich Generation'!$A99)*(Generation_Entsoe_SFS_2017!$D$1:$AL$1='Abgleich Generation'!Q$77)*Generation_Entsoe_SFS_2017!$D$3:$AL$40)+SUMPRODUCT((Generation_Entsoe_SFS_2017!$A$3:$A$40='Abgleich Generation'!$A99)*(Generation_Entsoe_SFS_2017!$D$1:$AL$1='Abgleich Generation'!Q$76)*Generation_Entsoe_SFS_2017!$D$3:$AL$40)</f>
        <v>#VALUE!</v>
      </c>
      <c r="R99" s="26" t="e">
        <f>SUMPRODUCT((Generation_Entsoe_SFS_2017!$A$3:$A$40='Abgleich Generation'!$A99)*(Generation_Entsoe_SFS_2017!$D$1:$AL$1='Abgleich Generation'!R$81)*Generation_Entsoe_SFS_2017!$D$3:$AL$40)+SUMPRODUCT((Generation_Entsoe_SFS_2017!$A$3:$A$40='Abgleich Generation'!$A99)*(Generation_Entsoe_SFS_2017!$D$1:$AL$1='Abgleich Generation'!R$80)*Generation_Entsoe_SFS_2017!$D$3:$AL$40)+SUMPRODUCT((Generation_Entsoe_SFS_2017!$A$3:$A$40='Abgleich Generation'!$A99)*(Generation_Entsoe_SFS_2017!$D$1:$AL$1='Abgleich Generation'!R$79)*Generation_Entsoe_SFS_2017!$D$3:$AL$40)+SUMPRODUCT((Generation_Entsoe_SFS_2017!$A$3:$A$40='Abgleich Generation'!$A99)*(Generation_Entsoe_SFS_2017!$D$1:$AL$1='Abgleich Generation'!R$78)*Generation_Entsoe_SFS_2017!$D$3:$AL$40)+SUMPRODUCT((Generation_Entsoe_SFS_2017!$A$3:$A$40='Abgleich Generation'!$A99)*(Generation_Entsoe_SFS_2017!$D$1:$AL$1='Abgleich Generation'!R$77)*Generation_Entsoe_SFS_2017!$D$3:$AL$40)+SUMPRODUCT((Generation_Entsoe_SFS_2017!$A$3:$A$40='Abgleich Generation'!$A99)*(Generation_Entsoe_SFS_2017!$D$1:$AL$1='Abgleich Generation'!R$76)*Generation_Entsoe_SFS_2017!$D$3:$AL$40)</f>
        <v>#VALUE!</v>
      </c>
      <c r="S99" s="26" t="e">
        <f>SUMPRODUCT((Generation_Entsoe_SFS_2017!$A$3:$A$40='Abgleich Generation'!$A99)*(Generation_Entsoe_SFS_2017!$D$1:$AL$1='Abgleich Generation'!S$81)*Generation_Entsoe_SFS_2017!$D$3:$AL$40)+SUMPRODUCT((Generation_Entsoe_SFS_2017!$A$3:$A$40='Abgleich Generation'!$A99)*(Generation_Entsoe_SFS_2017!$D$1:$AL$1='Abgleich Generation'!S$80)*Generation_Entsoe_SFS_2017!$D$3:$AL$40)+SUMPRODUCT((Generation_Entsoe_SFS_2017!$A$3:$A$40='Abgleich Generation'!$A99)*(Generation_Entsoe_SFS_2017!$D$1:$AL$1='Abgleich Generation'!S$79)*Generation_Entsoe_SFS_2017!$D$3:$AL$40)+SUMPRODUCT((Generation_Entsoe_SFS_2017!$A$3:$A$40='Abgleich Generation'!$A99)*(Generation_Entsoe_SFS_2017!$D$1:$AL$1='Abgleich Generation'!S$78)*Generation_Entsoe_SFS_2017!$D$3:$AL$40)+SUMPRODUCT((Generation_Entsoe_SFS_2017!$A$3:$A$40='Abgleich Generation'!$A99)*(Generation_Entsoe_SFS_2017!$D$1:$AL$1='Abgleich Generation'!S$77)*Generation_Entsoe_SFS_2017!$D$3:$AL$40)+SUMPRODUCT((Generation_Entsoe_SFS_2017!$A$3:$A$40='Abgleich Generation'!$A99)*(Generation_Entsoe_SFS_2017!$D$1:$AL$1='Abgleich Generation'!S$76)*Generation_Entsoe_SFS_2017!$D$3:$AL$40)</f>
        <v>#VALUE!</v>
      </c>
      <c r="T99" s="26" t="e">
        <f>SUMPRODUCT((Generation_Entsoe_SFS_2017!$A$3:$A$40='Abgleich Generation'!$A99)*(Generation_Entsoe_SFS_2017!$D$1:$AL$1='Abgleich Generation'!T$81)*Generation_Entsoe_SFS_2017!$D$3:$AL$40)+SUMPRODUCT((Generation_Entsoe_SFS_2017!$A$3:$A$40='Abgleich Generation'!$A99)*(Generation_Entsoe_SFS_2017!$D$1:$AL$1='Abgleich Generation'!T$80)*Generation_Entsoe_SFS_2017!$D$3:$AL$40)+SUMPRODUCT((Generation_Entsoe_SFS_2017!$A$3:$A$40='Abgleich Generation'!$A99)*(Generation_Entsoe_SFS_2017!$D$1:$AL$1='Abgleich Generation'!T$79)*Generation_Entsoe_SFS_2017!$D$3:$AL$40)+SUMPRODUCT((Generation_Entsoe_SFS_2017!$A$3:$A$40='Abgleich Generation'!$A99)*(Generation_Entsoe_SFS_2017!$D$1:$AL$1='Abgleich Generation'!T$78)*Generation_Entsoe_SFS_2017!$D$3:$AL$40)+SUMPRODUCT((Generation_Entsoe_SFS_2017!$A$3:$A$40='Abgleich Generation'!$A99)*(Generation_Entsoe_SFS_2017!$D$1:$AL$1='Abgleich Generation'!T$77)*Generation_Entsoe_SFS_2017!$D$3:$AL$40)+SUMPRODUCT((Generation_Entsoe_SFS_2017!$A$3:$A$40='Abgleich Generation'!$A99)*(Generation_Entsoe_SFS_2017!$D$1:$AL$1='Abgleich Generation'!T$76)*Generation_Entsoe_SFS_2017!$D$3:$AL$40)</f>
        <v>#VALUE!</v>
      </c>
      <c r="U99" s="26" t="e">
        <f>SUMPRODUCT((Generation_Entsoe_SFS_2017!$A$3:$A$40='Abgleich Generation'!$A99)*(Generation_Entsoe_SFS_2017!$D$1:$AL$1='Abgleich Generation'!U$81)*Generation_Entsoe_SFS_2017!$D$3:$AL$40)+SUMPRODUCT((Generation_Entsoe_SFS_2017!$A$3:$A$40='Abgleich Generation'!$A99)*(Generation_Entsoe_SFS_2017!$D$1:$AL$1='Abgleich Generation'!U$80)*Generation_Entsoe_SFS_2017!$D$3:$AL$40)+SUMPRODUCT((Generation_Entsoe_SFS_2017!$A$3:$A$40='Abgleich Generation'!$A99)*(Generation_Entsoe_SFS_2017!$D$1:$AL$1='Abgleich Generation'!U$79)*Generation_Entsoe_SFS_2017!$D$3:$AL$40)+SUMPRODUCT((Generation_Entsoe_SFS_2017!$A$3:$A$40='Abgleich Generation'!$A99)*(Generation_Entsoe_SFS_2017!$D$1:$AL$1='Abgleich Generation'!U$78)*Generation_Entsoe_SFS_2017!$D$3:$AL$40)+SUMPRODUCT((Generation_Entsoe_SFS_2017!$A$3:$A$40='Abgleich Generation'!$A99)*(Generation_Entsoe_SFS_2017!$D$1:$AL$1='Abgleich Generation'!U$77)*Generation_Entsoe_SFS_2017!$D$3:$AL$40)+SUMPRODUCT((Generation_Entsoe_SFS_2017!$A$3:$A$40='Abgleich Generation'!$A99)*(Generation_Entsoe_SFS_2017!$D$1:$AL$1='Abgleich Generation'!U$76)*Generation_Entsoe_SFS_2017!$D$3:$AL$40)</f>
        <v>#VALUE!</v>
      </c>
      <c r="V99" s="27" t="e">
        <f t="shared" si="63"/>
        <v>#VALUE!</v>
      </c>
      <c r="W99" s="28" t="e">
        <f>SUMPRODUCT((Generation_Entsoe_SFS_2017!$A$3:$A$40='Abgleich Generation'!$A99)*(Generation_Entsoe_SFS_2017!$D$1:$AL$1='Abgleich Generation'!W$81)*Generation_Entsoe_SFS_2017!$D$3:$AL$40)+SUMPRODUCT((Generation_Entsoe_SFS_2017!$A$3:$A$40='Abgleich Generation'!$A99)*(Generation_Entsoe_SFS_2017!$D$1:$AL$1='Abgleich Generation'!W$80)*Generation_Entsoe_SFS_2017!$D$3:$AL$40)+SUMPRODUCT((Generation_Entsoe_SFS_2017!$A$3:$A$40='Abgleich Generation'!$A99)*(Generation_Entsoe_SFS_2017!$D$1:$AL$1='Abgleich Generation'!W$79)*Generation_Entsoe_SFS_2017!$D$3:$AL$40)+SUMPRODUCT((Generation_Entsoe_SFS_2017!$A$3:$A$40='Abgleich Generation'!$A99)*(Generation_Entsoe_SFS_2017!$D$1:$AL$1='Abgleich Generation'!W$78)*Generation_Entsoe_SFS_2017!$D$3:$AL$40)+SUMPRODUCT((Generation_Entsoe_SFS_2017!$A$3:$A$40='Abgleich Generation'!$A99)*(Generation_Entsoe_SFS_2017!$D$1:$AL$1='Abgleich Generation'!W$77)*Generation_Entsoe_SFS_2017!$D$3:$AL$40)+SUMPRODUCT((Generation_Entsoe_SFS_2017!$A$3:$A$40='Abgleich Generation'!$A99)*(Generation_Entsoe_SFS_2017!$D$1:$AL$1='Abgleich Generation'!W$76)*Generation_Entsoe_SFS_2017!$D$3:$AL$40)</f>
        <v>#VALUE!</v>
      </c>
      <c r="X99" s="29" t="e">
        <f>SUMPRODUCT((Generation_Entsoe_SFS_2017!$A$3:$A$40='Abgleich Generation'!$A99)*(Generation_Entsoe_SFS_2017!$D$1:$AL$1='Abgleich Generation'!X$81)*Generation_Entsoe_SFS_2017!$D$3:$AL$40)+SUMPRODUCT((Generation_Entsoe_SFS_2017!$A$3:$A$40='Abgleich Generation'!$A99)*(Generation_Entsoe_SFS_2017!$D$1:$AL$1='Abgleich Generation'!X$80)*Generation_Entsoe_SFS_2017!$D$3:$AL$40)+SUMPRODUCT((Generation_Entsoe_SFS_2017!$A$3:$A$40='Abgleich Generation'!$A99)*(Generation_Entsoe_SFS_2017!$D$1:$AL$1='Abgleich Generation'!X$79)*Generation_Entsoe_SFS_2017!$D$3:$AL$40)+SUMPRODUCT((Generation_Entsoe_SFS_2017!$A$3:$A$40='Abgleich Generation'!$A99)*(Generation_Entsoe_SFS_2017!$D$1:$AL$1='Abgleich Generation'!X$78)*Generation_Entsoe_SFS_2017!$D$3:$AL$40)+SUMPRODUCT((Generation_Entsoe_SFS_2017!$A$3:$A$40='Abgleich Generation'!$A99)*(Generation_Entsoe_SFS_2017!$D$1:$AL$1='Abgleich Generation'!X$77)*Generation_Entsoe_SFS_2017!$D$3:$AL$40)+SUMPRODUCT((Generation_Entsoe_SFS_2017!$A$3:$A$40='Abgleich Generation'!$A99)*(Generation_Entsoe_SFS_2017!$D$1:$AL$1='Abgleich Generation'!X$76)*Generation_Entsoe_SFS_2017!$D$3:$AL$40)</f>
        <v>#VALUE!</v>
      </c>
      <c r="Y99" s="29" t="e">
        <f t="shared" si="64"/>
        <v>#VALUE!</v>
      </c>
    </row>
    <row r="100" spans="1:33" x14ac:dyDescent="0.25">
      <c r="A100" s="14" t="s">
        <v>26</v>
      </c>
      <c r="B100" s="57" t="e">
        <f t="shared" si="60"/>
        <v>#VALUE!</v>
      </c>
      <c r="C100" s="58" t="e">
        <f>SUMPRODUCT((Generation_Entsoe_SFS_2017!$A$3:$A$40='Abgleich Generation'!$A100)*(Generation_Entsoe_SFS_2017!$D$1:$AL$1='Abgleich Generation'!C$81)*Generation_Entsoe_SFS_2017!$D$3:$AL$40)+SUMPRODUCT((Generation_Entsoe_SFS_2017!$A$3:$A$40='Abgleich Generation'!$A100)*(Generation_Entsoe_SFS_2017!$D$1:$AL$1='Abgleich Generation'!C$80)*Generation_Entsoe_SFS_2017!$D$3:$AL$40)+SUMPRODUCT((Generation_Entsoe_SFS_2017!$A$3:$A$40='Abgleich Generation'!$A100)*(Generation_Entsoe_SFS_2017!$D$1:$AL$1='Abgleich Generation'!C$79)*Generation_Entsoe_SFS_2017!$D$3:$AL$40)+SUMPRODUCT((Generation_Entsoe_SFS_2017!$A$3:$A$40='Abgleich Generation'!$A100)*(Generation_Entsoe_SFS_2017!$D$1:$AL$1='Abgleich Generation'!C$78)*Generation_Entsoe_SFS_2017!$D$3:$AL$40)</f>
        <v>#VALUE!</v>
      </c>
      <c r="D100" s="58" t="e">
        <f t="shared" si="61"/>
        <v>#VALUE!</v>
      </c>
      <c r="E100" s="58" t="e">
        <f>SUMPRODUCT((Generation_Entsoe_SFS_2017!$A$3:$A$40='Abgleich Generation'!$A100)*(Generation_Entsoe_SFS_2017!$D$1:$AL$1='Abgleich Generation'!E$81)*Generation_Entsoe_SFS_2017!$D$3:$AL$40)+SUMPRODUCT((Generation_Entsoe_SFS_2017!$A$3:$A$40='Abgleich Generation'!$A100)*(Generation_Entsoe_SFS_2017!$D$1:$AL$1='Abgleich Generation'!E$80)*Generation_Entsoe_SFS_2017!$D$3:$AL$40)+SUMPRODUCT((Generation_Entsoe_SFS_2017!$A$3:$A$40='Abgleich Generation'!$A100)*(Generation_Entsoe_SFS_2017!$D$1:$AL$1='Abgleich Generation'!E$79)*Generation_Entsoe_SFS_2017!$D$3:$AL$40)+SUMPRODUCT((Generation_Entsoe_SFS_2017!$A$3:$A$40='Abgleich Generation'!$A100)*(Generation_Entsoe_SFS_2017!$D$1:$AL$1='Abgleich Generation'!E$78)*Generation_Entsoe_SFS_2017!$D$3:$AL$40)</f>
        <v>#VALUE!</v>
      </c>
      <c r="F100" s="58" t="e">
        <f>SUMPRODUCT((Generation_Entsoe_SFS_2017!$A$3:$A$40='Abgleich Generation'!$A100)*(Generation_Entsoe_SFS_2017!$D$1:$AL$1='Abgleich Generation'!F$81)*Generation_Entsoe_SFS_2017!$D$3:$AL$40)+SUMPRODUCT((Generation_Entsoe_SFS_2017!$A$3:$A$40='Abgleich Generation'!$A100)*(Generation_Entsoe_SFS_2017!$D$1:$AL$1='Abgleich Generation'!F$80)*Generation_Entsoe_SFS_2017!$D$3:$AL$40)+SUMPRODUCT((Generation_Entsoe_SFS_2017!$A$3:$A$40='Abgleich Generation'!$A100)*(Generation_Entsoe_SFS_2017!$D$1:$AL$1='Abgleich Generation'!F$79)*Generation_Entsoe_SFS_2017!$D$3:$AL$40)+SUMPRODUCT((Generation_Entsoe_SFS_2017!$A$3:$A$40='Abgleich Generation'!$A100)*(Generation_Entsoe_SFS_2017!$D$1:$AL$1='Abgleich Generation'!F$78)*Generation_Entsoe_SFS_2017!$D$3:$AL$40)</f>
        <v>#VALUE!</v>
      </c>
      <c r="G100" s="58" t="e">
        <f>SUMPRODUCT((Generation_Entsoe_SFS_2017!$A$3:$A$40='Abgleich Generation'!$A100)*(Generation_Entsoe_SFS_2017!$D$1:$AL$1='Abgleich Generation'!G$81)*Generation_Entsoe_SFS_2017!$D$3:$AL$40)+SUMPRODUCT((Generation_Entsoe_SFS_2017!$A$3:$A$40='Abgleich Generation'!$A100)*(Generation_Entsoe_SFS_2017!$D$1:$AL$1='Abgleich Generation'!G$80)*Generation_Entsoe_SFS_2017!$D$3:$AL$40)+SUMPRODUCT((Generation_Entsoe_SFS_2017!$A$3:$A$40='Abgleich Generation'!$A100)*(Generation_Entsoe_SFS_2017!$D$1:$AL$1='Abgleich Generation'!G$79)*Generation_Entsoe_SFS_2017!$D$3:$AL$40)+SUMPRODUCT((Generation_Entsoe_SFS_2017!$A$3:$A$40='Abgleich Generation'!$A100)*(Generation_Entsoe_SFS_2017!$D$1:$AL$1='Abgleich Generation'!G$78)*Generation_Entsoe_SFS_2017!$D$3:$AL$40)</f>
        <v>#VALUE!</v>
      </c>
      <c r="H100" s="58" t="e">
        <f>SUMPRODUCT((Generation_Entsoe_SFS_2017!$A$3:$A$40='Abgleich Generation'!$A100)*(Generation_Entsoe_SFS_2017!$D$1:$AL$1='Abgleich Generation'!H$81)*Generation_Entsoe_SFS_2017!$D$3:$AL$40)+SUMPRODUCT((Generation_Entsoe_SFS_2017!$A$3:$A$40='Abgleich Generation'!$A100)*(Generation_Entsoe_SFS_2017!$D$1:$AL$1='Abgleich Generation'!H$80)*Generation_Entsoe_SFS_2017!$D$3:$AL$40)+SUMPRODUCT((Generation_Entsoe_SFS_2017!$A$3:$A$40='Abgleich Generation'!$A100)*(Generation_Entsoe_SFS_2017!$D$1:$AL$1='Abgleich Generation'!H$79)*Generation_Entsoe_SFS_2017!$D$3:$AL$40)+SUMPRODUCT((Generation_Entsoe_SFS_2017!$A$3:$A$40='Abgleich Generation'!$A100)*(Generation_Entsoe_SFS_2017!$D$1:$AL$1='Abgleich Generation'!H$78)*Generation_Entsoe_SFS_2017!$D$3:$AL$40)</f>
        <v>#VALUE!</v>
      </c>
      <c r="I100" s="58" t="e">
        <f>SUMPRODUCT((Generation_Entsoe_SFS_2017!$A$3:$A$40='Abgleich Generation'!$A100)*(Generation_Entsoe_SFS_2017!$D$1:$AL$1='Abgleich Generation'!I$81)*Generation_Entsoe_SFS_2017!$D$3:$AL$40)+SUMPRODUCT((Generation_Entsoe_SFS_2017!$A$3:$A$40='Abgleich Generation'!$A100)*(Generation_Entsoe_SFS_2017!$D$1:$AL$1='Abgleich Generation'!I$80)*Generation_Entsoe_SFS_2017!$D$3:$AL$40)+SUMPRODUCT((Generation_Entsoe_SFS_2017!$A$3:$A$40='Abgleich Generation'!$A100)*(Generation_Entsoe_SFS_2017!$D$1:$AL$1='Abgleich Generation'!I$79)*Generation_Entsoe_SFS_2017!$D$3:$AL$40)+SUMPRODUCT((Generation_Entsoe_SFS_2017!$A$3:$A$40='Abgleich Generation'!$A100)*(Generation_Entsoe_SFS_2017!$D$1:$AL$1='Abgleich Generation'!I$78)*Generation_Entsoe_SFS_2017!$D$3:$AL$40)</f>
        <v>#VALUE!</v>
      </c>
      <c r="J100" s="58" t="e">
        <f>SUMPRODUCT((Generation_Entsoe_SFS_2017!$A$3:$A$40='Abgleich Generation'!$A100)*(Generation_Entsoe_SFS_2017!$D$1:$AL$1='Abgleich Generation'!J$81)*Generation_Entsoe_SFS_2017!$D$3:$AL$40)+SUMPRODUCT((Generation_Entsoe_SFS_2017!$A$3:$A$40='Abgleich Generation'!$A100)*(Generation_Entsoe_SFS_2017!$D$1:$AL$1='Abgleich Generation'!J$80)*Generation_Entsoe_SFS_2017!$D$3:$AL$40)+SUMPRODUCT((Generation_Entsoe_SFS_2017!$A$3:$A$40='Abgleich Generation'!$A100)*(Generation_Entsoe_SFS_2017!$D$1:$AL$1='Abgleich Generation'!J$79)*Generation_Entsoe_SFS_2017!$D$3:$AL$40)+SUMPRODUCT((Generation_Entsoe_SFS_2017!$A$3:$A$40='Abgleich Generation'!$A100)*(Generation_Entsoe_SFS_2017!$D$1:$AL$1='Abgleich Generation'!J$78)*Generation_Entsoe_SFS_2017!$D$3:$AL$40)</f>
        <v>#VALUE!</v>
      </c>
      <c r="K100" s="59" t="e">
        <f t="shared" si="62"/>
        <v>#VALUE!</v>
      </c>
      <c r="L100" s="58" t="e">
        <f>SUMPRODUCT((Generation_Entsoe_SFS_2017!$A$3:$A$40='Abgleich Generation'!$A100)*(Generation_Entsoe_SFS_2017!$D$1:$AL$1='Abgleich Generation'!L$81)*Generation_Entsoe_SFS_2017!$D$3:$AL$40)+SUMPRODUCT((Generation_Entsoe_SFS_2017!$A$3:$A$40='Abgleich Generation'!$A100)*(Generation_Entsoe_SFS_2017!$D$1:$AL$1='Abgleich Generation'!L$80)*Generation_Entsoe_SFS_2017!$D$3:$AL$40)+SUMPRODUCT((Generation_Entsoe_SFS_2017!$A$3:$A$40='Abgleich Generation'!$A100)*(Generation_Entsoe_SFS_2017!$D$1:$AL$1='Abgleich Generation'!L$79)*Generation_Entsoe_SFS_2017!$D$3:$AL$40)+SUMPRODUCT((Generation_Entsoe_SFS_2017!$A$3:$A$40='Abgleich Generation'!$A100)*(Generation_Entsoe_SFS_2017!$D$1:$AL$1='Abgleich Generation'!L$78)*Generation_Entsoe_SFS_2017!$D$3:$AL$40)+SUMPRODUCT((Generation_Entsoe_SFS_2017!$A$3:$A$40='Abgleich Generation'!$A100)*(Generation_Entsoe_SFS_2017!$D$1:$AL$1='Abgleich Generation'!L$77)*Generation_Entsoe_SFS_2017!$D$3:$AL$40)+SUMPRODUCT((Generation_Entsoe_SFS_2017!$A$3:$A$40='Abgleich Generation'!$A100)*(Generation_Entsoe_SFS_2017!$D$1:$AL$1='Abgleich Generation'!L$76)*Generation_Entsoe_SFS_2017!$D$3:$AL$40)</f>
        <v>#VALUE!</v>
      </c>
      <c r="M100" s="58" t="e">
        <f>SUMPRODUCT((Generation_Entsoe_SFS_2017!$A$3:$A$40='Abgleich Generation'!$A100)*(Generation_Entsoe_SFS_2017!$D$1:$AL$1='Abgleich Generation'!M$81)*Generation_Entsoe_SFS_2017!$D$3:$AL$40)+SUMPRODUCT((Generation_Entsoe_SFS_2017!$A$3:$A$40='Abgleich Generation'!$A100)*(Generation_Entsoe_SFS_2017!$D$1:$AL$1='Abgleich Generation'!M$80)*Generation_Entsoe_SFS_2017!$D$3:$AL$40)+SUMPRODUCT((Generation_Entsoe_SFS_2017!$A$3:$A$40='Abgleich Generation'!$A100)*(Generation_Entsoe_SFS_2017!$D$1:$AL$1='Abgleich Generation'!M$79)*Generation_Entsoe_SFS_2017!$D$3:$AL$40)+SUMPRODUCT((Generation_Entsoe_SFS_2017!$A$3:$A$40='Abgleich Generation'!$A100)*(Generation_Entsoe_SFS_2017!$D$1:$AL$1='Abgleich Generation'!M$78)*Generation_Entsoe_SFS_2017!$D$3:$AL$40)+SUMPRODUCT((Generation_Entsoe_SFS_2017!$A$3:$A$40='Abgleich Generation'!$A100)*(Generation_Entsoe_SFS_2017!$D$1:$AL$1='Abgleich Generation'!M$77)*Generation_Entsoe_SFS_2017!$D$3:$AL$40)+SUMPRODUCT((Generation_Entsoe_SFS_2017!$A$3:$A$40='Abgleich Generation'!$A100)*(Generation_Entsoe_SFS_2017!$D$1:$AL$1='Abgleich Generation'!M$76)*Generation_Entsoe_SFS_2017!$D$3:$AL$40)</f>
        <v>#VALUE!</v>
      </c>
      <c r="N100" s="58" t="e">
        <f>SUMPRODUCT((Generation_Entsoe_SFS_2017!$A$3:$A$40='Abgleich Generation'!$A100)*(Generation_Entsoe_SFS_2017!$D$1:$AL$1='Abgleich Generation'!N$81)*Generation_Entsoe_SFS_2017!$D$3:$AL$40)+SUMPRODUCT((Generation_Entsoe_SFS_2017!$A$3:$A$40='Abgleich Generation'!$A100)*(Generation_Entsoe_SFS_2017!$D$1:$AL$1='Abgleich Generation'!N$80)*Generation_Entsoe_SFS_2017!$D$3:$AL$40)+SUMPRODUCT((Generation_Entsoe_SFS_2017!$A$3:$A$40='Abgleich Generation'!$A100)*(Generation_Entsoe_SFS_2017!$D$1:$AL$1='Abgleich Generation'!N$79)*Generation_Entsoe_SFS_2017!$D$3:$AL$40)+SUMPRODUCT((Generation_Entsoe_SFS_2017!$A$3:$A$40='Abgleich Generation'!$A100)*(Generation_Entsoe_SFS_2017!$D$1:$AL$1='Abgleich Generation'!N$78)*Generation_Entsoe_SFS_2017!$D$3:$AL$40)+SUMPRODUCT((Generation_Entsoe_SFS_2017!$A$3:$A$40='Abgleich Generation'!$A100)*(Generation_Entsoe_SFS_2017!$D$1:$AL$1='Abgleich Generation'!N$77)*Generation_Entsoe_SFS_2017!$D$3:$AL$40)+SUMPRODUCT((Generation_Entsoe_SFS_2017!$A$3:$A$40='Abgleich Generation'!$A100)*(Generation_Entsoe_SFS_2017!$D$1:$AL$1='Abgleich Generation'!N$76)*Generation_Entsoe_SFS_2017!$D$3:$AL$40)</f>
        <v>#VALUE!</v>
      </c>
      <c r="O100" s="58" t="e">
        <f>SUMPRODUCT((Generation_Entsoe_SFS_2017!$A$3:$A$40='Abgleich Generation'!$A100)*(Generation_Entsoe_SFS_2017!$D$1:$AL$1='Abgleich Generation'!O$81)*Generation_Entsoe_SFS_2017!$D$3:$AL$40)+SUMPRODUCT((Generation_Entsoe_SFS_2017!$A$3:$A$40='Abgleich Generation'!$A100)*(Generation_Entsoe_SFS_2017!$D$1:$AL$1='Abgleich Generation'!O$80)*Generation_Entsoe_SFS_2017!$D$3:$AL$40)+SUMPRODUCT((Generation_Entsoe_SFS_2017!$A$3:$A$40='Abgleich Generation'!$A100)*(Generation_Entsoe_SFS_2017!$D$1:$AL$1='Abgleich Generation'!O$79)*Generation_Entsoe_SFS_2017!$D$3:$AL$40)+SUMPRODUCT((Generation_Entsoe_SFS_2017!$A$3:$A$40='Abgleich Generation'!$A100)*(Generation_Entsoe_SFS_2017!$D$1:$AL$1='Abgleich Generation'!O$78)*Generation_Entsoe_SFS_2017!$D$3:$AL$40)+SUMPRODUCT((Generation_Entsoe_SFS_2017!$A$3:$A$40='Abgleich Generation'!$A100)*(Generation_Entsoe_SFS_2017!$D$1:$AL$1='Abgleich Generation'!O$77)*Generation_Entsoe_SFS_2017!$D$3:$AL$40)+SUMPRODUCT((Generation_Entsoe_SFS_2017!$A$3:$A$40='Abgleich Generation'!$A100)*(Generation_Entsoe_SFS_2017!$D$1:$AL$1='Abgleich Generation'!O$76)*Generation_Entsoe_SFS_2017!$D$3:$AL$40)</f>
        <v>#VALUE!</v>
      </c>
      <c r="P100" s="58" t="e">
        <f>SUMPRODUCT((Generation_Entsoe_SFS_2017!$A$3:$A$40='Abgleich Generation'!$A100)*(Generation_Entsoe_SFS_2017!$D$1:$AL$1='Abgleich Generation'!P$81)*Generation_Entsoe_SFS_2017!$D$3:$AL$40)+SUMPRODUCT((Generation_Entsoe_SFS_2017!$A$3:$A$40='Abgleich Generation'!$A100)*(Generation_Entsoe_SFS_2017!$D$1:$AL$1='Abgleich Generation'!P$80)*Generation_Entsoe_SFS_2017!$D$3:$AL$40)+SUMPRODUCT((Generation_Entsoe_SFS_2017!$A$3:$A$40='Abgleich Generation'!$A100)*(Generation_Entsoe_SFS_2017!$D$1:$AL$1='Abgleich Generation'!P$79)*Generation_Entsoe_SFS_2017!$D$3:$AL$40)+SUMPRODUCT((Generation_Entsoe_SFS_2017!$A$3:$A$40='Abgleich Generation'!$A100)*(Generation_Entsoe_SFS_2017!$D$1:$AL$1='Abgleich Generation'!P$78)*Generation_Entsoe_SFS_2017!$D$3:$AL$40)+SUMPRODUCT((Generation_Entsoe_SFS_2017!$A$3:$A$40='Abgleich Generation'!$A100)*(Generation_Entsoe_SFS_2017!$D$1:$AL$1='Abgleich Generation'!P$77)*Generation_Entsoe_SFS_2017!$D$3:$AL$40)+SUMPRODUCT((Generation_Entsoe_SFS_2017!$A$3:$A$40='Abgleich Generation'!$A100)*(Generation_Entsoe_SFS_2017!$D$1:$AL$1='Abgleich Generation'!P$76)*Generation_Entsoe_SFS_2017!$D$3:$AL$40)</f>
        <v>#VALUE!</v>
      </c>
      <c r="Q100" s="58" t="e">
        <f>SUMPRODUCT((Generation_Entsoe_SFS_2017!$A$3:$A$40='Abgleich Generation'!$A100)*(Generation_Entsoe_SFS_2017!$D$1:$AL$1='Abgleich Generation'!Q$81)*Generation_Entsoe_SFS_2017!$D$3:$AL$40)+SUMPRODUCT((Generation_Entsoe_SFS_2017!$A$3:$A$40='Abgleich Generation'!$A100)*(Generation_Entsoe_SFS_2017!$D$1:$AL$1='Abgleich Generation'!Q$80)*Generation_Entsoe_SFS_2017!$D$3:$AL$40)+SUMPRODUCT((Generation_Entsoe_SFS_2017!$A$3:$A$40='Abgleich Generation'!$A100)*(Generation_Entsoe_SFS_2017!$D$1:$AL$1='Abgleich Generation'!Q$79)*Generation_Entsoe_SFS_2017!$D$3:$AL$40)+SUMPRODUCT((Generation_Entsoe_SFS_2017!$A$3:$A$40='Abgleich Generation'!$A100)*(Generation_Entsoe_SFS_2017!$D$1:$AL$1='Abgleich Generation'!Q$78)*Generation_Entsoe_SFS_2017!$D$3:$AL$40)+SUMPRODUCT((Generation_Entsoe_SFS_2017!$A$3:$A$40='Abgleich Generation'!$A100)*(Generation_Entsoe_SFS_2017!$D$1:$AL$1='Abgleich Generation'!Q$77)*Generation_Entsoe_SFS_2017!$D$3:$AL$40)+SUMPRODUCT((Generation_Entsoe_SFS_2017!$A$3:$A$40='Abgleich Generation'!$A100)*(Generation_Entsoe_SFS_2017!$D$1:$AL$1='Abgleich Generation'!Q$76)*Generation_Entsoe_SFS_2017!$D$3:$AL$40)</f>
        <v>#VALUE!</v>
      </c>
      <c r="R100" s="58" t="e">
        <f>SUMPRODUCT((Generation_Entsoe_SFS_2017!$A$3:$A$40='Abgleich Generation'!$A100)*(Generation_Entsoe_SFS_2017!$D$1:$AL$1='Abgleich Generation'!R$81)*Generation_Entsoe_SFS_2017!$D$3:$AL$40)+SUMPRODUCT((Generation_Entsoe_SFS_2017!$A$3:$A$40='Abgleich Generation'!$A100)*(Generation_Entsoe_SFS_2017!$D$1:$AL$1='Abgleich Generation'!R$80)*Generation_Entsoe_SFS_2017!$D$3:$AL$40)+SUMPRODUCT((Generation_Entsoe_SFS_2017!$A$3:$A$40='Abgleich Generation'!$A100)*(Generation_Entsoe_SFS_2017!$D$1:$AL$1='Abgleich Generation'!R$79)*Generation_Entsoe_SFS_2017!$D$3:$AL$40)+SUMPRODUCT((Generation_Entsoe_SFS_2017!$A$3:$A$40='Abgleich Generation'!$A100)*(Generation_Entsoe_SFS_2017!$D$1:$AL$1='Abgleich Generation'!R$78)*Generation_Entsoe_SFS_2017!$D$3:$AL$40)+SUMPRODUCT((Generation_Entsoe_SFS_2017!$A$3:$A$40='Abgleich Generation'!$A100)*(Generation_Entsoe_SFS_2017!$D$1:$AL$1='Abgleich Generation'!R$77)*Generation_Entsoe_SFS_2017!$D$3:$AL$40)+SUMPRODUCT((Generation_Entsoe_SFS_2017!$A$3:$A$40='Abgleich Generation'!$A100)*(Generation_Entsoe_SFS_2017!$D$1:$AL$1='Abgleich Generation'!R$76)*Generation_Entsoe_SFS_2017!$D$3:$AL$40)</f>
        <v>#VALUE!</v>
      </c>
      <c r="S100" s="58" t="e">
        <f>SUMPRODUCT((Generation_Entsoe_SFS_2017!$A$3:$A$40='Abgleich Generation'!$A100)*(Generation_Entsoe_SFS_2017!$D$1:$AL$1='Abgleich Generation'!S$81)*Generation_Entsoe_SFS_2017!$D$3:$AL$40)+SUMPRODUCT((Generation_Entsoe_SFS_2017!$A$3:$A$40='Abgleich Generation'!$A100)*(Generation_Entsoe_SFS_2017!$D$1:$AL$1='Abgleich Generation'!S$80)*Generation_Entsoe_SFS_2017!$D$3:$AL$40)+SUMPRODUCT((Generation_Entsoe_SFS_2017!$A$3:$A$40='Abgleich Generation'!$A100)*(Generation_Entsoe_SFS_2017!$D$1:$AL$1='Abgleich Generation'!S$79)*Generation_Entsoe_SFS_2017!$D$3:$AL$40)+SUMPRODUCT((Generation_Entsoe_SFS_2017!$A$3:$A$40='Abgleich Generation'!$A100)*(Generation_Entsoe_SFS_2017!$D$1:$AL$1='Abgleich Generation'!S$78)*Generation_Entsoe_SFS_2017!$D$3:$AL$40)+SUMPRODUCT((Generation_Entsoe_SFS_2017!$A$3:$A$40='Abgleich Generation'!$A100)*(Generation_Entsoe_SFS_2017!$D$1:$AL$1='Abgleich Generation'!S$77)*Generation_Entsoe_SFS_2017!$D$3:$AL$40)+SUMPRODUCT((Generation_Entsoe_SFS_2017!$A$3:$A$40='Abgleich Generation'!$A100)*(Generation_Entsoe_SFS_2017!$D$1:$AL$1='Abgleich Generation'!S$76)*Generation_Entsoe_SFS_2017!$D$3:$AL$40)</f>
        <v>#VALUE!</v>
      </c>
      <c r="T100" s="58" t="e">
        <f>SUMPRODUCT((Generation_Entsoe_SFS_2017!$A$3:$A$40='Abgleich Generation'!$A100)*(Generation_Entsoe_SFS_2017!$D$1:$AL$1='Abgleich Generation'!T$81)*Generation_Entsoe_SFS_2017!$D$3:$AL$40)+SUMPRODUCT((Generation_Entsoe_SFS_2017!$A$3:$A$40='Abgleich Generation'!$A100)*(Generation_Entsoe_SFS_2017!$D$1:$AL$1='Abgleich Generation'!T$80)*Generation_Entsoe_SFS_2017!$D$3:$AL$40)+SUMPRODUCT((Generation_Entsoe_SFS_2017!$A$3:$A$40='Abgleich Generation'!$A100)*(Generation_Entsoe_SFS_2017!$D$1:$AL$1='Abgleich Generation'!T$79)*Generation_Entsoe_SFS_2017!$D$3:$AL$40)+SUMPRODUCT((Generation_Entsoe_SFS_2017!$A$3:$A$40='Abgleich Generation'!$A100)*(Generation_Entsoe_SFS_2017!$D$1:$AL$1='Abgleich Generation'!T$78)*Generation_Entsoe_SFS_2017!$D$3:$AL$40)+SUMPRODUCT((Generation_Entsoe_SFS_2017!$A$3:$A$40='Abgleich Generation'!$A100)*(Generation_Entsoe_SFS_2017!$D$1:$AL$1='Abgleich Generation'!T$77)*Generation_Entsoe_SFS_2017!$D$3:$AL$40)+SUMPRODUCT((Generation_Entsoe_SFS_2017!$A$3:$A$40='Abgleich Generation'!$A100)*(Generation_Entsoe_SFS_2017!$D$1:$AL$1='Abgleich Generation'!T$76)*Generation_Entsoe_SFS_2017!$D$3:$AL$40)</f>
        <v>#VALUE!</v>
      </c>
      <c r="U100" s="58" t="e">
        <f>SUMPRODUCT((Generation_Entsoe_SFS_2017!$A$3:$A$40='Abgleich Generation'!$A100)*(Generation_Entsoe_SFS_2017!$D$1:$AL$1='Abgleich Generation'!U$81)*Generation_Entsoe_SFS_2017!$D$3:$AL$40)+SUMPRODUCT((Generation_Entsoe_SFS_2017!$A$3:$A$40='Abgleich Generation'!$A100)*(Generation_Entsoe_SFS_2017!$D$1:$AL$1='Abgleich Generation'!U$80)*Generation_Entsoe_SFS_2017!$D$3:$AL$40)+SUMPRODUCT((Generation_Entsoe_SFS_2017!$A$3:$A$40='Abgleich Generation'!$A100)*(Generation_Entsoe_SFS_2017!$D$1:$AL$1='Abgleich Generation'!U$79)*Generation_Entsoe_SFS_2017!$D$3:$AL$40)+SUMPRODUCT((Generation_Entsoe_SFS_2017!$A$3:$A$40='Abgleich Generation'!$A100)*(Generation_Entsoe_SFS_2017!$D$1:$AL$1='Abgleich Generation'!U$78)*Generation_Entsoe_SFS_2017!$D$3:$AL$40)+SUMPRODUCT((Generation_Entsoe_SFS_2017!$A$3:$A$40='Abgleich Generation'!$A100)*(Generation_Entsoe_SFS_2017!$D$1:$AL$1='Abgleich Generation'!U$77)*Generation_Entsoe_SFS_2017!$D$3:$AL$40)+SUMPRODUCT((Generation_Entsoe_SFS_2017!$A$3:$A$40='Abgleich Generation'!$A100)*(Generation_Entsoe_SFS_2017!$D$1:$AL$1='Abgleich Generation'!U$76)*Generation_Entsoe_SFS_2017!$D$3:$AL$40)</f>
        <v>#VALUE!</v>
      </c>
      <c r="V100" s="59" t="e">
        <f t="shared" si="63"/>
        <v>#VALUE!</v>
      </c>
      <c r="W100" s="60" t="e">
        <f>SUMPRODUCT((Generation_Entsoe_SFS_2017!$A$3:$A$40='Abgleich Generation'!$A100)*(Generation_Entsoe_SFS_2017!$D$1:$AL$1='Abgleich Generation'!W$81)*Generation_Entsoe_SFS_2017!$D$3:$AL$40)+SUMPRODUCT((Generation_Entsoe_SFS_2017!$A$3:$A$40='Abgleich Generation'!$A100)*(Generation_Entsoe_SFS_2017!$D$1:$AL$1='Abgleich Generation'!W$80)*Generation_Entsoe_SFS_2017!$D$3:$AL$40)+SUMPRODUCT((Generation_Entsoe_SFS_2017!$A$3:$A$40='Abgleich Generation'!$A100)*(Generation_Entsoe_SFS_2017!$D$1:$AL$1='Abgleich Generation'!W$79)*Generation_Entsoe_SFS_2017!$D$3:$AL$40)+SUMPRODUCT((Generation_Entsoe_SFS_2017!$A$3:$A$40='Abgleich Generation'!$A100)*(Generation_Entsoe_SFS_2017!$D$1:$AL$1='Abgleich Generation'!W$78)*Generation_Entsoe_SFS_2017!$D$3:$AL$40)+SUMPRODUCT((Generation_Entsoe_SFS_2017!$A$3:$A$40='Abgleich Generation'!$A100)*(Generation_Entsoe_SFS_2017!$D$1:$AL$1='Abgleich Generation'!W$77)*Generation_Entsoe_SFS_2017!$D$3:$AL$40)+SUMPRODUCT((Generation_Entsoe_SFS_2017!$A$3:$A$40='Abgleich Generation'!$A100)*(Generation_Entsoe_SFS_2017!$D$1:$AL$1='Abgleich Generation'!W$76)*Generation_Entsoe_SFS_2017!$D$3:$AL$40)</f>
        <v>#VALUE!</v>
      </c>
      <c r="X100" s="61" t="e">
        <f>SUMPRODUCT((Generation_Entsoe_SFS_2017!$A$3:$A$40='Abgleich Generation'!$A100)*(Generation_Entsoe_SFS_2017!$D$1:$AL$1='Abgleich Generation'!X$81)*Generation_Entsoe_SFS_2017!$D$3:$AL$40)+SUMPRODUCT((Generation_Entsoe_SFS_2017!$A$3:$A$40='Abgleich Generation'!$A100)*(Generation_Entsoe_SFS_2017!$D$1:$AL$1='Abgleich Generation'!X$80)*Generation_Entsoe_SFS_2017!$D$3:$AL$40)+SUMPRODUCT((Generation_Entsoe_SFS_2017!$A$3:$A$40='Abgleich Generation'!$A100)*(Generation_Entsoe_SFS_2017!$D$1:$AL$1='Abgleich Generation'!X$79)*Generation_Entsoe_SFS_2017!$D$3:$AL$40)+SUMPRODUCT((Generation_Entsoe_SFS_2017!$A$3:$A$40='Abgleich Generation'!$A100)*(Generation_Entsoe_SFS_2017!$D$1:$AL$1='Abgleich Generation'!X$78)*Generation_Entsoe_SFS_2017!$D$3:$AL$40)+SUMPRODUCT((Generation_Entsoe_SFS_2017!$A$3:$A$40='Abgleich Generation'!$A100)*(Generation_Entsoe_SFS_2017!$D$1:$AL$1='Abgleich Generation'!X$77)*Generation_Entsoe_SFS_2017!$D$3:$AL$40)+SUMPRODUCT((Generation_Entsoe_SFS_2017!$A$3:$A$40='Abgleich Generation'!$A100)*(Generation_Entsoe_SFS_2017!$D$1:$AL$1='Abgleich Generation'!X$76)*Generation_Entsoe_SFS_2017!$D$3:$AL$40)</f>
        <v>#VALUE!</v>
      </c>
      <c r="Y100" s="61" t="e">
        <f t="shared" si="64"/>
        <v>#VALUE!</v>
      </c>
      <c r="AG100" s="65"/>
    </row>
    <row r="101" spans="1:33" x14ac:dyDescent="0.25">
      <c r="A101" s="14" t="s">
        <v>27</v>
      </c>
      <c r="B101" s="25" t="e">
        <f t="shared" si="60"/>
        <v>#VALUE!</v>
      </c>
      <c r="C101" s="26" t="e">
        <f>SUMPRODUCT((Generation_Entsoe_SFS_2017!$A$3:$A$40='Abgleich Generation'!$A101)*(Generation_Entsoe_SFS_2017!$D$1:$AL$1='Abgleich Generation'!C$81)*Generation_Entsoe_SFS_2017!$D$3:$AL$40)+SUMPRODUCT((Generation_Entsoe_SFS_2017!$A$3:$A$40='Abgleich Generation'!$A101)*(Generation_Entsoe_SFS_2017!$D$1:$AL$1='Abgleich Generation'!C$80)*Generation_Entsoe_SFS_2017!$D$3:$AL$40)+SUMPRODUCT((Generation_Entsoe_SFS_2017!$A$3:$A$40='Abgleich Generation'!$A101)*(Generation_Entsoe_SFS_2017!$D$1:$AL$1='Abgleich Generation'!C$79)*Generation_Entsoe_SFS_2017!$D$3:$AL$40)+SUMPRODUCT((Generation_Entsoe_SFS_2017!$A$3:$A$40='Abgleich Generation'!$A101)*(Generation_Entsoe_SFS_2017!$D$1:$AL$1='Abgleich Generation'!C$78)*Generation_Entsoe_SFS_2017!$D$3:$AL$40)</f>
        <v>#VALUE!</v>
      </c>
      <c r="D101" s="26" t="e">
        <f t="shared" si="61"/>
        <v>#VALUE!</v>
      </c>
      <c r="E101" s="26" t="e">
        <f>SUMPRODUCT((Generation_Entsoe_SFS_2017!$A$3:$A$40='Abgleich Generation'!$A101)*(Generation_Entsoe_SFS_2017!$D$1:$AL$1='Abgleich Generation'!E$81)*Generation_Entsoe_SFS_2017!$D$3:$AL$40)+SUMPRODUCT((Generation_Entsoe_SFS_2017!$A$3:$A$40='Abgleich Generation'!$A101)*(Generation_Entsoe_SFS_2017!$D$1:$AL$1='Abgleich Generation'!E$80)*Generation_Entsoe_SFS_2017!$D$3:$AL$40)+SUMPRODUCT((Generation_Entsoe_SFS_2017!$A$3:$A$40='Abgleich Generation'!$A101)*(Generation_Entsoe_SFS_2017!$D$1:$AL$1='Abgleich Generation'!E$79)*Generation_Entsoe_SFS_2017!$D$3:$AL$40)+SUMPRODUCT((Generation_Entsoe_SFS_2017!$A$3:$A$40='Abgleich Generation'!$A101)*(Generation_Entsoe_SFS_2017!$D$1:$AL$1='Abgleich Generation'!E$78)*Generation_Entsoe_SFS_2017!$D$3:$AL$40)</f>
        <v>#VALUE!</v>
      </c>
      <c r="F101" s="26" t="e">
        <f>SUMPRODUCT((Generation_Entsoe_SFS_2017!$A$3:$A$40='Abgleich Generation'!$A101)*(Generation_Entsoe_SFS_2017!$D$1:$AL$1='Abgleich Generation'!F$81)*Generation_Entsoe_SFS_2017!$D$3:$AL$40)+SUMPRODUCT((Generation_Entsoe_SFS_2017!$A$3:$A$40='Abgleich Generation'!$A101)*(Generation_Entsoe_SFS_2017!$D$1:$AL$1='Abgleich Generation'!F$80)*Generation_Entsoe_SFS_2017!$D$3:$AL$40)+SUMPRODUCT((Generation_Entsoe_SFS_2017!$A$3:$A$40='Abgleich Generation'!$A101)*(Generation_Entsoe_SFS_2017!$D$1:$AL$1='Abgleich Generation'!F$79)*Generation_Entsoe_SFS_2017!$D$3:$AL$40)+SUMPRODUCT((Generation_Entsoe_SFS_2017!$A$3:$A$40='Abgleich Generation'!$A101)*(Generation_Entsoe_SFS_2017!$D$1:$AL$1='Abgleich Generation'!F$78)*Generation_Entsoe_SFS_2017!$D$3:$AL$40)</f>
        <v>#VALUE!</v>
      </c>
      <c r="G101" s="26" t="e">
        <f>SUMPRODUCT((Generation_Entsoe_SFS_2017!$A$3:$A$40='Abgleich Generation'!$A101)*(Generation_Entsoe_SFS_2017!$D$1:$AL$1='Abgleich Generation'!G$81)*Generation_Entsoe_SFS_2017!$D$3:$AL$40)+SUMPRODUCT((Generation_Entsoe_SFS_2017!$A$3:$A$40='Abgleich Generation'!$A101)*(Generation_Entsoe_SFS_2017!$D$1:$AL$1='Abgleich Generation'!G$80)*Generation_Entsoe_SFS_2017!$D$3:$AL$40)+SUMPRODUCT((Generation_Entsoe_SFS_2017!$A$3:$A$40='Abgleich Generation'!$A101)*(Generation_Entsoe_SFS_2017!$D$1:$AL$1='Abgleich Generation'!G$79)*Generation_Entsoe_SFS_2017!$D$3:$AL$40)+SUMPRODUCT((Generation_Entsoe_SFS_2017!$A$3:$A$40='Abgleich Generation'!$A101)*(Generation_Entsoe_SFS_2017!$D$1:$AL$1='Abgleich Generation'!G$78)*Generation_Entsoe_SFS_2017!$D$3:$AL$40)</f>
        <v>#VALUE!</v>
      </c>
      <c r="H101" s="26" t="e">
        <f>SUMPRODUCT((Generation_Entsoe_SFS_2017!$A$3:$A$40='Abgleich Generation'!$A101)*(Generation_Entsoe_SFS_2017!$D$1:$AL$1='Abgleich Generation'!H$81)*Generation_Entsoe_SFS_2017!$D$3:$AL$40)+SUMPRODUCT((Generation_Entsoe_SFS_2017!$A$3:$A$40='Abgleich Generation'!$A101)*(Generation_Entsoe_SFS_2017!$D$1:$AL$1='Abgleich Generation'!H$80)*Generation_Entsoe_SFS_2017!$D$3:$AL$40)+SUMPRODUCT((Generation_Entsoe_SFS_2017!$A$3:$A$40='Abgleich Generation'!$A101)*(Generation_Entsoe_SFS_2017!$D$1:$AL$1='Abgleich Generation'!H$79)*Generation_Entsoe_SFS_2017!$D$3:$AL$40)+SUMPRODUCT((Generation_Entsoe_SFS_2017!$A$3:$A$40='Abgleich Generation'!$A101)*(Generation_Entsoe_SFS_2017!$D$1:$AL$1='Abgleich Generation'!H$78)*Generation_Entsoe_SFS_2017!$D$3:$AL$40)</f>
        <v>#VALUE!</v>
      </c>
      <c r="I101" s="26" t="e">
        <f>SUMPRODUCT((Generation_Entsoe_SFS_2017!$A$3:$A$40='Abgleich Generation'!$A101)*(Generation_Entsoe_SFS_2017!$D$1:$AL$1='Abgleich Generation'!I$81)*Generation_Entsoe_SFS_2017!$D$3:$AL$40)+SUMPRODUCT((Generation_Entsoe_SFS_2017!$A$3:$A$40='Abgleich Generation'!$A101)*(Generation_Entsoe_SFS_2017!$D$1:$AL$1='Abgleich Generation'!I$80)*Generation_Entsoe_SFS_2017!$D$3:$AL$40)+SUMPRODUCT((Generation_Entsoe_SFS_2017!$A$3:$A$40='Abgleich Generation'!$A101)*(Generation_Entsoe_SFS_2017!$D$1:$AL$1='Abgleich Generation'!I$79)*Generation_Entsoe_SFS_2017!$D$3:$AL$40)+SUMPRODUCT((Generation_Entsoe_SFS_2017!$A$3:$A$40='Abgleich Generation'!$A101)*(Generation_Entsoe_SFS_2017!$D$1:$AL$1='Abgleich Generation'!I$78)*Generation_Entsoe_SFS_2017!$D$3:$AL$40)</f>
        <v>#VALUE!</v>
      </c>
      <c r="J101" s="26" t="e">
        <f>SUMPRODUCT((Generation_Entsoe_SFS_2017!$A$3:$A$40='Abgleich Generation'!$A101)*(Generation_Entsoe_SFS_2017!$D$1:$AL$1='Abgleich Generation'!J$81)*Generation_Entsoe_SFS_2017!$D$3:$AL$40)+SUMPRODUCT((Generation_Entsoe_SFS_2017!$A$3:$A$40='Abgleich Generation'!$A101)*(Generation_Entsoe_SFS_2017!$D$1:$AL$1='Abgleich Generation'!J$80)*Generation_Entsoe_SFS_2017!$D$3:$AL$40)+SUMPRODUCT((Generation_Entsoe_SFS_2017!$A$3:$A$40='Abgleich Generation'!$A101)*(Generation_Entsoe_SFS_2017!$D$1:$AL$1='Abgleich Generation'!J$79)*Generation_Entsoe_SFS_2017!$D$3:$AL$40)+SUMPRODUCT((Generation_Entsoe_SFS_2017!$A$3:$A$40='Abgleich Generation'!$A101)*(Generation_Entsoe_SFS_2017!$D$1:$AL$1='Abgleich Generation'!J$78)*Generation_Entsoe_SFS_2017!$D$3:$AL$40)</f>
        <v>#VALUE!</v>
      </c>
      <c r="K101" s="27" t="e">
        <f t="shared" si="62"/>
        <v>#VALUE!</v>
      </c>
      <c r="L101" s="26" t="e">
        <f>SUMPRODUCT((Generation_Entsoe_SFS_2017!$A$3:$A$40='Abgleich Generation'!$A101)*(Generation_Entsoe_SFS_2017!$D$1:$AL$1='Abgleich Generation'!L$81)*Generation_Entsoe_SFS_2017!$D$3:$AL$40)+SUMPRODUCT((Generation_Entsoe_SFS_2017!$A$3:$A$40='Abgleich Generation'!$A101)*(Generation_Entsoe_SFS_2017!$D$1:$AL$1='Abgleich Generation'!L$80)*Generation_Entsoe_SFS_2017!$D$3:$AL$40)+SUMPRODUCT((Generation_Entsoe_SFS_2017!$A$3:$A$40='Abgleich Generation'!$A101)*(Generation_Entsoe_SFS_2017!$D$1:$AL$1='Abgleich Generation'!L$79)*Generation_Entsoe_SFS_2017!$D$3:$AL$40)+SUMPRODUCT((Generation_Entsoe_SFS_2017!$A$3:$A$40='Abgleich Generation'!$A101)*(Generation_Entsoe_SFS_2017!$D$1:$AL$1='Abgleich Generation'!L$78)*Generation_Entsoe_SFS_2017!$D$3:$AL$40)+SUMPRODUCT((Generation_Entsoe_SFS_2017!$A$3:$A$40='Abgleich Generation'!$A101)*(Generation_Entsoe_SFS_2017!$D$1:$AL$1='Abgleich Generation'!L$77)*Generation_Entsoe_SFS_2017!$D$3:$AL$40)+SUMPRODUCT((Generation_Entsoe_SFS_2017!$A$3:$A$40='Abgleich Generation'!$A101)*(Generation_Entsoe_SFS_2017!$D$1:$AL$1='Abgleich Generation'!L$76)*Generation_Entsoe_SFS_2017!$D$3:$AL$40)</f>
        <v>#VALUE!</v>
      </c>
      <c r="M101" s="26" t="e">
        <f>SUMPRODUCT((Generation_Entsoe_SFS_2017!$A$3:$A$40='Abgleich Generation'!$A101)*(Generation_Entsoe_SFS_2017!$D$1:$AL$1='Abgleich Generation'!M$81)*Generation_Entsoe_SFS_2017!$D$3:$AL$40)+SUMPRODUCT((Generation_Entsoe_SFS_2017!$A$3:$A$40='Abgleich Generation'!$A101)*(Generation_Entsoe_SFS_2017!$D$1:$AL$1='Abgleich Generation'!M$80)*Generation_Entsoe_SFS_2017!$D$3:$AL$40)+SUMPRODUCT((Generation_Entsoe_SFS_2017!$A$3:$A$40='Abgleich Generation'!$A101)*(Generation_Entsoe_SFS_2017!$D$1:$AL$1='Abgleich Generation'!M$79)*Generation_Entsoe_SFS_2017!$D$3:$AL$40)+SUMPRODUCT((Generation_Entsoe_SFS_2017!$A$3:$A$40='Abgleich Generation'!$A101)*(Generation_Entsoe_SFS_2017!$D$1:$AL$1='Abgleich Generation'!M$78)*Generation_Entsoe_SFS_2017!$D$3:$AL$40)+SUMPRODUCT((Generation_Entsoe_SFS_2017!$A$3:$A$40='Abgleich Generation'!$A101)*(Generation_Entsoe_SFS_2017!$D$1:$AL$1='Abgleich Generation'!M$77)*Generation_Entsoe_SFS_2017!$D$3:$AL$40)+SUMPRODUCT((Generation_Entsoe_SFS_2017!$A$3:$A$40='Abgleich Generation'!$A101)*(Generation_Entsoe_SFS_2017!$D$1:$AL$1='Abgleich Generation'!M$76)*Generation_Entsoe_SFS_2017!$D$3:$AL$40)</f>
        <v>#VALUE!</v>
      </c>
      <c r="N101" s="26" t="e">
        <f>SUMPRODUCT((Generation_Entsoe_SFS_2017!$A$3:$A$40='Abgleich Generation'!$A101)*(Generation_Entsoe_SFS_2017!$D$1:$AL$1='Abgleich Generation'!N$81)*Generation_Entsoe_SFS_2017!$D$3:$AL$40)+SUMPRODUCT((Generation_Entsoe_SFS_2017!$A$3:$A$40='Abgleich Generation'!$A101)*(Generation_Entsoe_SFS_2017!$D$1:$AL$1='Abgleich Generation'!N$80)*Generation_Entsoe_SFS_2017!$D$3:$AL$40)+SUMPRODUCT((Generation_Entsoe_SFS_2017!$A$3:$A$40='Abgleich Generation'!$A101)*(Generation_Entsoe_SFS_2017!$D$1:$AL$1='Abgleich Generation'!N$79)*Generation_Entsoe_SFS_2017!$D$3:$AL$40)+SUMPRODUCT((Generation_Entsoe_SFS_2017!$A$3:$A$40='Abgleich Generation'!$A101)*(Generation_Entsoe_SFS_2017!$D$1:$AL$1='Abgleich Generation'!N$78)*Generation_Entsoe_SFS_2017!$D$3:$AL$40)+SUMPRODUCT((Generation_Entsoe_SFS_2017!$A$3:$A$40='Abgleich Generation'!$A101)*(Generation_Entsoe_SFS_2017!$D$1:$AL$1='Abgleich Generation'!N$77)*Generation_Entsoe_SFS_2017!$D$3:$AL$40)+SUMPRODUCT((Generation_Entsoe_SFS_2017!$A$3:$A$40='Abgleich Generation'!$A101)*(Generation_Entsoe_SFS_2017!$D$1:$AL$1='Abgleich Generation'!N$76)*Generation_Entsoe_SFS_2017!$D$3:$AL$40)</f>
        <v>#VALUE!</v>
      </c>
      <c r="O101" s="26" t="e">
        <f>SUMPRODUCT((Generation_Entsoe_SFS_2017!$A$3:$A$40='Abgleich Generation'!$A101)*(Generation_Entsoe_SFS_2017!$D$1:$AL$1='Abgleich Generation'!O$81)*Generation_Entsoe_SFS_2017!$D$3:$AL$40)+SUMPRODUCT((Generation_Entsoe_SFS_2017!$A$3:$A$40='Abgleich Generation'!$A101)*(Generation_Entsoe_SFS_2017!$D$1:$AL$1='Abgleich Generation'!O$80)*Generation_Entsoe_SFS_2017!$D$3:$AL$40)+SUMPRODUCT((Generation_Entsoe_SFS_2017!$A$3:$A$40='Abgleich Generation'!$A101)*(Generation_Entsoe_SFS_2017!$D$1:$AL$1='Abgleich Generation'!O$79)*Generation_Entsoe_SFS_2017!$D$3:$AL$40)+SUMPRODUCT((Generation_Entsoe_SFS_2017!$A$3:$A$40='Abgleich Generation'!$A101)*(Generation_Entsoe_SFS_2017!$D$1:$AL$1='Abgleich Generation'!O$78)*Generation_Entsoe_SFS_2017!$D$3:$AL$40)+SUMPRODUCT((Generation_Entsoe_SFS_2017!$A$3:$A$40='Abgleich Generation'!$A101)*(Generation_Entsoe_SFS_2017!$D$1:$AL$1='Abgleich Generation'!O$77)*Generation_Entsoe_SFS_2017!$D$3:$AL$40)+SUMPRODUCT((Generation_Entsoe_SFS_2017!$A$3:$A$40='Abgleich Generation'!$A101)*(Generation_Entsoe_SFS_2017!$D$1:$AL$1='Abgleich Generation'!O$76)*Generation_Entsoe_SFS_2017!$D$3:$AL$40)</f>
        <v>#VALUE!</v>
      </c>
      <c r="P101" s="26" t="e">
        <f>SUMPRODUCT((Generation_Entsoe_SFS_2017!$A$3:$A$40='Abgleich Generation'!$A101)*(Generation_Entsoe_SFS_2017!$D$1:$AL$1='Abgleich Generation'!P$81)*Generation_Entsoe_SFS_2017!$D$3:$AL$40)+SUMPRODUCT((Generation_Entsoe_SFS_2017!$A$3:$A$40='Abgleich Generation'!$A101)*(Generation_Entsoe_SFS_2017!$D$1:$AL$1='Abgleich Generation'!P$80)*Generation_Entsoe_SFS_2017!$D$3:$AL$40)+SUMPRODUCT((Generation_Entsoe_SFS_2017!$A$3:$A$40='Abgleich Generation'!$A101)*(Generation_Entsoe_SFS_2017!$D$1:$AL$1='Abgleich Generation'!P$79)*Generation_Entsoe_SFS_2017!$D$3:$AL$40)+SUMPRODUCT((Generation_Entsoe_SFS_2017!$A$3:$A$40='Abgleich Generation'!$A101)*(Generation_Entsoe_SFS_2017!$D$1:$AL$1='Abgleich Generation'!P$78)*Generation_Entsoe_SFS_2017!$D$3:$AL$40)+SUMPRODUCT((Generation_Entsoe_SFS_2017!$A$3:$A$40='Abgleich Generation'!$A101)*(Generation_Entsoe_SFS_2017!$D$1:$AL$1='Abgleich Generation'!P$77)*Generation_Entsoe_SFS_2017!$D$3:$AL$40)+SUMPRODUCT((Generation_Entsoe_SFS_2017!$A$3:$A$40='Abgleich Generation'!$A101)*(Generation_Entsoe_SFS_2017!$D$1:$AL$1='Abgleich Generation'!P$76)*Generation_Entsoe_SFS_2017!$D$3:$AL$40)</f>
        <v>#VALUE!</v>
      </c>
      <c r="Q101" s="26" t="e">
        <f>SUMPRODUCT((Generation_Entsoe_SFS_2017!$A$3:$A$40='Abgleich Generation'!$A101)*(Generation_Entsoe_SFS_2017!$D$1:$AL$1='Abgleich Generation'!Q$81)*Generation_Entsoe_SFS_2017!$D$3:$AL$40)+SUMPRODUCT((Generation_Entsoe_SFS_2017!$A$3:$A$40='Abgleich Generation'!$A101)*(Generation_Entsoe_SFS_2017!$D$1:$AL$1='Abgleich Generation'!Q$80)*Generation_Entsoe_SFS_2017!$D$3:$AL$40)+SUMPRODUCT((Generation_Entsoe_SFS_2017!$A$3:$A$40='Abgleich Generation'!$A101)*(Generation_Entsoe_SFS_2017!$D$1:$AL$1='Abgleich Generation'!Q$79)*Generation_Entsoe_SFS_2017!$D$3:$AL$40)+SUMPRODUCT((Generation_Entsoe_SFS_2017!$A$3:$A$40='Abgleich Generation'!$A101)*(Generation_Entsoe_SFS_2017!$D$1:$AL$1='Abgleich Generation'!Q$78)*Generation_Entsoe_SFS_2017!$D$3:$AL$40)+SUMPRODUCT((Generation_Entsoe_SFS_2017!$A$3:$A$40='Abgleich Generation'!$A101)*(Generation_Entsoe_SFS_2017!$D$1:$AL$1='Abgleich Generation'!Q$77)*Generation_Entsoe_SFS_2017!$D$3:$AL$40)+SUMPRODUCT((Generation_Entsoe_SFS_2017!$A$3:$A$40='Abgleich Generation'!$A101)*(Generation_Entsoe_SFS_2017!$D$1:$AL$1='Abgleich Generation'!Q$76)*Generation_Entsoe_SFS_2017!$D$3:$AL$40)</f>
        <v>#VALUE!</v>
      </c>
      <c r="R101" s="26" t="e">
        <f>SUMPRODUCT((Generation_Entsoe_SFS_2017!$A$3:$A$40='Abgleich Generation'!$A101)*(Generation_Entsoe_SFS_2017!$D$1:$AL$1='Abgleich Generation'!R$81)*Generation_Entsoe_SFS_2017!$D$3:$AL$40)+SUMPRODUCT((Generation_Entsoe_SFS_2017!$A$3:$A$40='Abgleich Generation'!$A101)*(Generation_Entsoe_SFS_2017!$D$1:$AL$1='Abgleich Generation'!R$80)*Generation_Entsoe_SFS_2017!$D$3:$AL$40)+SUMPRODUCT((Generation_Entsoe_SFS_2017!$A$3:$A$40='Abgleich Generation'!$A101)*(Generation_Entsoe_SFS_2017!$D$1:$AL$1='Abgleich Generation'!R$79)*Generation_Entsoe_SFS_2017!$D$3:$AL$40)+SUMPRODUCT((Generation_Entsoe_SFS_2017!$A$3:$A$40='Abgleich Generation'!$A101)*(Generation_Entsoe_SFS_2017!$D$1:$AL$1='Abgleich Generation'!R$78)*Generation_Entsoe_SFS_2017!$D$3:$AL$40)+SUMPRODUCT((Generation_Entsoe_SFS_2017!$A$3:$A$40='Abgleich Generation'!$A101)*(Generation_Entsoe_SFS_2017!$D$1:$AL$1='Abgleich Generation'!R$77)*Generation_Entsoe_SFS_2017!$D$3:$AL$40)+SUMPRODUCT((Generation_Entsoe_SFS_2017!$A$3:$A$40='Abgleich Generation'!$A101)*(Generation_Entsoe_SFS_2017!$D$1:$AL$1='Abgleich Generation'!R$76)*Generation_Entsoe_SFS_2017!$D$3:$AL$40)</f>
        <v>#VALUE!</v>
      </c>
      <c r="S101" s="26" t="e">
        <f>SUMPRODUCT((Generation_Entsoe_SFS_2017!$A$3:$A$40='Abgleich Generation'!$A101)*(Generation_Entsoe_SFS_2017!$D$1:$AL$1='Abgleich Generation'!S$81)*Generation_Entsoe_SFS_2017!$D$3:$AL$40)+SUMPRODUCT((Generation_Entsoe_SFS_2017!$A$3:$A$40='Abgleich Generation'!$A101)*(Generation_Entsoe_SFS_2017!$D$1:$AL$1='Abgleich Generation'!S$80)*Generation_Entsoe_SFS_2017!$D$3:$AL$40)+SUMPRODUCT((Generation_Entsoe_SFS_2017!$A$3:$A$40='Abgleich Generation'!$A101)*(Generation_Entsoe_SFS_2017!$D$1:$AL$1='Abgleich Generation'!S$79)*Generation_Entsoe_SFS_2017!$D$3:$AL$40)+SUMPRODUCT((Generation_Entsoe_SFS_2017!$A$3:$A$40='Abgleich Generation'!$A101)*(Generation_Entsoe_SFS_2017!$D$1:$AL$1='Abgleich Generation'!S$78)*Generation_Entsoe_SFS_2017!$D$3:$AL$40)+SUMPRODUCT((Generation_Entsoe_SFS_2017!$A$3:$A$40='Abgleich Generation'!$A101)*(Generation_Entsoe_SFS_2017!$D$1:$AL$1='Abgleich Generation'!S$77)*Generation_Entsoe_SFS_2017!$D$3:$AL$40)+SUMPRODUCT((Generation_Entsoe_SFS_2017!$A$3:$A$40='Abgleich Generation'!$A101)*(Generation_Entsoe_SFS_2017!$D$1:$AL$1='Abgleich Generation'!S$76)*Generation_Entsoe_SFS_2017!$D$3:$AL$40)</f>
        <v>#VALUE!</v>
      </c>
      <c r="T101" s="26" t="e">
        <f>SUMPRODUCT((Generation_Entsoe_SFS_2017!$A$3:$A$40='Abgleich Generation'!$A101)*(Generation_Entsoe_SFS_2017!$D$1:$AL$1='Abgleich Generation'!T$81)*Generation_Entsoe_SFS_2017!$D$3:$AL$40)+SUMPRODUCT((Generation_Entsoe_SFS_2017!$A$3:$A$40='Abgleich Generation'!$A101)*(Generation_Entsoe_SFS_2017!$D$1:$AL$1='Abgleich Generation'!T$80)*Generation_Entsoe_SFS_2017!$D$3:$AL$40)+SUMPRODUCT((Generation_Entsoe_SFS_2017!$A$3:$A$40='Abgleich Generation'!$A101)*(Generation_Entsoe_SFS_2017!$D$1:$AL$1='Abgleich Generation'!T$79)*Generation_Entsoe_SFS_2017!$D$3:$AL$40)+SUMPRODUCT((Generation_Entsoe_SFS_2017!$A$3:$A$40='Abgleich Generation'!$A101)*(Generation_Entsoe_SFS_2017!$D$1:$AL$1='Abgleich Generation'!T$78)*Generation_Entsoe_SFS_2017!$D$3:$AL$40)+SUMPRODUCT((Generation_Entsoe_SFS_2017!$A$3:$A$40='Abgleich Generation'!$A101)*(Generation_Entsoe_SFS_2017!$D$1:$AL$1='Abgleich Generation'!T$77)*Generation_Entsoe_SFS_2017!$D$3:$AL$40)+SUMPRODUCT((Generation_Entsoe_SFS_2017!$A$3:$A$40='Abgleich Generation'!$A101)*(Generation_Entsoe_SFS_2017!$D$1:$AL$1='Abgleich Generation'!T$76)*Generation_Entsoe_SFS_2017!$D$3:$AL$40)</f>
        <v>#VALUE!</v>
      </c>
      <c r="U101" s="26" t="e">
        <f>SUMPRODUCT((Generation_Entsoe_SFS_2017!$A$3:$A$40='Abgleich Generation'!$A101)*(Generation_Entsoe_SFS_2017!$D$1:$AL$1='Abgleich Generation'!U$81)*Generation_Entsoe_SFS_2017!$D$3:$AL$40)+SUMPRODUCT((Generation_Entsoe_SFS_2017!$A$3:$A$40='Abgleich Generation'!$A101)*(Generation_Entsoe_SFS_2017!$D$1:$AL$1='Abgleich Generation'!U$80)*Generation_Entsoe_SFS_2017!$D$3:$AL$40)+SUMPRODUCT((Generation_Entsoe_SFS_2017!$A$3:$A$40='Abgleich Generation'!$A101)*(Generation_Entsoe_SFS_2017!$D$1:$AL$1='Abgleich Generation'!U$79)*Generation_Entsoe_SFS_2017!$D$3:$AL$40)+SUMPRODUCT((Generation_Entsoe_SFS_2017!$A$3:$A$40='Abgleich Generation'!$A101)*(Generation_Entsoe_SFS_2017!$D$1:$AL$1='Abgleich Generation'!U$78)*Generation_Entsoe_SFS_2017!$D$3:$AL$40)+SUMPRODUCT((Generation_Entsoe_SFS_2017!$A$3:$A$40='Abgleich Generation'!$A101)*(Generation_Entsoe_SFS_2017!$D$1:$AL$1='Abgleich Generation'!U$77)*Generation_Entsoe_SFS_2017!$D$3:$AL$40)+SUMPRODUCT((Generation_Entsoe_SFS_2017!$A$3:$A$40='Abgleich Generation'!$A101)*(Generation_Entsoe_SFS_2017!$D$1:$AL$1='Abgleich Generation'!U$76)*Generation_Entsoe_SFS_2017!$D$3:$AL$40)</f>
        <v>#VALUE!</v>
      </c>
      <c r="V101" s="27" t="e">
        <f t="shared" si="63"/>
        <v>#VALUE!</v>
      </c>
      <c r="W101" s="28" t="e">
        <f>SUMPRODUCT((Generation_Entsoe_SFS_2017!$A$3:$A$40='Abgleich Generation'!$A101)*(Generation_Entsoe_SFS_2017!$D$1:$AL$1='Abgleich Generation'!W$81)*Generation_Entsoe_SFS_2017!$D$3:$AL$40)+SUMPRODUCT((Generation_Entsoe_SFS_2017!$A$3:$A$40='Abgleich Generation'!$A101)*(Generation_Entsoe_SFS_2017!$D$1:$AL$1='Abgleich Generation'!W$80)*Generation_Entsoe_SFS_2017!$D$3:$AL$40)+SUMPRODUCT((Generation_Entsoe_SFS_2017!$A$3:$A$40='Abgleich Generation'!$A101)*(Generation_Entsoe_SFS_2017!$D$1:$AL$1='Abgleich Generation'!W$79)*Generation_Entsoe_SFS_2017!$D$3:$AL$40)+SUMPRODUCT((Generation_Entsoe_SFS_2017!$A$3:$A$40='Abgleich Generation'!$A101)*(Generation_Entsoe_SFS_2017!$D$1:$AL$1='Abgleich Generation'!W$78)*Generation_Entsoe_SFS_2017!$D$3:$AL$40)+SUMPRODUCT((Generation_Entsoe_SFS_2017!$A$3:$A$40='Abgleich Generation'!$A101)*(Generation_Entsoe_SFS_2017!$D$1:$AL$1='Abgleich Generation'!W$77)*Generation_Entsoe_SFS_2017!$D$3:$AL$40)+SUMPRODUCT((Generation_Entsoe_SFS_2017!$A$3:$A$40='Abgleich Generation'!$A101)*(Generation_Entsoe_SFS_2017!$D$1:$AL$1='Abgleich Generation'!W$76)*Generation_Entsoe_SFS_2017!$D$3:$AL$40)</f>
        <v>#VALUE!</v>
      </c>
      <c r="X101" s="29" t="e">
        <f>SUMPRODUCT((Generation_Entsoe_SFS_2017!$A$3:$A$40='Abgleich Generation'!$A101)*(Generation_Entsoe_SFS_2017!$D$1:$AL$1='Abgleich Generation'!X$81)*Generation_Entsoe_SFS_2017!$D$3:$AL$40)+SUMPRODUCT((Generation_Entsoe_SFS_2017!$A$3:$A$40='Abgleich Generation'!$A101)*(Generation_Entsoe_SFS_2017!$D$1:$AL$1='Abgleich Generation'!X$80)*Generation_Entsoe_SFS_2017!$D$3:$AL$40)+SUMPRODUCT((Generation_Entsoe_SFS_2017!$A$3:$A$40='Abgleich Generation'!$A101)*(Generation_Entsoe_SFS_2017!$D$1:$AL$1='Abgleich Generation'!X$79)*Generation_Entsoe_SFS_2017!$D$3:$AL$40)+SUMPRODUCT((Generation_Entsoe_SFS_2017!$A$3:$A$40='Abgleich Generation'!$A101)*(Generation_Entsoe_SFS_2017!$D$1:$AL$1='Abgleich Generation'!X$78)*Generation_Entsoe_SFS_2017!$D$3:$AL$40)+SUMPRODUCT((Generation_Entsoe_SFS_2017!$A$3:$A$40='Abgleich Generation'!$A101)*(Generation_Entsoe_SFS_2017!$D$1:$AL$1='Abgleich Generation'!X$77)*Generation_Entsoe_SFS_2017!$D$3:$AL$40)+SUMPRODUCT((Generation_Entsoe_SFS_2017!$A$3:$A$40='Abgleich Generation'!$A101)*(Generation_Entsoe_SFS_2017!$D$1:$AL$1='Abgleich Generation'!X$76)*Generation_Entsoe_SFS_2017!$D$3:$AL$40)</f>
        <v>#VALUE!</v>
      </c>
      <c r="Y101" s="29" t="e">
        <f t="shared" si="64"/>
        <v>#VALUE!</v>
      </c>
    </row>
    <row r="102" spans="1:33" x14ac:dyDescent="0.25">
      <c r="A102" s="14" t="s">
        <v>28</v>
      </c>
      <c r="B102" s="57" t="e">
        <f t="shared" si="60"/>
        <v>#VALUE!</v>
      </c>
      <c r="C102" s="58" t="e">
        <f>SUMPRODUCT((Generation_Entsoe_SFS_2017!$A$3:$A$40='Abgleich Generation'!$A102)*(Generation_Entsoe_SFS_2017!$D$1:$AL$1='Abgleich Generation'!C$81)*Generation_Entsoe_SFS_2017!$D$3:$AL$40)+SUMPRODUCT((Generation_Entsoe_SFS_2017!$A$3:$A$40='Abgleich Generation'!$A102)*(Generation_Entsoe_SFS_2017!$D$1:$AL$1='Abgleich Generation'!C$80)*Generation_Entsoe_SFS_2017!$D$3:$AL$40)+SUMPRODUCT((Generation_Entsoe_SFS_2017!$A$3:$A$40='Abgleich Generation'!$A102)*(Generation_Entsoe_SFS_2017!$D$1:$AL$1='Abgleich Generation'!C$79)*Generation_Entsoe_SFS_2017!$D$3:$AL$40)+SUMPRODUCT((Generation_Entsoe_SFS_2017!$A$3:$A$40='Abgleich Generation'!$A102)*(Generation_Entsoe_SFS_2017!$D$1:$AL$1='Abgleich Generation'!C$78)*Generation_Entsoe_SFS_2017!$D$3:$AL$40)</f>
        <v>#VALUE!</v>
      </c>
      <c r="D102" s="58" t="e">
        <f t="shared" si="61"/>
        <v>#VALUE!</v>
      </c>
      <c r="E102" s="58" t="e">
        <f>SUMPRODUCT((Generation_Entsoe_SFS_2017!$A$3:$A$40='Abgleich Generation'!$A102)*(Generation_Entsoe_SFS_2017!$D$1:$AL$1='Abgleich Generation'!E$81)*Generation_Entsoe_SFS_2017!$D$3:$AL$40)+SUMPRODUCT((Generation_Entsoe_SFS_2017!$A$3:$A$40='Abgleich Generation'!$A102)*(Generation_Entsoe_SFS_2017!$D$1:$AL$1='Abgleich Generation'!E$80)*Generation_Entsoe_SFS_2017!$D$3:$AL$40)+SUMPRODUCT((Generation_Entsoe_SFS_2017!$A$3:$A$40='Abgleich Generation'!$A102)*(Generation_Entsoe_SFS_2017!$D$1:$AL$1='Abgleich Generation'!E$79)*Generation_Entsoe_SFS_2017!$D$3:$AL$40)+SUMPRODUCT((Generation_Entsoe_SFS_2017!$A$3:$A$40='Abgleich Generation'!$A102)*(Generation_Entsoe_SFS_2017!$D$1:$AL$1='Abgleich Generation'!E$78)*Generation_Entsoe_SFS_2017!$D$3:$AL$40)</f>
        <v>#VALUE!</v>
      </c>
      <c r="F102" s="58" t="e">
        <f>SUMPRODUCT((Generation_Entsoe_SFS_2017!$A$3:$A$40='Abgleich Generation'!$A102)*(Generation_Entsoe_SFS_2017!$D$1:$AL$1='Abgleich Generation'!F$81)*Generation_Entsoe_SFS_2017!$D$3:$AL$40)+SUMPRODUCT((Generation_Entsoe_SFS_2017!$A$3:$A$40='Abgleich Generation'!$A102)*(Generation_Entsoe_SFS_2017!$D$1:$AL$1='Abgleich Generation'!F$80)*Generation_Entsoe_SFS_2017!$D$3:$AL$40)+SUMPRODUCT((Generation_Entsoe_SFS_2017!$A$3:$A$40='Abgleich Generation'!$A102)*(Generation_Entsoe_SFS_2017!$D$1:$AL$1='Abgleich Generation'!F$79)*Generation_Entsoe_SFS_2017!$D$3:$AL$40)+SUMPRODUCT((Generation_Entsoe_SFS_2017!$A$3:$A$40='Abgleich Generation'!$A102)*(Generation_Entsoe_SFS_2017!$D$1:$AL$1='Abgleich Generation'!F$78)*Generation_Entsoe_SFS_2017!$D$3:$AL$40)</f>
        <v>#VALUE!</v>
      </c>
      <c r="G102" s="58" t="e">
        <f>SUMPRODUCT((Generation_Entsoe_SFS_2017!$A$3:$A$40='Abgleich Generation'!$A102)*(Generation_Entsoe_SFS_2017!$D$1:$AL$1='Abgleich Generation'!G$81)*Generation_Entsoe_SFS_2017!$D$3:$AL$40)+SUMPRODUCT((Generation_Entsoe_SFS_2017!$A$3:$A$40='Abgleich Generation'!$A102)*(Generation_Entsoe_SFS_2017!$D$1:$AL$1='Abgleich Generation'!G$80)*Generation_Entsoe_SFS_2017!$D$3:$AL$40)+SUMPRODUCT((Generation_Entsoe_SFS_2017!$A$3:$A$40='Abgleich Generation'!$A102)*(Generation_Entsoe_SFS_2017!$D$1:$AL$1='Abgleich Generation'!G$79)*Generation_Entsoe_SFS_2017!$D$3:$AL$40)+SUMPRODUCT((Generation_Entsoe_SFS_2017!$A$3:$A$40='Abgleich Generation'!$A102)*(Generation_Entsoe_SFS_2017!$D$1:$AL$1='Abgleich Generation'!G$78)*Generation_Entsoe_SFS_2017!$D$3:$AL$40)</f>
        <v>#VALUE!</v>
      </c>
      <c r="H102" s="58" t="e">
        <f>SUMPRODUCT((Generation_Entsoe_SFS_2017!$A$3:$A$40='Abgleich Generation'!$A102)*(Generation_Entsoe_SFS_2017!$D$1:$AL$1='Abgleich Generation'!H$81)*Generation_Entsoe_SFS_2017!$D$3:$AL$40)+SUMPRODUCT((Generation_Entsoe_SFS_2017!$A$3:$A$40='Abgleich Generation'!$A102)*(Generation_Entsoe_SFS_2017!$D$1:$AL$1='Abgleich Generation'!H$80)*Generation_Entsoe_SFS_2017!$D$3:$AL$40)+SUMPRODUCT((Generation_Entsoe_SFS_2017!$A$3:$A$40='Abgleich Generation'!$A102)*(Generation_Entsoe_SFS_2017!$D$1:$AL$1='Abgleich Generation'!H$79)*Generation_Entsoe_SFS_2017!$D$3:$AL$40)+SUMPRODUCT((Generation_Entsoe_SFS_2017!$A$3:$A$40='Abgleich Generation'!$A102)*(Generation_Entsoe_SFS_2017!$D$1:$AL$1='Abgleich Generation'!H$78)*Generation_Entsoe_SFS_2017!$D$3:$AL$40)</f>
        <v>#VALUE!</v>
      </c>
      <c r="I102" s="58" t="e">
        <f>SUMPRODUCT((Generation_Entsoe_SFS_2017!$A$3:$A$40='Abgleich Generation'!$A102)*(Generation_Entsoe_SFS_2017!$D$1:$AL$1='Abgleich Generation'!I$81)*Generation_Entsoe_SFS_2017!$D$3:$AL$40)+SUMPRODUCT((Generation_Entsoe_SFS_2017!$A$3:$A$40='Abgleich Generation'!$A102)*(Generation_Entsoe_SFS_2017!$D$1:$AL$1='Abgleich Generation'!I$80)*Generation_Entsoe_SFS_2017!$D$3:$AL$40)+SUMPRODUCT((Generation_Entsoe_SFS_2017!$A$3:$A$40='Abgleich Generation'!$A102)*(Generation_Entsoe_SFS_2017!$D$1:$AL$1='Abgleich Generation'!I$79)*Generation_Entsoe_SFS_2017!$D$3:$AL$40)+SUMPRODUCT((Generation_Entsoe_SFS_2017!$A$3:$A$40='Abgleich Generation'!$A102)*(Generation_Entsoe_SFS_2017!$D$1:$AL$1='Abgleich Generation'!I$78)*Generation_Entsoe_SFS_2017!$D$3:$AL$40)</f>
        <v>#VALUE!</v>
      </c>
      <c r="J102" s="58" t="e">
        <f>SUMPRODUCT((Generation_Entsoe_SFS_2017!$A$3:$A$40='Abgleich Generation'!$A102)*(Generation_Entsoe_SFS_2017!$D$1:$AL$1='Abgleich Generation'!J$81)*Generation_Entsoe_SFS_2017!$D$3:$AL$40)+SUMPRODUCT((Generation_Entsoe_SFS_2017!$A$3:$A$40='Abgleich Generation'!$A102)*(Generation_Entsoe_SFS_2017!$D$1:$AL$1='Abgleich Generation'!J$80)*Generation_Entsoe_SFS_2017!$D$3:$AL$40)+SUMPRODUCT((Generation_Entsoe_SFS_2017!$A$3:$A$40='Abgleich Generation'!$A102)*(Generation_Entsoe_SFS_2017!$D$1:$AL$1='Abgleich Generation'!J$79)*Generation_Entsoe_SFS_2017!$D$3:$AL$40)+SUMPRODUCT((Generation_Entsoe_SFS_2017!$A$3:$A$40='Abgleich Generation'!$A102)*(Generation_Entsoe_SFS_2017!$D$1:$AL$1='Abgleich Generation'!J$78)*Generation_Entsoe_SFS_2017!$D$3:$AL$40)</f>
        <v>#VALUE!</v>
      </c>
      <c r="K102" s="59" t="e">
        <f t="shared" si="62"/>
        <v>#VALUE!</v>
      </c>
      <c r="L102" s="58" t="e">
        <f>SUMPRODUCT((Generation_Entsoe_SFS_2017!$A$3:$A$40='Abgleich Generation'!$A102)*(Generation_Entsoe_SFS_2017!$D$1:$AL$1='Abgleich Generation'!L$81)*Generation_Entsoe_SFS_2017!$D$3:$AL$40)+SUMPRODUCT((Generation_Entsoe_SFS_2017!$A$3:$A$40='Abgleich Generation'!$A102)*(Generation_Entsoe_SFS_2017!$D$1:$AL$1='Abgleich Generation'!L$80)*Generation_Entsoe_SFS_2017!$D$3:$AL$40)+SUMPRODUCT((Generation_Entsoe_SFS_2017!$A$3:$A$40='Abgleich Generation'!$A102)*(Generation_Entsoe_SFS_2017!$D$1:$AL$1='Abgleich Generation'!L$79)*Generation_Entsoe_SFS_2017!$D$3:$AL$40)+SUMPRODUCT((Generation_Entsoe_SFS_2017!$A$3:$A$40='Abgleich Generation'!$A102)*(Generation_Entsoe_SFS_2017!$D$1:$AL$1='Abgleich Generation'!L$78)*Generation_Entsoe_SFS_2017!$D$3:$AL$40)+SUMPRODUCT((Generation_Entsoe_SFS_2017!$A$3:$A$40='Abgleich Generation'!$A102)*(Generation_Entsoe_SFS_2017!$D$1:$AL$1='Abgleich Generation'!L$77)*Generation_Entsoe_SFS_2017!$D$3:$AL$40)+SUMPRODUCT((Generation_Entsoe_SFS_2017!$A$3:$A$40='Abgleich Generation'!$A102)*(Generation_Entsoe_SFS_2017!$D$1:$AL$1='Abgleich Generation'!L$76)*Generation_Entsoe_SFS_2017!$D$3:$AL$40)</f>
        <v>#VALUE!</v>
      </c>
      <c r="M102" s="58" t="e">
        <f>SUMPRODUCT((Generation_Entsoe_SFS_2017!$A$3:$A$40='Abgleich Generation'!$A102)*(Generation_Entsoe_SFS_2017!$D$1:$AL$1='Abgleich Generation'!M$81)*Generation_Entsoe_SFS_2017!$D$3:$AL$40)+SUMPRODUCT((Generation_Entsoe_SFS_2017!$A$3:$A$40='Abgleich Generation'!$A102)*(Generation_Entsoe_SFS_2017!$D$1:$AL$1='Abgleich Generation'!M$80)*Generation_Entsoe_SFS_2017!$D$3:$AL$40)+SUMPRODUCT((Generation_Entsoe_SFS_2017!$A$3:$A$40='Abgleich Generation'!$A102)*(Generation_Entsoe_SFS_2017!$D$1:$AL$1='Abgleich Generation'!M$79)*Generation_Entsoe_SFS_2017!$D$3:$AL$40)+SUMPRODUCT((Generation_Entsoe_SFS_2017!$A$3:$A$40='Abgleich Generation'!$A102)*(Generation_Entsoe_SFS_2017!$D$1:$AL$1='Abgleich Generation'!M$78)*Generation_Entsoe_SFS_2017!$D$3:$AL$40)+SUMPRODUCT((Generation_Entsoe_SFS_2017!$A$3:$A$40='Abgleich Generation'!$A102)*(Generation_Entsoe_SFS_2017!$D$1:$AL$1='Abgleich Generation'!M$77)*Generation_Entsoe_SFS_2017!$D$3:$AL$40)+SUMPRODUCT((Generation_Entsoe_SFS_2017!$A$3:$A$40='Abgleich Generation'!$A102)*(Generation_Entsoe_SFS_2017!$D$1:$AL$1='Abgleich Generation'!M$76)*Generation_Entsoe_SFS_2017!$D$3:$AL$40)</f>
        <v>#VALUE!</v>
      </c>
      <c r="N102" s="58" t="e">
        <f>SUMPRODUCT((Generation_Entsoe_SFS_2017!$A$3:$A$40='Abgleich Generation'!$A102)*(Generation_Entsoe_SFS_2017!$D$1:$AL$1='Abgleich Generation'!N$81)*Generation_Entsoe_SFS_2017!$D$3:$AL$40)+SUMPRODUCT((Generation_Entsoe_SFS_2017!$A$3:$A$40='Abgleich Generation'!$A102)*(Generation_Entsoe_SFS_2017!$D$1:$AL$1='Abgleich Generation'!N$80)*Generation_Entsoe_SFS_2017!$D$3:$AL$40)+SUMPRODUCT((Generation_Entsoe_SFS_2017!$A$3:$A$40='Abgleich Generation'!$A102)*(Generation_Entsoe_SFS_2017!$D$1:$AL$1='Abgleich Generation'!N$79)*Generation_Entsoe_SFS_2017!$D$3:$AL$40)+SUMPRODUCT((Generation_Entsoe_SFS_2017!$A$3:$A$40='Abgleich Generation'!$A102)*(Generation_Entsoe_SFS_2017!$D$1:$AL$1='Abgleich Generation'!N$78)*Generation_Entsoe_SFS_2017!$D$3:$AL$40)+SUMPRODUCT((Generation_Entsoe_SFS_2017!$A$3:$A$40='Abgleich Generation'!$A102)*(Generation_Entsoe_SFS_2017!$D$1:$AL$1='Abgleich Generation'!N$77)*Generation_Entsoe_SFS_2017!$D$3:$AL$40)+SUMPRODUCT((Generation_Entsoe_SFS_2017!$A$3:$A$40='Abgleich Generation'!$A102)*(Generation_Entsoe_SFS_2017!$D$1:$AL$1='Abgleich Generation'!N$76)*Generation_Entsoe_SFS_2017!$D$3:$AL$40)</f>
        <v>#VALUE!</v>
      </c>
      <c r="O102" s="58" t="e">
        <f>SUMPRODUCT((Generation_Entsoe_SFS_2017!$A$3:$A$40='Abgleich Generation'!$A102)*(Generation_Entsoe_SFS_2017!$D$1:$AL$1='Abgleich Generation'!O$81)*Generation_Entsoe_SFS_2017!$D$3:$AL$40)+SUMPRODUCT((Generation_Entsoe_SFS_2017!$A$3:$A$40='Abgleich Generation'!$A102)*(Generation_Entsoe_SFS_2017!$D$1:$AL$1='Abgleich Generation'!O$80)*Generation_Entsoe_SFS_2017!$D$3:$AL$40)+SUMPRODUCT((Generation_Entsoe_SFS_2017!$A$3:$A$40='Abgleich Generation'!$A102)*(Generation_Entsoe_SFS_2017!$D$1:$AL$1='Abgleich Generation'!O$79)*Generation_Entsoe_SFS_2017!$D$3:$AL$40)+SUMPRODUCT((Generation_Entsoe_SFS_2017!$A$3:$A$40='Abgleich Generation'!$A102)*(Generation_Entsoe_SFS_2017!$D$1:$AL$1='Abgleich Generation'!O$78)*Generation_Entsoe_SFS_2017!$D$3:$AL$40)+SUMPRODUCT((Generation_Entsoe_SFS_2017!$A$3:$A$40='Abgleich Generation'!$A102)*(Generation_Entsoe_SFS_2017!$D$1:$AL$1='Abgleich Generation'!O$77)*Generation_Entsoe_SFS_2017!$D$3:$AL$40)+SUMPRODUCT((Generation_Entsoe_SFS_2017!$A$3:$A$40='Abgleich Generation'!$A102)*(Generation_Entsoe_SFS_2017!$D$1:$AL$1='Abgleich Generation'!O$76)*Generation_Entsoe_SFS_2017!$D$3:$AL$40)</f>
        <v>#VALUE!</v>
      </c>
      <c r="P102" s="58" t="e">
        <f>SUMPRODUCT((Generation_Entsoe_SFS_2017!$A$3:$A$40='Abgleich Generation'!$A102)*(Generation_Entsoe_SFS_2017!$D$1:$AL$1='Abgleich Generation'!P$81)*Generation_Entsoe_SFS_2017!$D$3:$AL$40)+SUMPRODUCT((Generation_Entsoe_SFS_2017!$A$3:$A$40='Abgleich Generation'!$A102)*(Generation_Entsoe_SFS_2017!$D$1:$AL$1='Abgleich Generation'!P$80)*Generation_Entsoe_SFS_2017!$D$3:$AL$40)+SUMPRODUCT((Generation_Entsoe_SFS_2017!$A$3:$A$40='Abgleich Generation'!$A102)*(Generation_Entsoe_SFS_2017!$D$1:$AL$1='Abgleich Generation'!P$79)*Generation_Entsoe_SFS_2017!$D$3:$AL$40)+SUMPRODUCT((Generation_Entsoe_SFS_2017!$A$3:$A$40='Abgleich Generation'!$A102)*(Generation_Entsoe_SFS_2017!$D$1:$AL$1='Abgleich Generation'!P$78)*Generation_Entsoe_SFS_2017!$D$3:$AL$40)+SUMPRODUCT((Generation_Entsoe_SFS_2017!$A$3:$A$40='Abgleich Generation'!$A102)*(Generation_Entsoe_SFS_2017!$D$1:$AL$1='Abgleich Generation'!P$77)*Generation_Entsoe_SFS_2017!$D$3:$AL$40)+SUMPRODUCT((Generation_Entsoe_SFS_2017!$A$3:$A$40='Abgleich Generation'!$A102)*(Generation_Entsoe_SFS_2017!$D$1:$AL$1='Abgleich Generation'!P$76)*Generation_Entsoe_SFS_2017!$D$3:$AL$40)</f>
        <v>#VALUE!</v>
      </c>
      <c r="Q102" s="58" t="e">
        <f>SUMPRODUCT((Generation_Entsoe_SFS_2017!$A$3:$A$40='Abgleich Generation'!$A102)*(Generation_Entsoe_SFS_2017!$D$1:$AL$1='Abgleich Generation'!Q$81)*Generation_Entsoe_SFS_2017!$D$3:$AL$40)+SUMPRODUCT((Generation_Entsoe_SFS_2017!$A$3:$A$40='Abgleich Generation'!$A102)*(Generation_Entsoe_SFS_2017!$D$1:$AL$1='Abgleich Generation'!Q$80)*Generation_Entsoe_SFS_2017!$D$3:$AL$40)+SUMPRODUCT((Generation_Entsoe_SFS_2017!$A$3:$A$40='Abgleich Generation'!$A102)*(Generation_Entsoe_SFS_2017!$D$1:$AL$1='Abgleich Generation'!Q$79)*Generation_Entsoe_SFS_2017!$D$3:$AL$40)+SUMPRODUCT((Generation_Entsoe_SFS_2017!$A$3:$A$40='Abgleich Generation'!$A102)*(Generation_Entsoe_SFS_2017!$D$1:$AL$1='Abgleich Generation'!Q$78)*Generation_Entsoe_SFS_2017!$D$3:$AL$40)+SUMPRODUCT((Generation_Entsoe_SFS_2017!$A$3:$A$40='Abgleich Generation'!$A102)*(Generation_Entsoe_SFS_2017!$D$1:$AL$1='Abgleich Generation'!Q$77)*Generation_Entsoe_SFS_2017!$D$3:$AL$40)+SUMPRODUCT((Generation_Entsoe_SFS_2017!$A$3:$A$40='Abgleich Generation'!$A102)*(Generation_Entsoe_SFS_2017!$D$1:$AL$1='Abgleich Generation'!Q$76)*Generation_Entsoe_SFS_2017!$D$3:$AL$40)</f>
        <v>#VALUE!</v>
      </c>
      <c r="R102" s="58" t="e">
        <f>SUMPRODUCT((Generation_Entsoe_SFS_2017!$A$3:$A$40='Abgleich Generation'!$A102)*(Generation_Entsoe_SFS_2017!$D$1:$AL$1='Abgleich Generation'!R$81)*Generation_Entsoe_SFS_2017!$D$3:$AL$40)+SUMPRODUCT((Generation_Entsoe_SFS_2017!$A$3:$A$40='Abgleich Generation'!$A102)*(Generation_Entsoe_SFS_2017!$D$1:$AL$1='Abgleich Generation'!R$80)*Generation_Entsoe_SFS_2017!$D$3:$AL$40)+SUMPRODUCT((Generation_Entsoe_SFS_2017!$A$3:$A$40='Abgleich Generation'!$A102)*(Generation_Entsoe_SFS_2017!$D$1:$AL$1='Abgleich Generation'!R$79)*Generation_Entsoe_SFS_2017!$D$3:$AL$40)+SUMPRODUCT((Generation_Entsoe_SFS_2017!$A$3:$A$40='Abgleich Generation'!$A102)*(Generation_Entsoe_SFS_2017!$D$1:$AL$1='Abgleich Generation'!R$78)*Generation_Entsoe_SFS_2017!$D$3:$AL$40)+SUMPRODUCT((Generation_Entsoe_SFS_2017!$A$3:$A$40='Abgleich Generation'!$A102)*(Generation_Entsoe_SFS_2017!$D$1:$AL$1='Abgleich Generation'!R$77)*Generation_Entsoe_SFS_2017!$D$3:$AL$40)+SUMPRODUCT((Generation_Entsoe_SFS_2017!$A$3:$A$40='Abgleich Generation'!$A102)*(Generation_Entsoe_SFS_2017!$D$1:$AL$1='Abgleich Generation'!R$76)*Generation_Entsoe_SFS_2017!$D$3:$AL$40)</f>
        <v>#VALUE!</v>
      </c>
      <c r="S102" s="58" t="e">
        <f>SUMPRODUCT((Generation_Entsoe_SFS_2017!$A$3:$A$40='Abgleich Generation'!$A102)*(Generation_Entsoe_SFS_2017!$D$1:$AL$1='Abgleich Generation'!S$81)*Generation_Entsoe_SFS_2017!$D$3:$AL$40)+SUMPRODUCT((Generation_Entsoe_SFS_2017!$A$3:$A$40='Abgleich Generation'!$A102)*(Generation_Entsoe_SFS_2017!$D$1:$AL$1='Abgleich Generation'!S$80)*Generation_Entsoe_SFS_2017!$D$3:$AL$40)+SUMPRODUCT((Generation_Entsoe_SFS_2017!$A$3:$A$40='Abgleich Generation'!$A102)*(Generation_Entsoe_SFS_2017!$D$1:$AL$1='Abgleich Generation'!S$79)*Generation_Entsoe_SFS_2017!$D$3:$AL$40)+SUMPRODUCT((Generation_Entsoe_SFS_2017!$A$3:$A$40='Abgleich Generation'!$A102)*(Generation_Entsoe_SFS_2017!$D$1:$AL$1='Abgleich Generation'!S$78)*Generation_Entsoe_SFS_2017!$D$3:$AL$40)+SUMPRODUCT((Generation_Entsoe_SFS_2017!$A$3:$A$40='Abgleich Generation'!$A102)*(Generation_Entsoe_SFS_2017!$D$1:$AL$1='Abgleich Generation'!S$77)*Generation_Entsoe_SFS_2017!$D$3:$AL$40)+SUMPRODUCT((Generation_Entsoe_SFS_2017!$A$3:$A$40='Abgleich Generation'!$A102)*(Generation_Entsoe_SFS_2017!$D$1:$AL$1='Abgleich Generation'!S$76)*Generation_Entsoe_SFS_2017!$D$3:$AL$40)</f>
        <v>#VALUE!</v>
      </c>
      <c r="T102" s="58" t="e">
        <f>SUMPRODUCT((Generation_Entsoe_SFS_2017!$A$3:$A$40='Abgleich Generation'!$A102)*(Generation_Entsoe_SFS_2017!$D$1:$AL$1='Abgleich Generation'!T$81)*Generation_Entsoe_SFS_2017!$D$3:$AL$40)+SUMPRODUCT((Generation_Entsoe_SFS_2017!$A$3:$A$40='Abgleich Generation'!$A102)*(Generation_Entsoe_SFS_2017!$D$1:$AL$1='Abgleich Generation'!T$80)*Generation_Entsoe_SFS_2017!$D$3:$AL$40)+SUMPRODUCT((Generation_Entsoe_SFS_2017!$A$3:$A$40='Abgleich Generation'!$A102)*(Generation_Entsoe_SFS_2017!$D$1:$AL$1='Abgleich Generation'!T$79)*Generation_Entsoe_SFS_2017!$D$3:$AL$40)+SUMPRODUCT((Generation_Entsoe_SFS_2017!$A$3:$A$40='Abgleich Generation'!$A102)*(Generation_Entsoe_SFS_2017!$D$1:$AL$1='Abgleich Generation'!T$78)*Generation_Entsoe_SFS_2017!$D$3:$AL$40)+SUMPRODUCT((Generation_Entsoe_SFS_2017!$A$3:$A$40='Abgleich Generation'!$A102)*(Generation_Entsoe_SFS_2017!$D$1:$AL$1='Abgleich Generation'!T$77)*Generation_Entsoe_SFS_2017!$D$3:$AL$40)+SUMPRODUCT((Generation_Entsoe_SFS_2017!$A$3:$A$40='Abgleich Generation'!$A102)*(Generation_Entsoe_SFS_2017!$D$1:$AL$1='Abgleich Generation'!T$76)*Generation_Entsoe_SFS_2017!$D$3:$AL$40)</f>
        <v>#VALUE!</v>
      </c>
      <c r="U102" s="58" t="e">
        <f>SUMPRODUCT((Generation_Entsoe_SFS_2017!$A$3:$A$40='Abgleich Generation'!$A102)*(Generation_Entsoe_SFS_2017!$D$1:$AL$1='Abgleich Generation'!U$81)*Generation_Entsoe_SFS_2017!$D$3:$AL$40)+SUMPRODUCT((Generation_Entsoe_SFS_2017!$A$3:$A$40='Abgleich Generation'!$A102)*(Generation_Entsoe_SFS_2017!$D$1:$AL$1='Abgleich Generation'!U$80)*Generation_Entsoe_SFS_2017!$D$3:$AL$40)+SUMPRODUCT((Generation_Entsoe_SFS_2017!$A$3:$A$40='Abgleich Generation'!$A102)*(Generation_Entsoe_SFS_2017!$D$1:$AL$1='Abgleich Generation'!U$79)*Generation_Entsoe_SFS_2017!$D$3:$AL$40)+SUMPRODUCT((Generation_Entsoe_SFS_2017!$A$3:$A$40='Abgleich Generation'!$A102)*(Generation_Entsoe_SFS_2017!$D$1:$AL$1='Abgleich Generation'!U$78)*Generation_Entsoe_SFS_2017!$D$3:$AL$40)+SUMPRODUCT((Generation_Entsoe_SFS_2017!$A$3:$A$40='Abgleich Generation'!$A102)*(Generation_Entsoe_SFS_2017!$D$1:$AL$1='Abgleich Generation'!U$77)*Generation_Entsoe_SFS_2017!$D$3:$AL$40)+SUMPRODUCT((Generation_Entsoe_SFS_2017!$A$3:$A$40='Abgleich Generation'!$A102)*(Generation_Entsoe_SFS_2017!$D$1:$AL$1='Abgleich Generation'!U$76)*Generation_Entsoe_SFS_2017!$D$3:$AL$40)</f>
        <v>#VALUE!</v>
      </c>
      <c r="V102" s="59" t="e">
        <f t="shared" si="63"/>
        <v>#VALUE!</v>
      </c>
      <c r="W102" s="60" t="e">
        <f>SUMPRODUCT((Generation_Entsoe_SFS_2017!$A$3:$A$40='Abgleich Generation'!$A102)*(Generation_Entsoe_SFS_2017!$D$1:$AL$1='Abgleich Generation'!W$81)*Generation_Entsoe_SFS_2017!$D$3:$AL$40)+SUMPRODUCT((Generation_Entsoe_SFS_2017!$A$3:$A$40='Abgleich Generation'!$A102)*(Generation_Entsoe_SFS_2017!$D$1:$AL$1='Abgleich Generation'!W$80)*Generation_Entsoe_SFS_2017!$D$3:$AL$40)+SUMPRODUCT((Generation_Entsoe_SFS_2017!$A$3:$A$40='Abgleich Generation'!$A102)*(Generation_Entsoe_SFS_2017!$D$1:$AL$1='Abgleich Generation'!W$79)*Generation_Entsoe_SFS_2017!$D$3:$AL$40)+SUMPRODUCT((Generation_Entsoe_SFS_2017!$A$3:$A$40='Abgleich Generation'!$A102)*(Generation_Entsoe_SFS_2017!$D$1:$AL$1='Abgleich Generation'!W$78)*Generation_Entsoe_SFS_2017!$D$3:$AL$40)+SUMPRODUCT((Generation_Entsoe_SFS_2017!$A$3:$A$40='Abgleich Generation'!$A102)*(Generation_Entsoe_SFS_2017!$D$1:$AL$1='Abgleich Generation'!W$77)*Generation_Entsoe_SFS_2017!$D$3:$AL$40)+SUMPRODUCT((Generation_Entsoe_SFS_2017!$A$3:$A$40='Abgleich Generation'!$A102)*(Generation_Entsoe_SFS_2017!$D$1:$AL$1='Abgleich Generation'!W$76)*Generation_Entsoe_SFS_2017!$D$3:$AL$40)</f>
        <v>#VALUE!</v>
      </c>
      <c r="X102" s="61" t="e">
        <f>SUMPRODUCT((Generation_Entsoe_SFS_2017!$A$3:$A$40='Abgleich Generation'!$A102)*(Generation_Entsoe_SFS_2017!$D$1:$AL$1='Abgleich Generation'!X$81)*Generation_Entsoe_SFS_2017!$D$3:$AL$40)+SUMPRODUCT((Generation_Entsoe_SFS_2017!$A$3:$A$40='Abgleich Generation'!$A102)*(Generation_Entsoe_SFS_2017!$D$1:$AL$1='Abgleich Generation'!X$80)*Generation_Entsoe_SFS_2017!$D$3:$AL$40)+SUMPRODUCT((Generation_Entsoe_SFS_2017!$A$3:$A$40='Abgleich Generation'!$A102)*(Generation_Entsoe_SFS_2017!$D$1:$AL$1='Abgleich Generation'!X$79)*Generation_Entsoe_SFS_2017!$D$3:$AL$40)+SUMPRODUCT((Generation_Entsoe_SFS_2017!$A$3:$A$40='Abgleich Generation'!$A102)*(Generation_Entsoe_SFS_2017!$D$1:$AL$1='Abgleich Generation'!X$78)*Generation_Entsoe_SFS_2017!$D$3:$AL$40)+SUMPRODUCT((Generation_Entsoe_SFS_2017!$A$3:$A$40='Abgleich Generation'!$A102)*(Generation_Entsoe_SFS_2017!$D$1:$AL$1='Abgleich Generation'!X$77)*Generation_Entsoe_SFS_2017!$D$3:$AL$40)+SUMPRODUCT((Generation_Entsoe_SFS_2017!$A$3:$A$40='Abgleich Generation'!$A102)*(Generation_Entsoe_SFS_2017!$D$1:$AL$1='Abgleich Generation'!X$76)*Generation_Entsoe_SFS_2017!$D$3:$AL$40)</f>
        <v>#VALUE!</v>
      </c>
      <c r="Y102" s="61" t="e">
        <f t="shared" si="64"/>
        <v>#VALUE!</v>
      </c>
    </row>
    <row r="103" spans="1:33" x14ac:dyDescent="0.25">
      <c r="A103" s="14" t="s">
        <v>29</v>
      </c>
      <c r="B103" s="25" t="e">
        <f t="shared" si="60"/>
        <v>#VALUE!</v>
      </c>
      <c r="C103" s="26" t="e">
        <f>SUMPRODUCT((Generation_Entsoe_SFS_2017!$A$3:$A$40='Abgleich Generation'!$A103)*(Generation_Entsoe_SFS_2017!$D$1:$AL$1='Abgleich Generation'!C$81)*Generation_Entsoe_SFS_2017!$D$3:$AL$40)+SUMPRODUCT((Generation_Entsoe_SFS_2017!$A$3:$A$40='Abgleich Generation'!$A103)*(Generation_Entsoe_SFS_2017!$D$1:$AL$1='Abgleich Generation'!C$80)*Generation_Entsoe_SFS_2017!$D$3:$AL$40)+SUMPRODUCT((Generation_Entsoe_SFS_2017!$A$3:$A$40='Abgleich Generation'!$A103)*(Generation_Entsoe_SFS_2017!$D$1:$AL$1='Abgleich Generation'!C$79)*Generation_Entsoe_SFS_2017!$D$3:$AL$40)+SUMPRODUCT((Generation_Entsoe_SFS_2017!$A$3:$A$40='Abgleich Generation'!$A103)*(Generation_Entsoe_SFS_2017!$D$1:$AL$1='Abgleich Generation'!C$78)*Generation_Entsoe_SFS_2017!$D$3:$AL$40)</f>
        <v>#VALUE!</v>
      </c>
      <c r="D103" s="26" t="e">
        <f t="shared" si="61"/>
        <v>#VALUE!</v>
      </c>
      <c r="E103" s="26" t="e">
        <f>SUMPRODUCT((Generation_Entsoe_SFS_2017!$A$3:$A$40='Abgleich Generation'!$A103)*(Generation_Entsoe_SFS_2017!$D$1:$AL$1='Abgleich Generation'!E$81)*Generation_Entsoe_SFS_2017!$D$3:$AL$40)+SUMPRODUCT((Generation_Entsoe_SFS_2017!$A$3:$A$40='Abgleich Generation'!$A103)*(Generation_Entsoe_SFS_2017!$D$1:$AL$1='Abgleich Generation'!E$80)*Generation_Entsoe_SFS_2017!$D$3:$AL$40)+SUMPRODUCT((Generation_Entsoe_SFS_2017!$A$3:$A$40='Abgleich Generation'!$A103)*(Generation_Entsoe_SFS_2017!$D$1:$AL$1='Abgleich Generation'!E$79)*Generation_Entsoe_SFS_2017!$D$3:$AL$40)+SUMPRODUCT((Generation_Entsoe_SFS_2017!$A$3:$A$40='Abgleich Generation'!$A103)*(Generation_Entsoe_SFS_2017!$D$1:$AL$1='Abgleich Generation'!E$78)*Generation_Entsoe_SFS_2017!$D$3:$AL$40)</f>
        <v>#VALUE!</v>
      </c>
      <c r="F103" s="26" t="e">
        <f>SUMPRODUCT((Generation_Entsoe_SFS_2017!$A$3:$A$40='Abgleich Generation'!$A103)*(Generation_Entsoe_SFS_2017!$D$1:$AL$1='Abgleich Generation'!F$81)*Generation_Entsoe_SFS_2017!$D$3:$AL$40)+SUMPRODUCT((Generation_Entsoe_SFS_2017!$A$3:$A$40='Abgleich Generation'!$A103)*(Generation_Entsoe_SFS_2017!$D$1:$AL$1='Abgleich Generation'!F$80)*Generation_Entsoe_SFS_2017!$D$3:$AL$40)+SUMPRODUCT((Generation_Entsoe_SFS_2017!$A$3:$A$40='Abgleich Generation'!$A103)*(Generation_Entsoe_SFS_2017!$D$1:$AL$1='Abgleich Generation'!F$79)*Generation_Entsoe_SFS_2017!$D$3:$AL$40)+SUMPRODUCT((Generation_Entsoe_SFS_2017!$A$3:$A$40='Abgleich Generation'!$A103)*(Generation_Entsoe_SFS_2017!$D$1:$AL$1='Abgleich Generation'!F$78)*Generation_Entsoe_SFS_2017!$D$3:$AL$40)</f>
        <v>#VALUE!</v>
      </c>
      <c r="G103" s="26" t="e">
        <f>SUMPRODUCT((Generation_Entsoe_SFS_2017!$A$3:$A$40='Abgleich Generation'!$A103)*(Generation_Entsoe_SFS_2017!$D$1:$AL$1='Abgleich Generation'!G$81)*Generation_Entsoe_SFS_2017!$D$3:$AL$40)+SUMPRODUCT((Generation_Entsoe_SFS_2017!$A$3:$A$40='Abgleich Generation'!$A103)*(Generation_Entsoe_SFS_2017!$D$1:$AL$1='Abgleich Generation'!G$80)*Generation_Entsoe_SFS_2017!$D$3:$AL$40)+SUMPRODUCT((Generation_Entsoe_SFS_2017!$A$3:$A$40='Abgleich Generation'!$A103)*(Generation_Entsoe_SFS_2017!$D$1:$AL$1='Abgleich Generation'!G$79)*Generation_Entsoe_SFS_2017!$D$3:$AL$40)+SUMPRODUCT((Generation_Entsoe_SFS_2017!$A$3:$A$40='Abgleich Generation'!$A103)*(Generation_Entsoe_SFS_2017!$D$1:$AL$1='Abgleich Generation'!G$78)*Generation_Entsoe_SFS_2017!$D$3:$AL$40)</f>
        <v>#VALUE!</v>
      </c>
      <c r="H103" s="26" t="e">
        <f>SUMPRODUCT((Generation_Entsoe_SFS_2017!$A$3:$A$40='Abgleich Generation'!$A103)*(Generation_Entsoe_SFS_2017!$D$1:$AL$1='Abgleich Generation'!H$81)*Generation_Entsoe_SFS_2017!$D$3:$AL$40)+SUMPRODUCT((Generation_Entsoe_SFS_2017!$A$3:$A$40='Abgleich Generation'!$A103)*(Generation_Entsoe_SFS_2017!$D$1:$AL$1='Abgleich Generation'!H$80)*Generation_Entsoe_SFS_2017!$D$3:$AL$40)+SUMPRODUCT((Generation_Entsoe_SFS_2017!$A$3:$A$40='Abgleich Generation'!$A103)*(Generation_Entsoe_SFS_2017!$D$1:$AL$1='Abgleich Generation'!H$79)*Generation_Entsoe_SFS_2017!$D$3:$AL$40)+SUMPRODUCT((Generation_Entsoe_SFS_2017!$A$3:$A$40='Abgleich Generation'!$A103)*(Generation_Entsoe_SFS_2017!$D$1:$AL$1='Abgleich Generation'!H$78)*Generation_Entsoe_SFS_2017!$D$3:$AL$40)</f>
        <v>#VALUE!</v>
      </c>
      <c r="I103" s="26" t="e">
        <f>SUMPRODUCT((Generation_Entsoe_SFS_2017!$A$3:$A$40='Abgleich Generation'!$A103)*(Generation_Entsoe_SFS_2017!$D$1:$AL$1='Abgleich Generation'!I$81)*Generation_Entsoe_SFS_2017!$D$3:$AL$40)+SUMPRODUCT((Generation_Entsoe_SFS_2017!$A$3:$A$40='Abgleich Generation'!$A103)*(Generation_Entsoe_SFS_2017!$D$1:$AL$1='Abgleich Generation'!I$80)*Generation_Entsoe_SFS_2017!$D$3:$AL$40)+SUMPRODUCT((Generation_Entsoe_SFS_2017!$A$3:$A$40='Abgleich Generation'!$A103)*(Generation_Entsoe_SFS_2017!$D$1:$AL$1='Abgleich Generation'!I$79)*Generation_Entsoe_SFS_2017!$D$3:$AL$40)+SUMPRODUCT((Generation_Entsoe_SFS_2017!$A$3:$A$40='Abgleich Generation'!$A103)*(Generation_Entsoe_SFS_2017!$D$1:$AL$1='Abgleich Generation'!I$78)*Generation_Entsoe_SFS_2017!$D$3:$AL$40)</f>
        <v>#VALUE!</v>
      </c>
      <c r="J103" s="26" t="e">
        <f>SUMPRODUCT((Generation_Entsoe_SFS_2017!$A$3:$A$40='Abgleich Generation'!$A103)*(Generation_Entsoe_SFS_2017!$D$1:$AL$1='Abgleich Generation'!J$81)*Generation_Entsoe_SFS_2017!$D$3:$AL$40)+SUMPRODUCT((Generation_Entsoe_SFS_2017!$A$3:$A$40='Abgleich Generation'!$A103)*(Generation_Entsoe_SFS_2017!$D$1:$AL$1='Abgleich Generation'!J$80)*Generation_Entsoe_SFS_2017!$D$3:$AL$40)+SUMPRODUCT((Generation_Entsoe_SFS_2017!$A$3:$A$40='Abgleich Generation'!$A103)*(Generation_Entsoe_SFS_2017!$D$1:$AL$1='Abgleich Generation'!J$79)*Generation_Entsoe_SFS_2017!$D$3:$AL$40)+SUMPRODUCT((Generation_Entsoe_SFS_2017!$A$3:$A$40='Abgleich Generation'!$A103)*(Generation_Entsoe_SFS_2017!$D$1:$AL$1='Abgleich Generation'!J$78)*Generation_Entsoe_SFS_2017!$D$3:$AL$40)</f>
        <v>#VALUE!</v>
      </c>
      <c r="K103" s="27" t="e">
        <f t="shared" si="62"/>
        <v>#VALUE!</v>
      </c>
      <c r="L103" s="26" t="e">
        <f>SUMPRODUCT((Generation_Entsoe_SFS_2017!$A$3:$A$40='Abgleich Generation'!$A103)*(Generation_Entsoe_SFS_2017!$D$1:$AL$1='Abgleich Generation'!L$81)*Generation_Entsoe_SFS_2017!$D$3:$AL$40)+SUMPRODUCT((Generation_Entsoe_SFS_2017!$A$3:$A$40='Abgleich Generation'!$A103)*(Generation_Entsoe_SFS_2017!$D$1:$AL$1='Abgleich Generation'!L$80)*Generation_Entsoe_SFS_2017!$D$3:$AL$40)+SUMPRODUCT((Generation_Entsoe_SFS_2017!$A$3:$A$40='Abgleich Generation'!$A103)*(Generation_Entsoe_SFS_2017!$D$1:$AL$1='Abgleich Generation'!L$79)*Generation_Entsoe_SFS_2017!$D$3:$AL$40)+SUMPRODUCT((Generation_Entsoe_SFS_2017!$A$3:$A$40='Abgleich Generation'!$A103)*(Generation_Entsoe_SFS_2017!$D$1:$AL$1='Abgleich Generation'!L$78)*Generation_Entsoe_SFS_2017!$D$3:$AL$40)+SUMPRODUCT((Generation_Entsoe_SFS_2017!$A$3:$A$40='Abgleich Generation'!$A103)*(Generation_Entsoe_SFS_2017!$D$1:$AL$1='Abgleich Generation'!L$77)*Generation_Entsoe_SFS_2017!$D$3:$AL$40)+SUMPRODUCT((Generation_Entsoe_SFS_2017!$A$3:$A$40='Abgleich Generation'!$A103)*(Generation_Entsoe_SFS_2017!$D$1:$AL$1='Abgleich Generation'!L$76)*Generation_Entsoe_SFS_2017!$D$3:$AL$40)</f>
        <v>#VALUE!</v>
      </c>
      <c r="M103" s="26" t="e">
        <f>SUMPRODUCT((Generation_Entsoe_SFS_2017!$A$3:$A$40='Abgleich Generation'!$A103)*(Generation_Entsoe_SFS_2017!$D$1:$AL$1='Abgleich Generation'!M$81)*Generation_Entsoe_SFS_2017!$D$3:$AL$40)+SUMPRODUCT((Generation_Entsoe_SFS_2017!$A$3:$A$40='Abgleich Generation'!$A103)*(Generation_Entsoe_SFS_2017!$D$1:$AL$1='Abgleich Generation'!M$80)*Generation_Entsoe_SFS_2017!$D$3:$AL$40)+SUMPRODUCT((Generation_Entsoe_SFS_2017!$A$3:$A$40='Abgleich Generation'!$A103)*(Generation_Entsoe_SFS_2017!$D$1:$AL$1='Abgleich Generation'!M$79)*Generation_Entsoe_SFS_2017!$D$3:$AL$40)+SUMPRODUCT((Generation_Entsoe_SFS_2017!$A$3:$A$40='Abgleich Generation'!$A103)*(Generation_Entsoe_SFS_2017!$D$1:$AL$1='Abgleich Generation'!M$78)*Generation_Entsoe_SFS_2017!$D$3:$AL$40)+SUMPRODUCT((Generation_Entsoe_SFS_2017!$A$3:$A$40='Abgleich Generation'!$A103)*(Generation_Entsoe_SFS_2017!$D$1:$AL$1='Abgleich Generation'!M$77)*Generation_Entsoe_SFS_2017!$D$3:$AL$40)+SUMPRODUCT((Generation_Entsoe_SFS_2017!$A$3:$A$40='Abgleich Generation'!$A103)*(Generation_Entsoe_SFS_2017!$D$1:$AL$1='Abgleich Generation'!M$76)*Generation_Entsoe_SFS_2017!$D$3:$AL$40)</f>
        <v>#VALUE!</v>
      </c>
      <c r="N103" s="26" t="e">
        <f>SUMPRODUCT((Generation_Entsoe_SFS_2017!$A$3:$A$40='Abgleich Generation'!$A103)*(Generation_Entsoe_SFS_2017!$D$1:$AL$1='Abgleich Generation'!N$81)*Generation_Entsoe_SFS_2017!$D$3:$AL$40)+SUMPRODUCT((Generation_Entsoe_SFS_2017!$A$3:$A$40='Abgleich Generation'!$A103)*(Generation_Entsoe_SFS_2017!$D$1:$AL$1='Abgleich Generation'!N$80)*Generation_Entsoe_SFS_2017!$D$3:$AL$40)+SUMPRODUCT((Generation_Entsoe_SFS_2017!$A$3:$A$40='Abgleich Generation'!$A103)*(Generation_Entsoe_SFS_2017!$D$1:$AL$1='Abgleich Generation'!N$79)*Generation_Entsoe_SFS_2017!$D$3:$AL$40)+SUMPRODUCT((Generation_Entsoe_SFS_2017!$A$3:$A$40='Abgleich Generation'!$A103)*(Generation_Entsoe_SFS_2017!$D$1:$AL$1='Abgleich Generation'!N$78)*Generation_Entsoe_SFS_2017!$D$3:$AL$40)+SUMPRODUCT((Generation_Entsoe_SFS_2017!$A$3:$A$40='Abgleich Generation'!$A103)*(Generation_Entsoe_SFS_2017!$D$1:$AL$1='Abgleich Generation'!N$77)*Generation_Entsoe_SFS_2017!$D$3:$AL$40)+SUMPRODUCT((Generation_Entsoe_SFS_2017!$A$3:$A$40='Abgleich Generation'!$A103)*(Generation_Entsoe_SFS_2017!$D$1:$AL$1='Abgleich Generation'!N$76)*Generation_Entsoe_SFS_2017!$D$3:$AL$40)</f>
        <v>#VALUE!</v>
      </c>
      <c r="O103" s="26" t="e">
        <f>SUMPRODUCT((Generation_Entsoe_SFS_2017!$A$3:$A$40='Abgleich Generation'!$A103)*(Generation_Entsoe_SFS_2017!$D$1:$AL$1='Abgleich Generation'!O$81)*Generation_Entsoe_SFS_2017!$D$3:$AL$40)+SUMPRODUCT((Generation_Entsoe_SFS_2017!$A$3:$A$40='Abgleich Generation'!$A103)*(Generation_Entsoe_SFS_2017!$D$1:$AL$1='Abgleich Generation'!O$80)*Generation_Entsoe_SFS_2017!$D$3:$AL$40)+SUMPRODUCT((Generation_Entsoe_SFS_2017!$A$3:$A$40='Abgleich Generation'!$A103)*(Generation_Entsoe_SFS_2017!$D$1:$AL$1='Abgleich Generation'!O$79)*Generation_Entsoe_SFS_2017!$D$3:$AL$40)+SUMPRODUCT((Generation_Entsoe_SFS_2017!$A$3:$A$40='Abgleich Generation'!$A103)*(Generation_Entsoe_SFS_2017!$D$1:$AL$1='Abgleich Generation'!O$78)*Generation_Entsoe_SFS_2017!$D$3:$AL$40)+SUMPRODUCT((Generation_Entsoe_SFS_2017!$A$3:$A$40='Abgleich Generation'!$A103)*(Generation_Entsoe_SFS_2017!$D$1:$AL$1='Abgleich Generation'!O$77)*Generation_Entsoe_SFS_2017!$D$3:$AL$40)+SUMPRODUCT((Generation_Entsoe_SFS_2017!$A$3:$A$40='Abgleich Generation'!$A103)*(Generation_Entsoe_SFS_2017!$D$1:$AL$1='Abgleich Generation'!O$76)*Generation_Entsoe_SFS_2017!$D$3:$AL$40)</f>
        <v>#VALUE!</v>
      </c>
      <c r="P103" s="26" t="e">
        <f>SUMPRODUCT((Generation_Entsoe_SFS_2017!$A$3:$A$40='Abgleich Generation'!$A103)*(Generation_Entsoe_SFS_2017!$D$1:$AL$1='Abgleich Generation'!P$81)*Generation_Entsoe_SFS_2017!$D$3:$AL$40)+SUMPRODUCT((Generation_Entsoe_SFS_2017!$A$3:$A$40='Abgleich Generation'!$A103)*(Generation_Entsoe_SFS_2017!$D$1:$AL$1='Abgleich Generation'!P$80)*Generation_Entsoe_SFS_2017!$D$3:$AL$40)+SUMPRODUCT((Generation_Entsoe_SFS_2017!$A$3:$A$40='Abgleich Generation'!$A103)*(Generation_Entsoe_SFS_2017!$D$1:$AL$1='Abgleich Generation'!P$79)*Generation_Entsoe_SFS_2017!$D$3:$AL$40)+SUMPRODUCT((Generation_Entsoe_SFS_2017!$A$3:$A$40='Abgleich Generation'!$A103)*(Generation_Entsoe_SFS_2017!$D$1:$AL$1='Abgleich Generation'!P$78)*Generation_Entsoe_SFS_2017!$D$3:$AL$40)+SUMPRODUCT((Generation_Entsoe_SFS_2017!$A$3:$A$40='Abgleich Generation'!$A103)*(Generation_Entsoe_SFS_2017!$D$1:$AL$1='Abgleich Generation'!P$77)*Generation_Entsoe_SFS_2017!$D$3:$AL$40)+SUMPRODUCT((Generation_Entsoe_SFS_2017!$A$3:$A$40='Abgleich Generation'!$A103)*(Generation_Entsoe_SFS_2017!$D$1:$AL$1='Abgleich Generation'!P$76)*Generation_Entsoe_SFS_2017!$D$3:$AL$40)</f>
        <v>#VALUE!</v>
      </c>
      <c r="Q103" s="26" t="e">
        <f>SUMPRODUCT((Generation_Entsoe_SFS_2017!$A$3:$A$40='Abgleich Generation'!$A103)*(Generation_Entsoe_SFS_2017!$D$1:$AL$1='Abgleich Generation'!Q$81)*Generation_Entsoe_SFS_2017!$D$3:$AL$40)+SUMPRODUCT((Generation_Entsoe_SFS_2017!$A$3:$A$40='Abgleich Generation'!$A103)*(Generation_Entsoe_SFS_2017!$D$1:$AL$1='Abgleich Generation'!Q$80)*Generation_Entsoe_SFS_2017!$D$3:$AL$40)+SUMPRODUCT((Generation_Entsoe_SFS_2017!$A$3:$A$40='Abgleich Generation'!$A103)*(Generation_Entsoe_SFS_2017!$D$1:$AL$1='Abgleich Generation'!Q$79)*Generation_Entsoe_SFS_2017!$D$3:$AL$40)+SUMPRODUCT((Generation_Entsoe_SFS_2017!$A$3:$A$40='Abgleich Generation'!$A103)*(Generation_Entsoe_SFS_2017!$D$1:$AL$1='Abgleich Generation'!Q$78)*Generation_Entsoe_SFS_2017!$D$3:$AL$40)+SUMPRODUCT((Generation_Entsoe_SFS_2017!$A$3:$A$40='Abgleich Generation'!$A103)*(Generation_Entsoe_SFS_2017!$D$1:$AL$1='Abgleich Generation'!Q$77)*Generation_Entsoe_SFS_2017!$D$3:$AL$40)+SUMPRODUCT((Generation_Entsoe_SFS_2017!$A$3:$A$40='Abgleich Generation'!$A103)*(Generation_Entsoe_SFS_2017!$D$1:$AL$1='Abgleich Generation'!Q$76)*Generation_Entsoe_SFS_2017!$D$3:$AL$40)</f>
        <v>#VALUE!</v>
      </c>
      <c r="R103" s="26" t="e">
        <f>SUMPRODUCT((Generation_Entsoe_SFS_2017!$A$3:$A$40='Abgleich Generation'!$A103)*(Generation_Entsoe_SFS_2017!$D$1:$AL$1='Abgleich Generation'!R$81)*Generation_Entsoe_SFS_2017!$D$3:$AL$40)+SUMPRODUCT((Generation_Entsoe_SFS_2017!$A$3:$A$40='Abgleich Generation'!$A103)*(Generation_Entsoe_SFS_2017!$D$1:$AL$1='Abgleich Generation'!R$80)*Generation_Entsoe_SFS_2017!$D$3:$AL$40)+SUMPRODUCT((Generation_Entsoe_SFS_2017!$A$3:$A$40='Abgleich Generation'!$A103)*(Generation_Entsoe_SFS_2017!$D$1:$AL$1='Abgleich Generation'!R$79)*Generation_Entsoe_SFS_2017!$D$3:$AL$40)+SUMPRODUCT((Generation_Entsoe_SFS_2017!$A$3:$A$40='Abgleich Generation'!$A103)*(Generation_Entsoe_SFS_2017!$D$1:$AL$1='Abgleich Generation'!R$78)*Generation_Entsoe_SFS_2017!$D$3:$AL$40)+SUMPRODUCT((Generation_Entsoe_SFS_2017!$A$3:$A$40='Abgleich Generation'!$A103)*(Generation_Entsoe_SFS_2017!$D$1:$AL$1='Abgleich Generation'!R$77)*Generation_Entsoe_SFS_2017!$D$3:$AL$40)+SUMPRODUCT((Generation_Entsoe_SFS_2017!$A$3:$A$40='Abgleich Generation'!$A103)*(Generation_Entsoe_SFS_2017!$D$1:$AL$1='Abgleich Generation'!R$76)*Generation_Entsoe_SFS_2017!$D$3:$AL$40)</f>
        <v>#VALUE!</v>
      </c>
      <c r="S103" s="26" t="e">
        <f>SUMPRODUCT((Generation_Entsoe_SFS_2017!$A$3:$A$40='Abgleich Generation'!$A103)*(Generation_Entsoe_SFS_2017!$D$1:$AL$1='Abgleich Generation'!S$81)*Generation_Entsoe_SFS_2017!$D$3:$AL$40)+SUMPRODUCT((Generation_Entsoe_SFS_2017!$A$3:$A$40='Abgleich Generation'!$A103)*(Generation_Entsoe_SFS_2017!$D$1:$AL$1='Abgleich Generation'!S$80)*Generation_Entsoe_SFS_2017!$D$3:$AL$40)+SUMPRODUCT((Generation_Entsoe_SFS_2017!$A$3:$A$40='Abgleich Generation'!$A103)*(Generation_Entsoe_SFS_2017!$D$1:$AL$1='Abgleich Generation'!S$79)*Generation_Entsoe_SFS_2017!$D$3:$AL$40)+SUMPRODUCT((Generation_Entsoe_SFS_2017!$A$3:$A$40='Abgleich Generation'!$A103)*(Generation_Entsoe_SFS_2017!$D$1:$AL$1='Abgleich Generation'!S$78)*Generation_Entsoe_SFS_2017!$D$3:$AL$40)+SUMPRODUCT((Generation_Entsoe_SFS_2017!$A$3:$A$40='Abgleich Generation'!$A103)*(Generation_Entsoe_SFS_2017!$D$1:$AL$1='Abgleich Generation'!S$77)*Generation_Entsoe_SFS_2017!$D$3:$AL$40)+SUMPRODUCT((Generation_Entsoe_SFS_2017!$A$3:$A$40='Abgleich Generation'!$A103)*(Generation_Entsoe_SFS_2017!$D$1:$AL$1='Abgleich Generation'!S$76)*Generation_Entsoe_SFS_2017!$D$3:$AL$40)</f>
        <v>#VALUE!</v>
      </c>
      <c r="T103" s="26" t="e">
        <f>SUMPRODUCT((Generation_Entsoe_SFS_2017!$A$3:$A$40='Abgleich Generation'!$A103)*(Generation_Entsoe_SFS_2017!$D$1:$AL$1='Abgleich Generation'!T$81)*Generation_Entsoe_SFS_2017!$D$3:$AL$40)+SUMPRODUCT((Generation_Entsoe_SFS_2017!$A$3:$A$40='Abgleich Generation'!$A103)*(Generation_Entsoe_SFS_2017!$D$1:$AL$1='Abgleich Generation'!T$80)*Generation_Entsoe_SFS_2017!$D$3:$AL$40)+SUMPRODUCT((Generation_Entsoe_SFS_2017!$A$3:$A$40='Abgleich Generation'!$A103)*(Generation_Entsoe_SFS_2017!$D$1:$AL$1='Abgleich Generation'!T$79)*Generation_Entsoe_SFS_2017!$D$3:$AL$40)+SUMPRODUCT((Generation_Entsoe_SFS_2017!$A$3:$A$40='Abgleich Generation'!$A103)*(Generation_Entsoe_SFS_2017!$D$1:$AL$1='Abgleich Generation'!T$78)*Generation_Entsoe_SFS_2017!$D$3:$AL$40)+SUMPRODUCT((Generation_Entsoe_SFS_2017!$A$3:$A$40='Abgleich Generation'!$A103)*(Generation_Entsoe_SFS_2017!$D$1:$AL$1='Abgleich Generation'!T$77)*Generation_Entsoe_SFS_2017!$D$3:$AL$40)+SUMPRODUCT((Generation_Entsoe_SFS_2017!$A$3:$A$40='Abgleich Generation'!$A103)*(Generation_Entsoe_SFS_2017!$D$1:$AL$1='Abgleich Generation'!T$76)*Generation_Entsoe_SFS_2017!$D$3:$AL$40)</f>
        <v>#VALUE!</v>
      </c>
      <c r="U103" s="26" t="e">
        <f>SUMPRODUCT((Generation_Entsoe_SFS_2017!$A$3:$A$40='Abgleich Generation'!$A103)*(Generation_Entsoe_SFS_2017!$D$1:$AL$1='Abgleich Generation'!U$81)*Generation_Entsoe_SFS_2017!$D$3:$AL$40)+SUMPRODUCT((Generation_Entsoe_SFS_2017!$A$3:$A$40='Abgleich Generation'!$A103)*(Generation_Entsoe_SFS_2017!$D$1:$AL$1='Abgleich Generation'!U$80)*Generation_Entsoe_SFS_2017!$D$3:$AL$40)+SUMPRODUCT((Generation_Entsoe_SFS_2017!$A$3:$A$40='Abgleich Generation'!$A103)*(Generation_Entsoe_SFS_2017!$D$1:$AL$1='Abgleich Generation'!U$79)*Generation_Entsoe_SFS_2017!$D$3:$AL$40)+SUMPRODUCT((Generation_Entsoe_SFS_2017!$A$3:$A$40='Abgleich Generation'!$A103)*(Generation_Entsoe_SFS_2017!$D$1:$AL$1='Abgleich Generation'!U$78)*Generation_Entsoe_SFS_2017!$D$3:$AL$40)+SUMPRODUCT((Generation_Entsoe_SFS_2017!$A$3:$A$40='Abgleich Generation'!$A103)*(Generation_Entsoe_SFS_2017!$D$1:$AL$1='Abgleich Generation'!U$77)*Generation_Entsoe_SFS_2017!$D$3:$AL$40)+SUMPRODUCT((Generation_Entsoe_SFS_2017!$A$3:$A$40='Abgleich Generation'!$A103)*(Generation_Entsoe_SFS_2017!$D$1:$AL$1='Abgleich Generation'!U$76)*Generation_Entsoe_SFS_2017!$D$3:$AL$40)</f>
        <v>#VALUE!</v>
      </c>
      <c r="V103" s="27" t="e">
        <f t="shared" si="63"/>
        <v>#VALUE!</v>
      </c>
      <c r="W103" s="28" t="e">
        <f>SUMPRODUCT((Generation_Entsoe_SFS_2017!$A$3:$A$40='Abgleich Generation'!$A103)*(Generation_Entsoe_SFS_2017!$D$1:$AL$1='Abgleich Generation'!W$81)*Generation_Entsoe_SFS_2017!$D$3:$AL$40)+SUMPRODUCT((Generation_Entsoe_SFS_2017!$A$3:$A$40='Abgleich Generation'!$A103)*(Generation_Entsoe_SFS_2017!$D$1:$AL$1='Abgleich Generation'!W$80)*Generation_Entsoe_SFS_2017!$D$3:$AL$40)+SUMPRODUCT((Generation_Entsoe_SFS_2017!$A$3:$A$40='Abgleich Generation'!$A103)*(Generation_Entsoe_SFS_2017!$D$1:$AL$1='Abgleich Generation'!W$79)*Generation_Entsoe_SFS_2017!$D$3:$AL$40)+SUMPRODUCT((Generation_Entsoe_SFS_2017!$A$3:$A$40='Abgleich Generation'!$A103)*(Generation_Entsoe_SFS_2017!$D$1:$AL$1='Abgleich Generation'!W$78)*Generation_Entsoe_SFS_2017!$D$3:$AL$40)+SUMPRODUCT((Generation_Entsoe_SFS_2017!$A$3:$A$40='Abgleich Generation'!$A103)*(Generation_Entsoe_SFS_2017!$D$1:$AL$1='Abgleich Generation'!W$77)*Generation_Entsoe_SFS_2017!$D$3:$AL$40)+SUMPRODUCT((Generation_Entsoe_SFS_2017!$A$3:$A$40='Abgleich Generation'!$A103)*(Generation_Entsoe_SFS_2017!$D$1:$AL$1='Abgleich Generation'!W$76)*Generation_Entsoe_SFS_2017!$D$3:$AL$40)</f>
        <v>#VALUE!</v>
      </c>
      <c r="X103" s="29" t="e">
        <f>SUMPRODUCT((Generation_Entsoe_SFS_2017!$A$3:$A$40='Abgleich Generation'!$A103)*(Generation_Entsoe_SFS_2017!$D$1:$AL$1='Abgleich Generation'!X$81)*Generation_Entsoe_SFS_2017!$D$3:$AL$40)+SUMPRODUCT((Generation_Entsoe_SFS_2017!$A$3:$A$40='Abgleich Generation'!$A103)*(Generation_Entsoe_SFS_2017!$D$1:$AL$1='Abgleich Generation'!X$80)*Generation_Entsoe_SFS_2017!$D$3:$AL$40)+SUMPRODUCT((Generation_Entsoe_SFS_2017!$A$3:$A$40='Abgleich Generation'!$A103)*(Generation_Entsoe_SFS_2017!$D$1:$AL$1='Abgleich Generation'!X$79)*Generation_Entsoe_SFS_2017!$D$3:$AL$40)+SUMPRODUCT((Generation_Entsoe_SFS_2017!$A$3:$A$40='Abgleich Generation'!$A103)*(Generation_Entsoe_SFS_2017!$D$1:$AL$1='Abgleich Generation'!X$78)*Generation_Entsoe_SFS_2017!$D$3:$AL$40)+SUMPRODUCT((Generation_Entsoe_SFS_2017!$A$3:$A$40='Abgleich Generation'!$A103)*(Generation_Entsoe_SFS_2017!$D$1:$AL$1='Abgleich Generation'!X$77)*Generation_Entsoe_SFS_2017!$D$3:$AL$40)+SUMPRODUCT((Generation_Entsoe_SFS_2017!$A$3:$A$40='Abgleich Generation'!$A103)*(Generation_Entsoe_SFS_2017!$D$1:$AL$1='Abgleich Generation'!X$76)*Generation_Entsoe_SFS_2017!$D$3:$AL$40)</f>
        <v>#VALUE!</v>
      </c>
      <c r="Y103" s="29" t="e">
        <f t="shared" si="64"/>
        <v>#VALUE!</v>
      </c>
    </row>
    <row r="104" spans="1:33" x14ac:dyDescent="0.25">
      <c r="A104" s="14" t="s">
        <v>30</v>
      </c>
      <c r="B104" s="57" t="e">
        <f t="shared" si="60"/>
        <v>#VALUE!</v>
      </c>
      <c r="C104" s="58" t="e">
        <f>SUMPRODUCT((Generation_Entsoe_SFS_2017!$A$3:$A$40='Abgleich Generation'!$A104)*(Generation_Entsoe_SFS_2017!$D$1:$AL$1='Abgleich Generation'!C$81)*Generation_Entsoe_SFS_2017!$D$3:$AL$40)+SUMPRODUCT((Generation_Entsoe_SFS_2017!$A$3:$A$40='Abgleich Generation'!$A104)*(Generation_Entsoe_SFS_2017!$D$1:$AL$1='Abgleich Generation'!C$80)*Generation_Entsoe_SFS_2017!$D$3:$AL$40)+SUMPRODUCT((Generation_Entsoe_SFS_2017!$A$3:$A$40='Abgleich Generation'!$A104)*(Generation_Entsoe_SFS_2017!$D$1:$AL$1='Abgleich Generation'!C$79)*Generation_Entsoe_SFS_2017!$D$3:$AL$40)+SUMPRODUCT((Generation_Entsoe_SFS_2017!$A$3:$A$40='Abgleich Generation'!$A104)*(Generation_Entsoe_SFS_2017!$D$1:$AL$1='Abgleich Generation'!C$78)*Generation_Entsoe_SFS_2017!$D$3:$AL$40)</f>
        <v>#VALUE!</v>
      </c>
      <c r="D104" s="58" t="e">
        <f t="shared" si="61"/>
        <v>#VALUE!</v>
      </c>
      <c r="E104" s="58" t="e">
        <f>SUMPRODUCT((Generation_Entsoe_SFS_2017!$A$3:$A$40='Abgleich Generation'!$A104)*(Generation_Entsoe_SFS_2017!$D$1:$AL$1='Abgleich Generation'!E$81)*Generation_Entsoe_SFS_2017!$D$3:$AL$40)+SUMPRODUCT((Generation_Entsoe_SFS_2017!$A$3:$A$40='Abgleich Generation'!$A104)*(Generation_Entsoe_SFS_2017!$D$1:$AL$1='Abgleich Generation'!E$80)*Generation_Entsoe_SFS_2017!$D$3:$AL$40)+SUMPRODUCT((Generation_Entsoe_SFS_2017!$A$3:$A$40='Abgleich Generation'!$A104)*(Generation_Entsoe_SFS_2017!$D$1:$AL$1='Abgleich Generation'!E$79)*Generation_Entsoe_SFS_2017!$D$3:$AL$40)+SUMPRODUCT((Generation_Entsoe_SFS_2017!$A$3:$A$40='Abgleich Generation'!$A104)*(Generation_Entsoe_SFS_2017!$D$1:$AL$1='Abgleich Generation'!E$78)*Generation_Entsoe_SFS_2017!$D$3:$AL$40)</f>
        <v>#VALUE!</v>
      </c>
      <c r="F104" s="58" t="e">
        <f>SUMPRODUCT((Generation_Entsoe_SFS_2017!$A$3:$A$40='Abgleich Generation'!$A104)*(Generation_Entsoe_SFS_2017!$D$1:$AL$1='Abgleich Generation'!F$81)*Generation_Entsoe_SFS_2017!$D$3:$AL$40)+SUMPRODUCT((Generation_Entsoe_SFS_2017!$A$3:$A$40='Abgleich Generation'!$A104)*(Generation_Entsoe_SFS_2017!$D$1:$AL$1='Abgleich Generation'!F$80)*Generation_Entsoe_SFS_2017!$D$3:$AL$40)+SUMPRODUCT((Generation_Entsoe_SFS_2017!$A$3:$A$40='Abgleich Generation'!$A104)*(Generation_Entsoe_SFS_2017!$D$1:$AL$1='Abgleich Generation'!F$79)*Generation_Entsoe_SFS_2017!$D$3:$AL$40)+SUMPRODUCT((Generation_Entsoe_SFS_2017!$A$3:$A$40='Abgleich Generation'!$A104)*(Generation_Entsoe_SFS_2017!$D$1:$AL$1='Abgleich Generation'!F$78)*Generation_Entsoe_SFS_2017!$D$3:$AL$40)</f>
        <v>#VALUE!</v>
      </c>
      <c r="G104" s="58" t="e">
        <f>SUMPRODUCT((Generation_Entsoe_SFS_2017!$A$3:$A$40='Abgleich Generation'!$A104)*(Generation_Entsoe_SFS_2017!$D$1:$AL$1='Abgleich Generation'!G$81)*Generation_Entsoe_SFS_2017!$D$3:$AL$40)+SUMPRODUCT((Generation_Entsoe_SFS_2017!$A$3:$A$40='Abgleich Generation'!$A104)*(Generation_Entsoe_SFS_2017!$D$1:$AL$1='Abgleich Generation'!G$80)*Generation_Entsoe_SFS_2017!$D$3:$AL$40)+SUMPRODUCT((Generation_Entsoe_SFS_2017!$A$3:$A$40='Abgleich Generation'!$A104)*(Generation_Entsoe_SFS_2017!$D$1:$AL$1='Abgleich Generation'!G$79)*Generation_Entsoe_SFS_2017!$D$3:$AL$40)+SUMPRODUCT((Generation_Entsoe_SFS_2017!$A$3:$A$40='Abgleich Generation'!$A104)*(Generation_Entsoe_SFS_2017!$D$1:$AL$1='Abgleich Generation'!G$78)*Generation_Entsoe_SFS_2017!$D$3:$AL$40)</f>
        <v>#VALUE!</v>
      </c>
      <c r="H104" s="58" t="e">
        <f>SUMPRODUCT((Generation_Entsoe_SFS_2017!$A$3:$A$40='Abgleich Generation'!$A104)*(Generation_Entsoe_SFS_2017!$D$1:$AL$1='Abgleich Generation'!H$81)*Generation_Entsoe_SFS_2017!$D$3:$AL$40)+SUMPRODUCT((Generation_Entsoe_SFS_2017!$A$3:$A$40='Abgleich Generation'!$A104)*(Generation_Entsoe_SFS_2017!$D$1:$AL$1='Abgleich Generation'!H$80)*Generation_Entsoe_SFS_2017!$D$3:$AL$40)+SUMPRODUCT((Generation_Entsoe_SFS_2017!$A$3:$A$40='Abgleich Generation'!$A104)*(Generation_Entsoe_SFS_2017!$D$1:$AL$1='Abgleich Generation'!H$79)*Generation_Entsoe_SFS_2017!$D$3:$AL$40)+SUMPRODUCT((Generation_Entsoe_SFS_2017!$A$3:$A$40='Abgleich Generation'!$A104)*(Generation_Entsoe_SFS_2017!$D$1:$AL$1='Abgleich Generation'!H$78)*Generation_Entsoe_SFS_2017!$D$3:$AL$40)</f>
        <v>#VALUE!</v>
      </c>
      <c r="I104" s="58" t="e">
        <f>SUMPRODUCT((Generation_Entsoe_SFS_2017!$A$3:$A$40='Abgleich Generation'!$A104)*(Generation_Entsoe_SFS_2017!$D$1:$AL$1='Abgleich Generation'!I$81)*Generation_Entsoe_SFS_2017!$D$3:$AL$40)+SUMPRODUCT((Generation_Entsoe_SFS_2017!$A$3:$A$40='Abgleich Generation'!$A104)*(Generation_Entsoe_SFS_2017!$D$1:$AL$1='Abgleich Generation'!I$80)*Generation_Entsoe_SFS_2017!$D$3:$AL$40)+SUMPRODUCT((Generation_Entsoe_SFS_2017!$A$3:$A$40='Abgleich Generation'!$A104)*(Generation_Entsoe_SFS_2017!$D$1:$AL$1='Abgleich Generation'!I$79)*Generation_Entsoe_SFS_2017!$D$3:$AL$40)+SUMPRODUCT((Generation_Entsoe_SFS_2017!$A$3:$A$40='Abgleich Generation'!$A104)*(Generation_Entsoe_SFS_2017!$D$1:$AL$1='Abgleich Generation'!I$78)*Generation_Entsoe_SFS_2017!$D$3:$AL$40)</f>
        <v>#VALUE!</v>
      </c>
      <c r="J104" s="58" t="e">
        <f>SUMPRODUCT((Generation_Entsoe_SFS_2017!$A$3:$A$40='Abgleich Generation'!$A104)*(Generation_Entsoe_SFS_2017!$D$1:$AL$1='Abgleich Generation'!J$81)*Generation_Entsoe_SFS_2017!$D$3:$AL$40)+SUMPRODUCT((Generation_Entsoe_SFS_2017!$A$3:$A$40='Abgleich Generation'!$A104)*(Generation_Entsoe_SFS_2017!$D$1:$AL$1='Abgleich Generation'!J$80)*Generation_Entsoe_SFS_2017!$D$3:$AL$40)+SUMPRODUCT((Generation_Entsoe_SFS_2017!$A$3:$A$40='Abgleich Generation'!$A104)*(Generation_Entsoe_SFS_2017!$D$1:$AL$1='Abgleich Generation'!J$79)*Generation_Entsoe_SFS_2017!$D$3:$AL$40)+SUMPRODUCT((Generation_Entsoe_SFS_2017!$A$3:$A$40='Abgleich Generation'!$A104)*(Generation_Entsoe_SFS_2017!$D$1:$AL$1='Abgleich Generation'!J$78)*Generation_Entsoe_SFS_2017!$D$3:$AL$40)</f>
        <v>#VALUE!</v>
      </c>
      <c r="K104" s="59" t="e">
        <f t="shared" si="62"/>
        <v>#VALUE!</v>
      </c>
      <c r="L104" s="58" t="e">
        <f>SUMPRODUCT((Generation_Entsoe_SFS_2017!$A$3:$A$40='Abgleich Generation'!$A104)*(Generation_Entsoe_SFS_2017!$D$1:$AL$1='Abgleich Generation'!L$81)*Generation_Entsoe_SFS_2017!$D$3:$AL$40)+SUMPRODUCT((Generation_Entsoe_SFS_2017!$A$3:$A$40='Abgleich Generation'!$A104)*(Generation_Entsoe_SFS_2017!$D$1:$AL$1='Abgleich Generation'!L$80)*Generation_Entsoe_SFS_2017!$D$3:$AL$40)+SUMPRODUCT((Generation_Entsoe_SFS_2017!$A$3:$A$40='Abgleich Generation'!$A104)*(Generation_Entsoe_SFS_2017!$D$1:$AL$1='Abgleich Generation'!L$79)*Generation_Entsoe_SFS_2017!$D$3:$AL$40)+SUMPRODUCT((Generation_Entsoe_SFS_2017!$A$3:$A$40='Abgleich Generation'!$A104)*(Generation_Entsoe_SFS_2017!$D$1:$AL$1='Abgleich Generation'!L$78)*Generation_Entsoe_SFS_2017!$D$3:$AL$40)+SUMPRODUCT((Generation_Entsoe_SFS_2017!$A$3:$A$40='Abgleich Generation'!$A104)*(Generation_Entsoe_SFS_2017!$D$1:$AL$1='Abgleich Generation'!L$77)*Generation_Entsoe_SFS_2017!$D$3:$AL$40)+SUMPRODUCT((Generation_Entsoe_SFS_2017!$A$3:$A$40='Abgleich Generation'!$A104)*(Generation_Entsoe_SFS_2017!$D$1:$AL$1='Abgleich Generation'!L$76)*Generation_Entsoe_SFS_2017!$D$3:$AL$40)</f>
        <v>#VALUE!</v>
      </c>
      <c r="M104" s="58" t="e">
        <f>SUMPRODUCT((Generation_Entsoe_SFS_2017!$A$3:$A$40='Abgleich Generation'!$A104)*(Generation_Entsoe_SFS_2017!$D$1:$AL$1='Abgleich Generation'!M$81)*Generation_Entsoe_SFS_2017!$D$3:$AL$40)+SUMPRODUCT((Generation_Entsoe_SFS_2017!$A$3:$A$40='Abgleich Generation'!$A104)*(Generation_Entsoe_SFS_2017!$D$1:$AL$1='Abgleich Generation'!M$80)*Generation_Entsoe_SFS_2017!$D$3:$AL$40)+SUMPRODUCT((Generation_Entsoe_SFS_2017!$A$3:$A$40='Abgleich Generation'!$A104)*(Generation_Entsoe_SFS_2017!$D$1:$AL$1='Abgleich Generation'!M$79)*Generation_Entsoe_SFS_2017!$D$3:$AL$40)+SUMPRODUCT((Generation_Entsoe_SFS_2017!$A$3:$A$40='Abgleich Generation'!$A104)*(Generation_Entsoe_SFS_2017!$D$1:$AL$1='Abgleich Generation'!M$78)*Generation_Entsoe_SFS_2017!$D$3:$AL$40)+SUMPRODUCT((Generation_Entsoe_SFS_2017!$A$3:$A$40='Abgleich Generation'!$A104)*(Generation_Entsoe_SFS_2017!$D$1:$AL$1='Abgleich Generation'!M$77)*Generation_Entsoe_SFS_2017!$D$3:$AL$40)+SUMPRODUCT((Generation_Entsoe_SFS_2017!$A$3:$A$40='Abgleich Generation'!$A104)*(Generation_Entsoe_SFS_2017!$D$1:$AL$1='Abgleich Generation'!M$76)*Generation_Entsoe_SFS_2017!$D$3:$AL$40)</f>
        <v>#VALUE!</v>
      </c>
      <c r="N104" s="58" t="e">
        <f>SUMPRODUCT((Generation_Entsoe_SFS_2017!$A$3:$A$40='Abgleich Generation'!$A104)*(Generation_Entsoe_SFS_2017!$D$1:$AL$1='Abgleich Generation'!N$81)*Generation_Entsoe_SFS_2017!$D$3:$AL$40)+SUMPRODUCT((Generation_Entsoe_SFS_2017!$A$3:$A$40='Abgleich Generation'!$A104)*(Generation_Entsoe_SFS_2017!$D$1:$AL$1='Abgleich Generation'!N$80)*Generation_Entsoe_SFS_2017!$D$3:$AL$40)+SUMPRODUCT((Generation_Entsoe_SFS_2017!$A$3:$A$40='Abgleich Generation'!$A104)*(Generation_Entsoe_SFS_2017!$D$1:$AL$1='Abgleich Generation'!N$79)*Generation_Entsoe_SFS_2017!$D$3:$AL$40)+SUMPRODUCT((Generation_Entsoe_SFS_2017!$A$3:$A$40='Abgleich Generation'!$A104)*(Generation_Entsoe_SFS_2017!$D$1:$AL$1='Abgleich Generation'!N$78)*Generation_Entsoe_SFS_2017!$D$3:$AL$40)+SUMPRODUCT((Generation_Entsoe_SFS_2017!$A$3:$A$40='Abgleich Generation'!$A104)*(Generation_Entsoe_SFS_2017!$D$1:$AL$1='Abgleich Generation'!N$77)*Generation_Entsoe_SFS_2017!$D$3:$AL$40)+SUMPRODUCT((Generation_Entsoe_SFS_2017!$A$3:$A$40='Abgleich Generation'!$A104)*(Generation_Entsoe_SFS_2017!$D$1:$AL$1='Abgleich Generation'!N$76)*Generation_Entsoe_SFS_2017!$D$3:$AL$40)</f>
        <v>#VALUE!</v>
      </c>
      <c r="O104" s="58" t="e">
        <f>SUMPRODUCT((Generation_Entsoe_SFS_2017!$A$3:$A$40='Abgleich Generation'!$A104)*(Generation_Entsoe_SFS_2017!$D$1:$AL$1='Abgleich Generation'!O$81)*Generation_Entsoe_SFS_2017!$D$3:$AL$40)+SUMPRODUCT((Generation_Entsoe_SFS_2017!$A$3:$A$40='Abgleich Generation'!$A104)*(Generation_Entsoe_SFS_2017!$D$1:$AL$1='Abgleich Generation'!O$80)*Generation_Entsoe_SFS_2017!$D$3:$AL$40)+SUMPRODUCT((Generation_Entsoe_SFS_2017!$A$3:$A$40='Abgleich Generation'!$A104)*(Generation_Entsoe_SFS_2017!$D$1:$AL$1='Abgleich Generation'!O$79)*Generation_Entsoe_SFS_2017!$D$3:$AL$40)+SUMPRODUCT((Generation_Entsoe_SFS_2017!$A$3:$A$40='Abgleich Generation'!$A104)*(Generation_Entsoe_SFS_2017!$D$1:$AL$1='Abgleich Generation'!O$78)*Generation_Entsoe_SFS_2017!$D$3:$AL$40)+SUMPRODUCT((Generation_Entsoe_SFS_2017!$A$3:$A$40='Abgleich Generation'!$A104)*(Generation_Entsoe_SFS_2017!$D$1:$AL$1='Abgleich Generation'!O$77)*Generation_Entsoe_SFS_2017!$D$3:$AL$40)+SUMPRODUCT((Generation_Entsoe_SFS_2017!$A$3:$A$40='Abgleich Generation'!$A104)*(Generation_Entsoe_SFS_2017!$D$1:$AL$1='Abgleich Generation'!O$76)*Generation_Entsoe_SFS_2017!$D$3:$AL$40)</f>
        <v>#VALUE!</v>
      </c>
      <c r="P104" s="58" t="e">
        <f>SUMPRODUCT((Generation_Entsoe_SFS_2017!$A$3:$A$40='Abgleich Generation'!$A104)*(Generation_Entsoe_SFS_2017!$D$1:$AL$1='Abgleich Generation'!P$81)*Generation_Entsoe_SFS_2017!$D$3:$AL$40)+SUMPRODUCT((Generation_Entsoe_SFS_2017!$A$3:$A$40='Abgleich Generation'!$A104)*(Generation_Entsoe_SFS_2017!$D$1:$AL$1='Abgleich Generation'!P$80)*Generation_Entsoe_SFS_2017!$D$3:$AL$40)+SUMPRODUCT((Generation_Entsoe_SFS_2017!$A$3:$A$40='Abgleich Generation'!$A104)*(Generation_Entsoe_SFS_2017!$D$1:$AL$1='Abgleich Generation'!P$79)*Generation_Entsoe_SFS_2017!$D$3:$AL$40)+SUMPRODUCT((Generation_Entsoe_SFS_2017!$A$3:$A$40='Abgleich Generation'!$A104)*(Generation_Entsoe_SFS_2017!$D$1:$AL$1='Abgleich Generation'!P$78)*Generation_Entsoe_SFS_2017!$D$3:$AL$40)+SUMPRODUCT((Generation_Entsoe_SFS_2017!$A$3:$A$40='Abgleich Generation'!$A104)*(Generation_Entsoe_SFS_2017!$D$1:$AL$1='Abgleich Generation'!P$77)*Generation_Entsoe_SFS_2017!$D$3:$AL$40)+SUMPRODUCT((Generation_Entsoe_SFS_2017!$A$3:$A$40='Abgleich Generation'!$A104)*(Generation_Entsoe_SFS_2017!$D$1:$AL$1='Abgleich Generation'!P$76)*Generation_Entsoe_SFS_2017!$D$3:$AL$40)</f>
        <v>#VALUE!</v>
      </c>
      <c r="Q104" s="58" t="e">
        <f>SUMPRODUCT((Generation_Entsoe_SFS_2017!$A$3:$A$40='Abgleich Generation'!$A104)*(Generation_Entsoe_SFS_2017!$D$1:$AL$1='Abgleich Generation'!Q$81)*Generation_Entsoe_SFS_2017!$D$3:$AL$40)+SUMPRODUCT((Generation_Entsoe_SFS_2017!$A$3:$A$40='Abgleich Generation'!$A104)*(Generation_Entsoe_SFS_2017!$D$1:$AL$1='Abgleich Generation'!Q$80)*Generation_Entsoe_SFS_2017!$D$3:$AL$40)+SUMPRODUCT((Generation_Entsoe_SFS_2017!$A$3:$A$40='Abgleich Generation'!$A104)*(Generation_Entsoe_SFS_2017!$D$1:$AL$1='Abgleich Generation'!Q$79)*Generation_Entsoe_SFS_2017!$D$3:$AL$40)+SUMPRODUCT((Generation_Entsoe_SFS_2017!$A$3:$A$40='Abgleich Generation'!$A104)*(Generation_Entsoe_SFS_2017!$D$1:$AL$1='Abgleich Generation'!Q$78)*Generation_Entsoe_SFS_2017!$D$3:$AL$40)+SUMPRODUCT((Generation_Entsoe_SFS_2017!$A$3:$A$40='Abgleich Generation'!$A104)*(Generation_Entsoe_SFS_2017!$D$1:$AL$1='Abgleich Generation'!Q$77)*Generation_Entsoe_SFS_2017!$D$3:$AL$40)+SUMPRODUCT((Generation_Entsoe_SFS_2017!$A$3:$A$40='Abgleich Generation'!$A104)*(Generation_Entsoe_SFS_2017!$D$1:$AL$1='Abgleich Generation'!Q$76)*Generation_Entsoe_SFS_2017!$D$3:$AL$40)</f>
        <v>#VALUE!</v>
      </c>
      <c r="R104" s="58" t="e">
        <f>SUMPRODUCT((Generation_Entsoe_SFS_2017!$A$3:$A$40='Abgleich Generation'!$A104)*(Generation_Entsoe_SFS_2017!$D$1:$AL$1='Abgleich Generation'!R$81)*Generation_Entsoe_SFS_2017!$D$3:$AL$40)+SUMPRODUCT((Generation_Entsoe_SFS_2017!$A$3:$A$40='Abgleich Generation'!$A104)*(Generation_Entsoe_SFS_2017!$D$1:$AL$1='Abgleich Generation'!R$80)*Generation_Entsoe_SFS_2017!$D$3:$AL$40)+SUMPRODUCT((Generation_Entsoe_SFS_2017!$A$3:$A$40='Abgleich Generation'!$A104)*(Generation_Entsoe_SFS_2017!$D$1:$AL$1='Abgleich Generation'!R$79)*Generation_Entsoe_SFS_2017!$D$3:$AL$40)+SUMPRODUCT((Generation_Entsoe_SFS_2017!$A$3:$A$40='Abgleich Generation'!$A104)*(Generation_Entsoe_SFS_2017!$D$1:$AL$1='Abgleich Generation'!R$78)*Generation_Entsoe_SFS_2017!$D$3:$AL$40)+SUMPRODUCT((Generation_Entsoe_SFS_2017!$A$3:$A$40='Abgleich Generation'!$A104)*(Generation_Entsoe_SFS_2017!$D$1:$AL$1='Abgleich Generation'!R$77)*Generation_Entsoe_SFS_2017!$D$3:$AL$40)+SUMPRODUCT((Generation_Entsoe_SFS_2017!$A$3:$A$40='Abgleich Generation'!$A104)*(Generation_Entsoe_SFS_2017!$D$1:$AL$1='Abgleich Generation'!R$76)*Generation_Entsoe_SFS_2017!$D$3:$AL$40)</f>
        <v>#VALUE!</v>
      </c>
      <c r="S104" s="58" t="e">
        <f>SUMPRODUCT((Generation_Entsoe_SFS_2017!$A$3:$A$40='Abgleich Generation'!$A104)*(Generation_Entsoe_SFS_2017!$D$1:$AL$1='Abgleich Generation'!S$81)*Generation_Entsoe_SFS_2017!$D$3:$AL$40)+SUMPRODUCT((Generation_Entsoe_SFS_2017!$A$3:$A$40='Abgleich Generation'!$A104)*(Generation_Entsoe_SFS_2017!$D$1:$AL$1='Abgleich Generation'!S$80)*Generation_Entsoe_SFS_2017!$D$3:$AL$40)+SUMPRODUCT((Generation_Entsoe_SFS_2017!$A$3:$A$40='Abgleich Generation'!$A104)*(Generation_Entsoe_SFS_2017!$D$1:$AL$1='Abgleich Generation'!S$79)*Generation_Entsoe_SFS_2017!$D$3:$AL$40)+SUMPRODUCT((Generation_Entsoe_SFS_2017!$A$3:$A$40='Abgleich Generation'!$A104)*(Generation_Entsoe_SFS_2017!$D$1:$AL$1='Abgleich Generation'!S$78)*Generation_Entsoe_SFS_2017!$D$3:$AL$40)+SUMPRODUCT((Generation_Entsoe_SFS_2017!$A$3:$A$40='Abgleich Generation'!$A104)*(Generation_Entsoe_SFS_2017!$D$1:$AL$1='Abgleich Generation'!S$77)*Generation_Entsoe_SFS_2017!$D$3:$AL$40)+SUMPRODUCT((Generation_Entsoe_SFS_2017!$A$3:$A$40='Abgleich Generation'!$A104)*(Generation_Entsoe_SFS_2017!$D$1:$AL$1='Abgleich Generation'!S$76)*Generation_Entsoe_SFS_2017!$D$3:$AL$40)</f>
        <v>#VALUE!</v>
      </c>
      <c r="T104" s="58" t="e">
        <f>SUMPRODUCT((Generation_Entsoe_SFS_2017!$A$3:$A$40='Abgleich Generation'!$A104)*(Generation_Entsoe_SFS_2017!$D$1:$AL$1='Abgleich Generation'!T$81)*Generation_Entsoe_SFS_2017!$D$3:$AL$40)+SUMPRODUCT((Generation_Entsoe_SFS_2017!$A$3:$A$40='Abgleich Generation'!$A104)*(Generation_Entsoe_SFS_2017!$D$1:$AL$1='Abgleich Generation'!T$80)*Generation_Entsoe_SFS_2017!$D$3:$AL$40)+SUMPRODUCT((Generation_Entsoe_SFS_2017!$A$3:$A$40='Abgleich Generation'!$A104)*(Generation_Entsoe_SFS_2017!$D$1:$AL$1='Abgleich Generation'!T$79)*Generation_Entsoe_SFS_2017!$D$3:$AL$40)+SUMPRODUCT((Generation_Entsoe_SFS_2017!$A$3:$A$40='Abgleich Generation'!$A104)*(Generation_Entsoe_SFS_2017!$D$1:$AL$1='Abgleich Generation'!T$78)*Generation_Entsoe_SFS_2017!$D$3:$AL$40)+SUMPRODUCT((Generation_Entsoe_SFS_2017!$A$3:$A$40='Abgleich Generation'!$A104)*(Generation_Entsoe_SFS_2017!$D$1:$AL$1='Abgleich Generation'!T$77)*Generation_Entsoe_SFS_2017!$D$3:$AL$40)+SUMPRODUCT((Generation_Entsoe_SFS_2017!$A$3:$A$40='Abgleich Generation'!$A104)*(Generation_Entsoe_SFS_2017!$D$1:$AL$1='Abgleich Generation'!T$76)*Generation_Entsoe_SFS_2017!$D$3:$AL$40)</f>
        <v>#VALUE!</v>
      </c>
      <c r="U104" s="58" t="e">
        <f>SUMPRODUCT((Generation_Entsoe_SFS_2017!$A$3:$A$40='Abgleich Generation'!$A104)*(Generation_Entsoe_SFS_2017!$D$1:$AL$1='Abgleich Generation'!U$81)*Generation_Entsoe_SFS_2017!$D$3:$AL$40)+SUMPRODUCT((Generation_Entsoe_SFS_2017!$A$3:$A$40='Abgleich Generation'!$A104)*(Generation_Entsoe_SFS_2017!$D$1:$AL$1='Abgleich Generation'!U$80)*Generation_Entsoe_SFS_2017!$D$3:$AL$40)+SUMPRODUCT((Generation_Entsoe_SFS_2017!$A$3:$A$40='Abgleich Generation'!$A104)*(Generation_Entsoe_SFS_2017!$D$1:$AL$1='Abgleich Generation'!U$79)*Generation_Entsoe_SFS_2017!$D$3:$AL$40)+SUMPRODUCT((Generation_Entsoe_SFS_2017!$A$3:$A$40='Abgleich Generation'!$A104)*(Generation_Entsoe_SFS_2017!$D$1:$AL$1='Abgleich Generation'!U$78)*Generation_Entsoe_SFS_2017!$D$3:$AL$40)+SUMPRODUCT((Generation_Entsoe_SFS_2017!$A$3:$A$40='Abgleich Generation'!$A104)*(Generation_Entsoe_SFS_2017!$D$1:$AL$1='Abgleich Generation'!U$77)*Generation_Entsoe_SFS_2017!$D$3:$AL$40)+SUMPRODUCT((Generation_Entsoe_SFS_2017!$A$3:$A$40='Abgleich Generation'!$A104)*(Generation_Entsoe_SFS_2017!$D$1:$AL$1='Abgleich Generation'!U$76)*Generation_Entsoe_SFS_2017!$D$3:$AL$40)</f>
        <v>#VALUE!</v>
      </c>
      <c r="V104" s="59" t="e">
        <f t="shared" si="63"/>
        <v>#VALUE!</v>
      </c>
      <c r="W104" s="60" t="e">
        <f>SUMPRODUCT((Generation_Entsoe_SFS_2017!$A$3:$A$40='Abgleich Generation'!$A104)*(Generation_Entsoe_SFS_2017!$D$1:$AL$1='Abgleich Generation'!W$81)*Generation_Entsoe_SFS_2017!$D$3:$AL$40)+SUMPRODUCT((Generation_Entsoe_SFS_2017!$A$3:$A$40='Abgleich Generation'!$A104)*(Generation_Entsoe_SFS_2017!$D$1:$AL$1='Abgleich Generation'!W$80)*Generation_Entsoe_SFS_2017!$D$3:$AL$40)+SUMPRODUCT((Generation_Entsoe_SFS_2017!$A$3:$A$40='Abgleich Generation'!$A104)*(Generation_Entsoe_SFS_2017!$D$1:$AL$1='Abgleich Generation'!W$79)*Generation_Entsoe_SFS_2017!$D$3:$AL$40)+SUMPRODUCT((Generation_Entsoe_SFS_2017!$A$3:$A$40='Abgleich Generation'!$A104)*(Generation_Entsoe_SFS_2017!$D$1:$AL$1='Abgleich Generation'!W$78)*Generation_Entsoe_SFS_2017!$D$3:$AL$40)+SUMPRODUCT((Generation_Entsoe_SFS_2017!$A$3:$A$40='Abgleich Generation'!$A104)*(Generation_Entsoe_SFS_2017!$D$1:$AL$1='Abgleich Generation'!W$77)*Generation_Entsoe_SFS_2017!$D$3:$AL$40)+SUMPRODUCT((Generation_Entsoe_SFS_2017!$A$3:$A$40='Abgleich Generation'!$A104)*(Generation_Entsoe_SFS_2017!$D$1:$AL$1='Abgleich Generation'!W$76)*Generation_Entsoe_SFS_2017!$D$3:$AL$40)</f>
        <v>#VALUE!</v>
      </c>
      <c r="X104" s="61" t="e">
        <f>SUMPRODUCT((Generation_Entsoe_SFS_2017!$A$3:$A$40='Abgleich Generation'!$A104)*(Generation_Entsoe_SFS_2017!$D$1:$AL$1='Abgleich Generation'!X$81)*Generation_Entsoe_SFS_2017!$D$3:$AL$40)+SUMPRODUCT((Generation_Entsoe_SFS_2017!$A$3:$A$40='Abgleich Generation'!$A104)*(Generation_Entsoe_SFS_2017!$D$1:$AL$1='Abgleich Generation'!X$80)*Generation_Entsoe_SFS_2017!$D$3:$AL$40)+SUMPRODUCT((Generation_Entsoe_SFS_2017!$A$3:$A$40='Abgleich Generation'!$A104)*(Generation_Entsoe_SFS_2017!$D$1:$AL$1='Abgleich Generation'!X$79)*Generation_Entsoe_SFS_2017!$D$3:$AL$40)+SUMPRODUCT((Generation_Entsoe_SFS_2017!$A$3:$A$40='Abgleich Generation'!$A104)*(Generation_Entsoe_SFS_2017!$D$1:$AL$1='Abgleich Generation'!X$78)*Generation_Entsoe_SFS_2017!$D$3:$AL$40)+SUMPRODUCT((Generation_Entsoe_SFS_2017!$A$3:$A$40='Abgleich Generation'!$A104)*(Generation_Entsoe_SFS_2017!$D$1:$AL$1='Abgleich Generation'!X$77)*Generation_Entsoe_SFS_2017!$D$3:$AL$40)+SUMPRODUCT((Generation_Entsoe_SFS_2017!$A$3:$A$40='Abgleich Generation'!$A104)*(Generation_Entsoe_SFS_2017!$D$1:$AL$1='Abgleich Generation'!X$76)*Generation_Entsoe_SFS_2017!$D$3:$AL$40)</f>
        <v>#VALUE!</v>
      </c>
      <c r="Y104" s="61" t="e">
        <f t="shared" si="64"/>
        <v>#VALUE!</v>
      </c>
    </row>
    <row r="105" spans="1:33" x14ac:dyDescent="0.25">
      <c r="A105" s="14" t="s">
        <v>31</v>
      </c>
      <c r="B105" s="25" t="e">
        <f t="shared" si="60"/>
        <v>#VALUE!</v>
      </c>
      <c r="C105" s="26" t="e">
        <f>SUMPRODUCT((Generation_Entsoe_SFS_2017!$A$3:$A$40='Abgleich Generation'!$A105)*(Generation_Entsoe_SFS_2017!$D$1:$AL$1='Abgleich Generation'!C$81)*Generation_Entsoe_SFS_2017!$D$3:$AL$40)+SUMPRODUCT((Generation_Entsoe_SFS_2017!$A$3:$A$40='Abgleich Generation'!$A105)*(Generation_Entsoe_SFS_2017!$D$1:$AL$1='Abgleich Generation'!C$80)*Generation_Entsoe_SFS_2017!$D$3:$AL$40)+SUMPRODUCT((Generation_Entsoe_SFS_2017!$A$3:$A$40='Abgleich Generation'!$A105)*(Generation_Entsoe_SFS_2017!$D$1:$AL$1='Abgleich Generation'!C$79)*Generation_Entsoe_SFS_2017!$D$3:$AL$40)+SUMPRODUCT((Generation_Entsoe_SFS_2017!$A$3:$A$40='Abgleich Generation'!$A105)*(Generation_Entsoe_SFS_2017!$D$1:$AL$1='Abgleich Generation'!C$78)*Generation_Entsoe_SFS_2017!$D$3:$AL$40)</f>
        <v>#VALUE!</v>
      </c>
      <c r="D105" s="26" t="e">
        <f t="shared" si="61"/>
        <v>#VALUE!</v>
      </c>
      <c r="E105" s="26" t="e">
        <f>SUMPRODUCT((Generation_Entsoe_SFS_2017!$A$3:$A$40='Abgleich Generation'!$A105)*(Generation_Entsoe_SFS_2017!$D$1:$AL$1='Abgleich Generation'!E$81)*Generation_Entsoe_SFS_2017!$D$3:$AL$40)+SUMPRODUCT((Generation_Entsoe_SFS_2017!$A$3:$A$40='Abgleich Generation'!$A105)*(Generation_Entsoe_SFS_2017!$D$1:$AL$1='Abgleich Generation'!E$80)*Generation_Entsoe_SFS_2017!$D$3:$AL$40)+SUMPRODUCT((Generation_Entsoe_SFS_2017!$A$3:$A$40='Abgleich Generation'!$A105)*(Generation_Entsoe_SFS_2017!$D$1:$AL$1='Abgleich Generation'!E$79)*Generation_Entsoe_SFS_2017!$D$3:$AL$40)+SUMPRODUCT((Generation_Entsoe_SFS_2017!$A$3:$A$40='Abgleich Generation'!$A105)*(Generation_Entsoe_SFS_2017!$D$1:$AL$1='Abgleich Generation'!E$78)*Generation_Entsoe_SFS_2017!$D$3:$AL$40)</f>
        <v>#VALUE!</v>
      </c>
      <c r="F105" s="26" t="e">
        <f>SUMPRODUCT((Generation_Entsoe_SFS_2017!$A$3:$A$40='Abgleich Generation'!$A105)*(Generation_Entsoe_SFS_2017!$D$1:$AL$1='Abgleich Generation'!F$81)*Generation_Entsoe_SFS_2017!$D$3:$AL$40)+SUMPRODUCT((Generation_Entsoe_SFS_2017!$A$3:$A$40='Abgleich Generation'!$A105)*(Generation_Entsoe_SFS_2017!$D$1:$AL$1='Abgleich Generation'!F$80)*Generation_Entsoe_SFS_2017!$D$3:$AL$40)+SUMPRODUCT((Generation_Entsoe_SFS_2017!$A$3:$A$40='Abgleich Generation'!$A105)*(Generation_Entsoe_SFS_2017!$D$1:$AL$1='Abgleich Generation'!F$79)*Generation_Entsoe_SFS_2017!$D$3:$AL$40)+SUMPRODUCT((Generation_Entsoe_SFS_2017!$A$3:$A$40='Abgleich Generation'!$A105)*(Generation_Entsoe_SFS_2017!$D$1:$AL$1='Abgleich Generation'!F$78)*Generation_Entsoe_SFS_2017!$D$3:$AL$40)</f>
        <v>#VALUE!</v>
      </c>
      <c r="G105" s="26" t="e">
        <f>SUMPRODUCT((Generation_Entsoe_SFS_2017!$A$3:$A$40='Abgleich Generation'!$A105)*(Generation_Entsoe_SFS_2017!$D$1:$AL$1='Abgleich Generation'!G$81)*Generation_Entsoe_SFS_2017!$D$3:$AL$40)+SUMPRODUCT((Generation_Entsoe_SFS_2017!$A$3:$A$40='Abgleich Generation'!$A105)*(Generation_Entsoe_SFS_2017!$D$1:$AL$1='Abgleich Generation'!G$80)*Generation_Entsoe_SFS_2017!$D$3:$AL$40)+SUMPRODUCT((Generation_Entsoe_SFS_2017!$A$3:$A$40='Abgleich Generation'!$A105)*(Generation_Entsoe_SFS_2017!$D$1:$AL$1='Abgleich Generation'!G$79)*Generation_Entsoe_SFS_2017!$D$3:$AL$40)+SUMPRODUCT((Generation_Entsoe_SFS_2017!$A$3:$A$40='Abgleich Generation'!$A105)*(Generation_Entsoe_SFS_2017!$D$1:$AL$1='Abgleich Generation'!G$78)*Generation_Entsoe_SFS_2017!$D$3:$AL$40)</f>
        <v>#VALUE!</v>
      </c>
      <c r="H105" s="26" t="e">
        <f>SUMPRODUCT((Generation_Entsoe_SFS_2017!$A$3:$A$40='Abgleich Generation'!$A105)*(Generation_Entsoe_SFS_2017!$D$1:$AL$1='Abgleich Generation'!H$81)*Generation_Entsoe_SFS_2017!$D$3:$AL$40)+SUMPRODUCT((Generation_Entsoe_SFS_2017!$A$3:$A$40='Abgleich Generation'!$A105)*(Generation_Entsoe_SFS_2017!$D$1:$AL$1='Abgleich Generation'!H$80)*Generation_Entsoe_SFS_2017!$D$3:$AL$40)+SUMPRODUCT((Generation_Entsoe_SFS_2017!$A$3:$A$40='Abgleich Generation'!$A105)*(Generation_Entsoe_SFS_2017!$D$1:$AL$1='Abgleich Generation'!H$79)*Generation_Entsoe_SFS_2017!$D$3:$AL$40)+SUMPRODUCT((Generation_Entsoe_SFS_2017!$A$3:$A$40='Abgleich Generation'!$A105)*(Generation_Entsoe_SFS_2017!$D$1:$AL$1='Abgleich Generation'!H$78)*Generation_Entsoe_SFS_2017!$D$3:$AL$40)</f>
        <v>#VALUE!</v>
      </c>
      <c r="I105" s="26" t="e">
        <f>SUMPRODUCT((Generation_Entsoe_SFS_2017!$A$3:$A$40='Abgleich Generation'!$A105)*(Generation_Entsoe_SFS_2017!$D$1:$AL$1='Abgleich Generation'!I$81)*Generation_Entsoe_SFS_2017!$D$3:$AL$40)+SUMPRODUCT((Generation_Entsoe_SFS_2017!$A$3:$A$40='Abgleich Generation'!$A105)*(Generation_Entsoe_SFS_2017!$D$1:$AL$1='Abgleich Generation'!I$80)*Generation_Entsoe_SFS_2017!$D$3:$AL$40)+SUMPRODUCT((Generation_Entsoe_SFS_2017!$A$3:$A$40='Abgleich Generation'!$A105)*(Generation_Entsoe_SFS_2017!$D$1:$AL$1='Abgleich Generation'!I$79)*Generation_Entsoe_SFS_2017!$D$3:$AL$40)+SUMPRODUCT((Generation_Entsoe_SFS_2017!$A$3:$A$40='Abgleich Generation'!$A105)*(Generation_Entsoe_SFS_2017!$D$1:$AL$1='Abgleich Generation'!I$78)*Generation_Entsoe_SFS_2017!$D$3:$AL$40)</f>
        <v>#VALUE!</v>
      </c>
      <c r="J105" s="26" t="e">
        <f>SUMPRODUCT((Generation_Entsoe_SFS_2017!$A$3:$A$40='Abgleich Generation'!$A105)*(Generation_Entsoe_SFS_2017!$D$1:$AL$1='Abgleich Generation'!J$81)*Generation_Entsoe_SFS_2017!$D$3:$AL$40)+SUMPRODUCT((Generation_Entsoe_SFS_2017!$A$3:$A$40='Abgleich Generation'!$A105)*(Generation_Entsoe_SFS_2017!$D$1:$AL$1='Abgleich Generation'!J$80)*Generation_Entsoe_SFS_2017!$D$3:$AL$40)+SUMPRODUCT((Generation_Entsoe_SFS_2017!$A$3:$A$40='Abgleich Generation'!$A105)*(Generation_Entsoe_SFS_2017!$D$1:$AL$1='Abgleich Generation'!J$79)*Generation_Entsoe_SFS_2017!$D$3:$AL$40)+SUMPRODUCT((Generation_Entsoe_SFS_2017!$A$3:$A$40='Abgleich Generation'!$A105)*(Generation_Entsoe_SFS_2017!$D$1:$AL$1='Abgleich Generation'!J$78)*Generation_Entsoe_SFS_2017!$D$3:$AL$40)</f>
        <v>#VALUE!</v>
      </c>
      <c r="K105" s="27" t="e">
        <f t="shared" si="62"/>
        <v>#VALUE!</v>
      </c>
      <c r="L105" s="26" t="e">
        <f>SUMPRODUCT((Generation_Entsoe_SFS_2017!$A$3:$A$40='Abgleich Generation'!$A105)*(Generation_Entsoe_SFS_2017!$D$1:$AL$1='Abgleich Generation'!L$81)*Generation_Entsoe_SFS_2017!$D$3:$AL$40)+SUMPRODUCT((Generation_Entsoe_SFS_2017!$A$3:$A$40='Abgleich Generation'!$A105)*(Generation_Entsoe_SFS_2017!$D$1:$AL$1='Abgleich Generation'!L$80)*Generation_Entsoe_SFS_2017!$D$3:$AL$40)+SUMPRODUCT((Generation_Entsoe_SFS_2017!$A$3:$A$40='Abgleich Generation'!$A105)*(Generation_Entsoe_SFS_2017!$D$1:$AL$1='Abgleich Generation'!L$79)*Generation_Entsoe_SFS_2017!$D$3:$AL$40)+SUMPRODUCT((Generation_Entsoe_SFS_2017!$A$3:$A$40='Abgleich Generation'!$A105)*(Generation_Entsoe_SFS_2017!$D$1:$AL$1='Abgleich Generation'!L$78)*Generation_Entsoe_SFS_2017!$D$3:$AL$40)+SUMPRODUCT((Generation_Entsoe_SFS_2017!$A$3:$A$40='Abgleich Generation'!$A105)*(Generation_Entsoe_SFS_2017!$D$1:$AL$1='Abgleich Generation'!L$77)*Generation_Entsoe_SFS_2017!$D$3:$AL$40)+SUMPRODUCT((Generation_Entsoe_SFS_2017!$A$3:$A$40='Abgleich Generation'!$A105)*(Generation_Entsoe_SFS_2017!$D$1:$AL$1='Abgleich Generation'!L$76)*Generation_Entsoe_SFS_2017!$D$3:$AL$40)</f>
        <v>#VALUE!</v>
      </c>
      <c r="M105" s="26" t="e">
        <f>SUMPRODUCT((Generation_Entsoe_SFS_2017!$A$3:$A$40='Abgleich Generation'!$A105)*(Generation_Entsoe_SFS_2017!$D$1:$AL$1='Abgleich Generation'!M$81)*Generation_Entsoe_SFS_2017!$D$3:$AL$40)+SUMPRODUCT((Generation_Entsoe_SFS_2017!$A$3:$A$40='Abgleich Generation'!$A105)*(Generation_Entsoe_SFS_2017!$D$1:$AL$1='Abgleich Generation'!M$80)*Generation_Entsoe_SFS_2017!$D$3:$AL$40)+SUMPRODUCT((Generation_Entsoe_SFS_2017!$A$3:$A$40='Abgleich Generation'!$A105)*(Generation_Entsoe_SFS_2017!$D$1:$AL$1='Abgleich Generation'!M$79)*Generation_Entsoe_SFS_2017!$D$3:$AL$40)+SUMPRODUCT((Generation_Entsoe_SFS_2017!$A$3:$A$40='Abgleich Generation'!$A105)*(Generation_Entsoe_SFS_2017!$D$1:$AL$1='Abgleich Generation'!M$78)*Generation_Entsoe_SFS_2017!$D$3:$AL$40)+SUMPRODUCT((Generation_Entsoe_SFS_2017!$A$3:$A$40='Abgleich Generation'!$A105)*(Generation_Entsoe_SFS_2017!$D$1:$AL$1='Abgleich Generation'!M$77)*Generation_Entsoe_SFS_2017!$D$3:$AL$40)+SUMPRODUCT((Generation_Entsoe_SFS_2017!$A$3:$A$40='Abgleich Generation'!$A105)*(Generation_Entsoe_SFS_2017!$D$1:$AL$1='Abgleich Generation'!M$76)*Generation_Entsoe_SFS_2017!$D$3:$AL$40)</f>
        <v>#VALUE!</v>
      </c>
      <c r="N105" s="26" t="e">
        <f>SUMPRODUCT((Generation_Entsoe_SFS_2017!$A$3:$A$40='Abgleich Generation'!$A105)*(Generation_Entsoe_SFS_2017!$D$1:$AL$1='Abgleich Generation'!N$81)*Generation_Entsoe_SFS_2017!$D$3:$AL$40)+SUMPRODUCT((Generation_Entsoe_SFS_2017!$A$3:$A$40='Abgleich Generation'!$A105)*(Generation_Entsoe_SFS_2017!$D$1:$AL$1='Abgleich Generation'!N$80)*Generation_Entsoe_SFS_2017!$D$3:$AL$40)+SUMPRODUCT((Generation_Entsoe_SFS_2017!$A$3:$A$40='Abgleich Generation'!$A105)*(Generation_Entsoe_SFS_2017!$D$1:$AL$1='Abgleich Generation'!N$79)*Generation_Entsoe_SFS_2017!$D$3:$AL$40)+SUMPRODUCT((Generation_Entsoe_SFS_2017!$A$3:$A$40='Abgleich Generation'!$A105)*(Generation_Entsoe_SFS_2017!$D$1:$AL$1='Abgleich Generation'!N$78)*Generation_Entsoe_SFS_2017!$D$3:$AL$40)+SUMPRODUCT((Generation_Entsoe_SFS_2017!$A$3:$A$40='Abgleich Generation'!$A105)*(Generation_Entsoe_SFS_2017!$D$1:$AL$1='Abgleich Generation'!N$77)*Generation_Entsoe_SFS_2017!$D$3:$AL$40)+SUMPRODUCT((Generation_Entsoe_SFS_2017!$A$3:$A$40='Abgleich Generation'!$A105)*(Generation_Entsoe_SFS_2017!$D$1:$AL$1='Abgleich Generation'!N$76)*Generation_Entsoe_SFS_2017!$D$3:$AL$40)</f>
        <v>#VALUE!</v>
      </c>
      <c r="O105" s="26" t="e">
        <f>SUMPRODUCT((Generation_Entsoe_SFS_2017!$A$3:$A$40='Abgleich Generation'!$A105)*(Generation_Entsoe_SFS_2017!$D$1:$AL$1='Abgleich Generation'!O$81)*Generation_Entsoe_SFS_2017!$D$3:$AL$40)+SUMPRODUCT((Generation_Entsoe_SFS_2017!$A$3:$A$40='Abgleich Generation'!$A105)*(Generation_Entsoe_SFS_2017!$D$1:$AL$1='Abgleich Generation'!O$80)*Generation_Entsoe_SFS_2017!$D$3:$AL$40)+SUMPRODUCT((Generation_Entsoe_SFS_2017!$A$3:$A$40='Abgleich Generation'!$A105)*(Generation_Entsoe_SFS_2017!$D$1:$AL$1='Abgleich Generation'!O$79)*Generation_Entsoe_SFS_2017!$D$3:$AL$40)+SUMPRODUCT((Generation_Entsoe_SFS_2017!$A$3:$A$40='Abgleich Generation'!$A105)*(Generation_Entsoe_SFS_2017!$D$1:$AL$1='Abgleich Generation'!O$78)*Generation_Entsoe_SFS_2017!$D$3:$AL$40)+SUMPRODUCT((Generation_Entsoe_SFS_2017!$A$3:$A$40='Abgleich Generation'!$A105)*(Generation_Entsoe_SFS_2017!$D$1:$AL$1='Abgleich Generation'!O$77)*Generation_Entsoe_SFS_2017!$D$3:$AL$40)+SUMPRODUCT((Generation_Entsoe_SFS_2017!$A$3:$A$40='Abgleich Generation'!$A105)*(Generation_Entsoe_SFS_2017!$D$1:$AL$1='Abgleich Generation'!O$76)*Generation_Entsoe_SFS_2017!$D$3:$AL$40)</f>
        <v>#VALUE!</v>
      </c>
      <c r="P105" s="26" t="e">
        <f>SUMPRODUCT((Generation_Entsoe_SFS_2017!$A$3:$A$40='Abgleich Generation'!$A105)*(Generation_Entsoe_SFS_2017!$D$1:$AL$1='Abgleich Generation'!P$81)*Generation_Entsoe_SFS_2017!$D$3:$AL$40)+SUMPRODUCT((Generation_Entsoe_SFS_2017!$A$3:$A$40='Abgleich Generation'!$A105)*(Generation_Entsoe_SFS_2017!$D$1:$AL$1='Abgleich Generation'!P$80)*Generation_Entsoe_SFS_2017!$D$3:$AL$40)+SUMPRODUCT((Generation_Entsoe_SFS_2017!$A$3:$A$40='Abgleich Generation'!$A105)*(Generation_Entsoe_SFS_2017!$D$1:$AL$1='Abgleich Generation'!P$79)*Generation_Entsoe_SFS_2017!$D$3:$AL$40)+SUMPRODUCT((Generation_Entsoe_SFS_2017!$A$3:$A$40='Abgleich Generation'!$A105)*(Generation_Entsoe_SFS_2017!$D$1:$AL$1='Abgleich Generation'!P$78)*Generation_Entsoe_SFS_2017!$D$3:$AL$40)+SUMPRODUCT((Generation_Entsoe_SFS_2017!$A$3:$A$40='Abgleich Generation'!$A105)*(Generation_Entsoe_SFS_2017!$D$1:$AL$1='Abgleich Generation'!P$77)*Generation_Entsoe_SFS_2017!$D$3:$AL$40)+SUMPRODUCT((Generation_Entsoe_SFS_2017!$A$3:$A$40='Abgleich Generation'!$A105)*(Generation_Entsoe_SFS_2017!$D$1:$AL$1='Abgleich Generation'!P$76)*Generation_Entsoe_SFS_2017!$D$3:$AL$40)</f>
        <v>#VALUE!</v>
      </c>
      <c r="Q105" s="26" t="e">
        <f>SUMPRODUCT((Generation_Entsoe_SFS_2017!$A$3:$A$40='Abgleich Generation'!$A105)*(Generation_Entsoe_SFS_2017!$D$1:$AL$1='Abgleich Generation'!Q$81)*Generation_Entsoe_SFS_2017!$D$3:$AL$40)+SUMPRODUCT((Generation_Entsoe_SFS_2017!$A$3:$A$40='Abgleich Generation'!$A105)*(Generation_Entsoe_SFS_2017!$D$1:$AL$1='Abgleich Generation'!Q$80)*Generation_Entsoe_SFS_2017!$D$3:$AL$40)+SUMPRODUCT((Generation_Entsoe_SFS_2017!$A$3:$A$40='Abgleich Generation'!$A105)*(Generation_Entsoe_SFS_2017!$D$1:$AL$1='Abgleich Generation'!Q$79)*Generation_Entsoe_SFS_2017!$D$3:$AL$40)+SUMPRODUCT((Generation_Entsoe_SFS_2017!$A$3:$A$40='Abgleich Generation'!$A105)*(Generation_Entsoe_SFS_2017!$D$1:$AL$1='Abgleich Generation'!Q$78)*Generation_Entsoe_SFS_2017!$D$3:$AL$40)+SUMPRODUCT((Generation_Entsoe_SFS_2017!$A$3:$A$40='Abgleich Generation'!$A105)*(Generation_Entsoe_SFS_2017!$D$1:$AL$1='Abgleich Generation'!Q$77)*Generation_Entsoe_SFS_2017!$D$3:$AL$40)+SUMPRODUCT((Generation_Entsoe_SFS_2017!$A$3:$A$40='Abgleich Generation'!$A105)*(Generation_Entsoe_SFS_2017!$D$1:$AL$1='Abgleich Generation'!Q$76)*Generation_Entsoe_SFS_2017!$D$3:$AL$40)</f>
        <v>#VALUE!</v>
      </c>
      <c r="R105" s="26" t="e">
        <f>SUMPRODUCT((Generation_Entsoe_SFS_2017!$A$3:$A$40='Abgleich Generation'!$A105)*(Generation_Entsoe_SFS_2017!$D$1:$AL$1='Abgleich Generation'!R$81)*Generation_Entsoe_SFS_2017!$D$3:$AL$40)+SUMPRODUCT((Generation_Entsoe_SFS_2017!$A$3:$A$40='Abgleich Generation'!$A105)*(Generation_Entsoe_SFS_2017!$D$1:$AL$1='Abgleich Generation'!R$80)*Generation_Entsoe_SFS_2017!$D$3:$AL$40)+SUMPRODUCT((Generation_Entsoe_SFS_2017!$A$3:$A$40='Abgleich Generation'!$A105)*(Generation_Entsoe_SFS_2017!$D$1:$AL$1='Abgleich Generation'!R$79)*Generation_Entsoe_SFS_2017!$D$3:$AL$40)+SUMPRODUCT((Generation_Entsoe_SFS_2017!$A$3:$A$40='Abgleich Generation'!$A105)*(Generation_Entsoe_SFS_2017!$D$1:$AL$1='Abgleich Generation'!R$78)*Generation_Entsoe_SFS_2017!$D$3:$AL$40)+SUMPRODUCT((Generation_Entsoe_SFS_2017!$A$3:$A$40='Abgleich Generation'!$A105)*(Generation_Entsoe_SFS_2017!$D$1:$AL$1='Abgleich Generation'!R$77)*Generation_Entsoe_SFS_2017!$D$3:$AL$40)+SUMPRODUCT((Generation_Entsoe_SFS_2017!$A$3:$A$40='Abgleich Generation'!$A105)*(Generation_Entsoe_SFS_2017!$D$1:$AL$1='Abgleich Generation'!R$76)*Generation_Entsoe_SFS_2017!$D$3:$AL$40)</f>
        <v>#VALUE!</v>
      </c>
      <c r="S105" s="26" t="e">
        <f>SUMPRODUCT((Generation_Entsoe_SFS_2017!$A$3:$A$40='Abgleich Generation'!$A105)*(Generation_Entsoe_SFS_2017!$D$1:$AL$1='Abgleich Generation'!S$81)*Generation_Entsoe_SFS_2017!$D$3:$AL$40)+SUMPRODUCT((Generation_Entsoe_SFS_2017!$A$3:$A$40='Abgleich Generation'!$A105)*(Generation_Entsoe_SFS_2017!$D$1:$AL$1='Abgleich Generation'!S$80)*Generation_Entsoe_SFS_2017!$D$3:$AL$40)+SUMPRODUCT((Generation_Entsoe_SFS_2017!$A$3:$A$40='Abgleich Generation'!$A105)*(Generation_Entsoe_SFS_2017!$D$1:$AL$1='Abgleich Generation'!S$79)*Generation_Entsoe_SFS_2017!$D$3:$AL$40)+SUMPRODUCT((Generation_Entsoe_SFS_2017!$A$3:$A$40='Abgleich Generation'!$A105)*(Generation_Entsoe_SFS_2017!$D$1:$AL$1='Abgleich Generation'!S$78)*Generation_Entsoe_SFS_2017!$D$3:$AL$40)+SUMPRODUCT((Generation_Entsoe_SFS_2017!$A$3:$A$40='Abgleich Generation'!$A105)*(Generation_Entsoe_SFS_2017!$D$1:$AL$1='Abgleich Generation'!S$77)*Generation_Entsoe_SFS_2017!$D$3:$AL$40)+SUMPRODUCT((Generation_Entsoe_SFS_2017!$A$3:$A$40='Abgleich Generation'!$A105)*(Generation_Entsoe_SFS_2017!$D$1:$AL$1='Abgleich Generation'!S$76)*Generation_Entsoe_SFS_2017!$D$3:$AL$40)</f>
        <v>#VALUE!</v>
      </c>
      <c r="T105" s="26" t="e">
        <f>SUMPRODUCT((Generation_Entsoe_SFS_2017!$A$3:$A$40='Abgleich Generation'!$A105)*(Generation_Entsoe_SFS_2017!$D$1:$AL$1='Abgleich Generation'!T$81)*Generation_Entsoe_SFS_2017!$D$3:$AL$40)+SUMPRODUCT((Generation_Entsoe_SFS_2017!$A$3:$A$40='Abgleich Generation'!$A105)*(Generation_Entsoe_SFS_2017!$D$1:$AL$1='Abgleich Generation'!T$80)*Generation_Entsoe_SFS_2017!$D$3:$AL$40)+SUMPRODUCT((Generation_Entsoe_SFS_2017!$A$3:$A$40='Abgleich Generation'!$A105)*(Generation_Entsoe_SFS_2017!$D$1:$AL$1='Abgleich Generation'!T$79)*Generation_Entsoe_SFS_2017!$D$3:$AL$40)+SUMPRODUCT((Generation_Entsoe_SFS_2017!$A$3:$A$40='Abgleich Generation'!$A105)*(Generation_Entsoe_SFS_2017!$D$1:$AL$1='Abgleich Generation'!T$78)*Generation_Entsoe_SFS_2017!$D$3:$AL$40)+SUMPRODUCT((Generation_Entsoe_SFS_2017!$A$3:$A$40='Abgleich Generation'!$A105)*(Generation_Entsoe_SFS_2017!$D$1:$AL$1='Abgleich Generation'!T$77)*Generation_Entsoe_SFS_2017!$D$3:$AL$40)+SUMPRODUCT((Generation_Entsoe_SFS_2017!$A$3:$A$40='Abgleich Generation'!$A105)*(Generation_Entsoe_SFS_2017!$D$1:$AL$1='Abgleich Generation'!T$76)*Generation_Entsoe_SFS_2017!$D$3:$AL$40)</f>
        <v>#VALUE!</v>
      </c>
      <c r="U105" s="26" t="e">
        <f>SUMPRODUCT((Generation_Entsoe_SFS_2017!$A$3:$A$40='Abgleich Generation'!$A105)*(Generation_Entsoe_SFS_2017!$D$1:$AL$1='Abgleich Generation'!U$81)*Generation_Entsoe_SFS_2017!$D$3:$AL$40)+SUMPRODUCT((Generation_Entsoe_SFS_2017!$A$3:$A$40='Abgleich Generation'!$A105)*(Generation_Entsoe_SFS_2017!$D$1:$AL$1='Abgleich Generation'!U$80)*Generation_Entsoe_SFS_2017!$D$3:$AL$40)+SUMPRODUCT((Generation_Entsoe_SFS_2017!$A$3:$A$40='Abgleich Generation'!$A105)*(Generation_Entsoe_SFS_2017!$D$1:$AL$1='Abgleich Generation'!U$79)*Generation_Entsoe_SFS_2017!$D$3:$AL$40)+SUMPRODUCT((Generation_Entsoe_SFS_2017!$A$3:$A$40='Abgleich Generation'!$A105)*(Generation_Entsoe_SFS_2017!$D$1:$AL$1='Abgleich Generation'!U$78)*Generation_Entsoe_SFS_2017!$D$3:$AL$40)+SUMPRODUCT((Generation_Entsoe_SFS_2017!$A$3:$A$40='Abgleich Generation'!$A105)*(Generation_Entsoe_SFS_2017!$D$1:$AL$1='Abgleich Generation'!U$77)*Generation_Entsoe_SFS_2017!$D$3:$AL$40)+SUMPRODUCT((Generation_Entsoe_SFS_2017!$A$3:$A$40='Abgleich Generation'!$A105)*(Generation_Entsoe_SFS_2017!$D$1:$AL$1='Abgleich Generation'!U$76)*Generation_Entsoe_SFS_2017!$D$3:$AL$40)</f>
        <v>#VALUE!</v>
      </c>
      <c r="V105" s="27" t="e">
        <f t="shared" si="63"/>
        <v>#VALUE!</v>
      </c>
      <c r="W105" s="28" t="e">
        <f>SUMPRODUCT((Generation_Entsoe_SFS_2017!$A$3:$A$40='Abgleich Generation'!$A105)*(Generation_Entsoe_SFS_2017!$D$1:$AL$1='Abgleich Generation'!W$81)*Generation_Entsoe_SFS_2017!$D$3:$AL$40)+SUMPRODUCT((Generation_Entsoe_SFS_2017!$A$3:$A$40='Abgleich Generation'!$A105)*(Generation_Entsoe_SFS_2017!$D$1:$AL$1='Abgleich Generation'!W$80)*Generation_Entsoe_SFS_2017!$D$3:$AL$40)+SUMPRODUCT((Generation_Entsoe_SFS_2017!$A$3:$A$40='Abgleich Generation'!$A105)*(Generation_Entsoe_SFS_2017!$D$1:$AL$1='Abgleich Generation'!W$79)*Generation_Entsoe_SFS_2017!$D$3:$AL$40)+SUMPRODUCT((Generation_Entsoe_SFS_2017!$A$3:$A$40='Abgleich Generation'!$A105)*(Generation_Entsoe_SFS_2017!$D$1:$AL$1='Abgleich Generation'!W$78)*Generation_Entsoe_SFS_2017!$D$3:$AL$40)+SUMPRODUCT((Generation_Entsoe_SFS_2017!$A$3:$A$40='Abgleich Generation'!$A105)*(Generation_Entsoe_SFS_2017!$D$1:$AL$1='Abgleich Generation'!W$77)*Generation_Entsoe_SFS_2017!$D$3:$AL$40)+SUMPRODUCT((Generation_Entsoe_SFS_2017!$A$3:$A$40='Abgleich Generation'!$A105)*(Generation_Entsoe_SFS_2017!$D$1:$AL$1='Abgleich Generation'!W$76)*Generation_Entsoe_SFS_2017!$D$3:$AL$40)</f>
        <v>#VALUE!</v>
      </c>
      <c r="X105" s="29" t="e">
        <f>SUMPRODUCT((Generation_Entsoe_SFS_2017!$A$3:$A$40='Abgleich Generation'!$A105)*(Generation_Entsoe_SFS_2017!$D$1:$AL$1='Abgleich Generation'!X$81)*Generation_Entsoe_SFS_2017!$D$3:$AL$40)+SUMPRODUCT((Generation_Entsoe_SFS_2017!$A$3:$A$40='Abgleich Generation'!$A105)*(Generation_Entsoe_SFS_2017!$D$1:$AL$1='Abgleich Generation'!X$80)*Generation_Entsoe_SFS_2017!$D$3:$AL$40)+SUMPRODUCT((Generation_Entsoe_SFS_2017!$A$3:$A$40='Abgleich Generation'!$A105)*(Generation_Entsoe_SFS_2017!$D$1:$AL$1='Abgleich Generation'!X$79)*Generation_Entsoe_SFS_2017!$D$3:$AL$40)+SUMPRODUCT((Generation_Entsoe_SFS_2017!$A$3:$A$40='Abgleich Generation'!$A105)*(Generation_Entsoe_SFS_2017!$D$1:$AL$1='Abgleich Generation'!X$78)*Generation_Entsoe_SFS_2017!$D$3:$AL$40)+SUMPRODUCT((Generation_Entsoe_SFS_2017!$A$3:$A$40='Abgleich Generation'!$A105)*(Generation_Entsoe_SFS_2017!$D$1:$AL$1='Abgleich Generation'!X$77)*Generation_Entsoe_SFS_2017!$D$3:$AL$40)+SUMPRODUCT((Generation_Entsoe_SFS_2017!$A$3:$A$40='Abgleich Generation'!$A105)*(Generation_Entsoe_SFS_2017!$D$1:$AL$1='Abgleich Generation'!X$76)*Generation_Entsoe_SFS_2017!$D$3:$AL$40)</f>
        <v>#VALUE!</v>
      </c>
      <c r="Y105" s="29" t="e">
        <f t="shared" si="64"/>
        <v>#VALUE!</v>
      </c>
    </row>
    <row r="106" spans="1:33" x14ac:dyDescent="0.25">
      <c r="A106" s="14" t="s">
        <v>32</v>
      </c>
      <c r="B106" s="57" t="e">
        <f t="shared" si="60"/>
        <v>#VALUE!</v>
      </c>
      <c r="C106" s="58" t="e">
        <f>SUMPRODUCT((Generation_Entsoe_SFS_2017!$A$3:$A$40='Abgleich Generation'!$A106)*(Generation_Entsoe_SFS_2017!$D$1:$AL$1='Abgleich Generation'!C$81)*Generation_Entsoe_SFS_2017!$D$3:$AL$40)+SUMPRODUCT((Generation_Entsoe_SFS_2017!$A$3:$A$40='Abgleich Generation'!$A106)*(Generation_Entsoe_SFS_2017!$D$1:$AL$1='Abgleich Generation'!C$80)*Generation_Entsoe_SFS_2017!$D$3:$AL$40)+SUMPRODUCT((Generation_Entsoe_SFS_2017!$A$3:$A$40='Abgleich Generation'!$A106)*(Generation_Entsoe_SFS_2017!$D$1:$AL$1='Abgleich Generation'!C$79)*Generation_Entsoe_SFS_2017!$D$3:$AL$40)+SUMPRODUCT((Generation_Entsoe_SFS_2017!$A$3:$A$40='Abgleich Generation'!$A106)*(Generation_Entsoe_SFS_2017!$D$1:$AL$1='Abgleich Generation'!C$78)*Generation_Entsoe_SFS_2017!$D$3:$AL$40)</f>
        <v>#VALUE!</v>
      </c>
      <c r="D106" s="58" t="e">
        <f t="shared" si="61"/>
        <v>#VALUE!</v>
      </c>
      <c r="E106" s="58" t="e">
        <f>SUMPRODUCT((Generation_Entsoe_SFS_2017!$A$3:$A$40='Abgleich Generation'!$A106)*(Generation_Entsoe_SFS_2017!$D$1:$AL$1='Abgleich Generation'!E$81)*Generation_Entsoe_SFS_2017!$D$3:$AL$40)+SUMPRODUCT((Generation_Entsoe_SFS_2017!$A$3:$A$40='Abgleich Generation'!$A106)*(Generation_Entsoe_SFS_2017!$D$1:$AL$1='Abgleich Generation'!E$80)*Generation_Entsoe_SFS_2017!$D$3:$AL$40)+SUMPRODUCT((Generation_Entsoe_SFS_2017!$A$3:$A$40='Abgleich Generation'!$A106)*(Generation_Entsoe_SFS_2017!$D$1:$AL$1='Abgleich Generation'!E$79)*Generation_Entsoe_SFS_2017!$D$3:$AL$40)+SUMPRODUCT((Generation_Entsoe_SFS_2017!$A$3:$A$40='Abgleich Generation'!$A106)*(Generation_Entsoe_SFS_2017!$D$1:$AL$1='Abgleich Generation'!E$78)*Generation_Entsoe_SFS_2017!$D$3:$AL$40)</f>
        <v>#VALUE!</v>
      </c>
      <c r="F106" s="58" t="e">
        <f>SUMPRODUCT((Generation_Entsoe_SFS_2017!$A$3:$A$40='Abgleich Generation'!$A106)*(Generation_Entsoe_SFS_2017!$D$1:$AL$1='Abgleich Generation'!F$81)*Generation_Entsoe_SFS_2017!$D$3:$AL$40)+SUMPRODUCT((Generation_Entsoe_SFS_2017!$A$3:$A$40='Abgleich Generation'!$A106)*(Generation_Entsoe_SFS_2017!$D$1:$AL$1='Abgleich Generation'!F$80)*Generation_Entsoe_SFS_2017!$D$3:$AL$40)+SUMPRODUCT((Generation_Entsoe_SFS_2017!$A$3:$A$40='Abgleich Generation'!$A106)*(Generation_Entsoe_SFS_2017!$D$1:$AL$1='Abgleich Generation'!F$79)*Generation_Entsoe_SFS_2017!$D$3:$AL$40)+SUMPRODUCT((Generation_Entsoe_SFS_2017!$A$3:$A$40='Abgleich Generation'!$A106)*(Generation_Entsoe_SFS_2017!$D$1:$AL$1='Abgleich Generation'!F$78)*Generation_Entsoe_SFS_2017!$D$3:$AL$40)</f>
        <v>#VALUE!</v>
      </c>
      <c r="G106" s="58" t="e">
        <f>SUMPRODUCT((Generation_Entsoe_SFS_2017!$A$3:$A$40='Abgleich Generation'!$A106)*(Generation_Entsoe_SFS_2017!$D$1:$AL$1='Abgleich Generation'!G$81)*Generation_Entsoe_SFS_2017!$D$3:$AL$40)+SUMPRODUCT((Generation_Entsoe_SFS_2017!$A$3:$A$40='Abgleich Generation'!$A106)*(Generation_Entsoe_SFS_2017!$D$1:$AL$1='Abgleich Generation'!G$80)*Generation_Entsoe_SFS_2017!$D$3:$AL$40)+SUMPRODUCT((Generation_Entsoe_SFS_2017!$A$3:$A$40='Abgleich Generation'!$A106)*(Generation_Entsoe_SFS_2017!$D$1:$AL$1='Abgleich Generation'!G$79)*Generation_Entsoe_SFS_2017!$D$3:$AL$40)+SUMPRODUCT((Generation_Entsoe_SFS_2017!$A$3:$A$40='Abgleich Generation'!$A106)*(Generation_Entsoe_SFS_2017!$D$1:$AL$1='Abgleich Generation'!G$78)*Generation_Entsoe_SFS_2017!$D$3:$AL$40)</f>
        <v>#VALUE!</v>
      </c>
      <c r="H106" s="58" t="e">
        <f>SUMPRODUCT((Generation_Entsoe_SFS_2017!$A$3:$A$40='Abgleich Generation'!$A106)*(Generation_Entsoe_SFS_2017!$D$1:$AL$1='Abgleich Generation'!H$81)*Generation_Entsoe_SFS_2017!$D$3:$AL$40)+SUMPRODUCT((Generation_Entsoe_SFS_2017!$A$3:$A$40='Abgleich Generation'!$A106)*(Generation_Entsoe_SFS_2017!$D$1:$AL$1='Abgleich Generation'!H$80)*Generation_Entsoe_SFS_2017!$D$3:$AL$40)+SUMPRODUCT((Generation_Entsoe_SFS_2017!$A$3:$A$40='Abgleich Generation'!$A106)*(Generation_Entsoe_SFS_2017!$D$1:$AL$1='Abgleich Generation'!H$79)*Generation_Entsoe_SFS_2017!$D$3:$AL$40)+SUMPRODUCT((Generation_Entsoe_SFS_2017!$A$3:$A$40='Abgleich Generation'!$A106)*(Generation_Entsoe_SFS_2017!$D$1:$AL$1='Abgleich Generation'!H$78)*Generation_Entsoe_SFS_2017!$D$3:$AL$40)</f>
        <v>#VALUE!</v>
      </c>
      <c r="I106" s="58" t="e">
        <f>SUMPRODUCT((Generation_Entsoe_SFS_2017!$A$3:$A$40='Abgleich Generation'!$A106)*(Generation_Entsoe_SFS_2017!$D$1:$AL$1='Abgleich Generation'!I$81)*Generation_Entsoe_SFS_2017!$D$3:$AL$40)+SUMPRODUCT((Generation_Entsoe_SFS_2017!$A$3:$A$40='Abgleich Generation'!$A106)*(Generation_Entsoe_SFS_2017!$D$1:$AL$1='Abgleich Generation'!I$80)*Generation_Entsoe_SFS_2017!$D$3:$AL$40)+SUMPRODUCT((Generation_Entsoe_SFS_2017!$A$3:$A$40='Abgleich Generation'!$A106)*(Generation_Entsoe_SFS_2017!$D$1:$AL$1='Abgleich Generation'!I$79)*Generation_Entsoe_SFS_2017!$D$3:$AL$40)+SUMPRODUCT((Generation_Entsoe_SFS_2017!$A$3:$A$40='Abgleich Generation'!$A106)*(Generation_Entsoe_SFS_2017!$D$1:$AL$1='Abgleich Generation'!I$78)*Generation_Entsoe_SFS_2017!$D$3:$AL$40)</f>
        <v>#VALUE!</v>
      </c>
      <c r="J106" s="58" t="e">
        <f>SUMPRODUCT((Generation_Entsoe_SFS_2017!$A$3:$A$40='Abgleich Generation'!$A106)*(Generation_Entsoe_SFS_2017!$D$1:$AL$1='Abgleich Generation'!J$81)*Generation_Entsoe_SFS_2017!$D$3:$AL$40)+SUMPRODUCT((Generation_Entsoe_SFS_2017!$A$3:$A$40='Abgleich Generation'!$A106)*(Generation_Entsoe_SFS_2017!$D$1:$AL$1='Abgleich Generation'!J$80)*Generation_Entsoe_SFS_2017!$D$3:$AL$40)+SUMPRODUCT((Generation_Entsoe_SFS_2017!$A$3:$A$40='Abgleich Generation'!$A106)*(Generation_Entsoe_SFS_2017!$D$1:$AL$1='Abgleich Generation'!J$79)*Generation_Entsoe_SFS_2017!$D$3:$AL$40)+SUMPRODUCT((Generation_Entsoe_SFS_2017!$A$3:$A$40='Abgleich Generation'!$A106)*(Generation_Entsoe_SFS_2017!$D$1:$AL$1='Abgleich Generation'!J$78)*Generation_Entsoe_SFS_2017!$D$3:$AL$40)</f>
        <v>#VALUE!</v>
      </c>
      <c r="K106" s="59" t="e">
        <f t="shared" si="62"/>
        <v>#VALUE!</v>
      </c>
      <c r="L106" s="58" t="e">
        <f>SUMPRODUCT((Generation_Entsoe_SFS_2017!$A$3:$A$40='Abgleich Generation'!$A106)*(Generation_Entsoe_SFS_2017!$D$1:$AL$1='Abgleich Generation'!L$81)*Generation_Entsoe_SFS_2017!$D$3:$AL$40)+SUMPRODUCT((Generation_Entsoe_SFS_2017!$A$3:$A$40='Abgleich Generation'!$A106)*(Generation_Entsoe_SFS_2017!$D$1:$AL$1='Abgleich Generation'!L$80)*Generation_Entsoe_SFS_2017!$D$3:$AL$40)+SUMPRODUCT((Generation_Entsoe_SFS_2017!$A$3:$A$40='Abgleich Generation'!$A106)*(Generation_Entsoe_SFS_2017!$D$1:$AL$1='Abgleich Generation'!L$79)*Generation_Entsoe_SFS_2017!$D$3:$AL$40)+SUMPRODUCT((Generation_Entsoe_SFS_2017!$A$3:$A$40='Abgleich Generation'!$A106)*(Generation_Entsoe_SFS_2017!$D$1:$AL$1='Abgleich Generation'!L$78)*Generation_Entsoe_SFS_2017!$D$3:$AL$40)+SUMPRODUCT((Generation_Entsoe_SFS_2017!$A$3:$A$40='Abgleich Generation'!$A106)*(Generation_Entsoe_SFS_2017!$D$1:$AL$1='Abgleich Generation'!L$77)*Generation_Entsoe_SFS_2017!$D$3:$AL$40)+SUMPRODUCT((Generation_Entsoe_SFS_2017!$A$3:$A$40='Abgleich Generation'!$A106)*(Generation_Entsoe_SFS_2017!$D$1:$AL$1='Abgleich Generation'!L$76)*Generation_Entsoe_SFS_2017!$D$3:$AL$40)</f>
        <v>#VALUE!</v>
      </c>
      <c r="M106" s="58" t="e">
        <f>SUMPRODUCT((Generation_Entsoe_SFS_2017!$A$3:$A$40='Abgleich Generation'!$A106)*(Generation_Entsoe_SFS_2017!$D$1:$AL$1='Abgleich Generation'!M$81)*Generation_Entsoe_SFS_2017!$D$3:$AL$40)+SUMPRODUCT((Generation_Entsoe_SFS_2017!$A$3:$A$40='Abgleich Generation'!$A106)*(Generation_Entsoe_SFS_2017!$D$1:$AL$1='Abgleich Generation'!M$80)*Generation_Entsoe_SFS_2017!$D$3:$AL$40)+SUMPRODUCT((Generation_Entsoe_SFS_2017!$A$3:$A$40='Abgleich Generation'!$A106)*(Generation_Entsoe_SFS_2017!$D$1:$AL$1='Abgleich Generation'!M$79)*Generation_Entsoe_SFS_2017!$D$3:$AL$40)+SUMPRODUCT((Generation_Entsoe_SFS_2017!$A$3:$A$40='Abgleich Generation'!$A106)*(Generation_Entsoe_SFS_2017!$D$1:$AL$1='Abgleich Generation'!M$78)*Generation_Entsoe_SFS_2017!$D$3:$AL$40)+SUMPRODUCT((Generation_Entsoe_SFS_2017!$A$3:$A$40='Abgleich Generation'!$A106)*(Generation_Entsoe_SFS_2017!$D$1:$AL$1='Abgleich Generation'!M$77)*Generation_Entsoe_SFS_2017!$D$3:$AL$40)+SUMPRODUCT((Generation_Entsoe_SFS_2017!$A$3:$A$40='Abgleich Generation'!$A106)*(Generation_Entsoe_SFS_2017!$D$1:$AL$1='Abgleich Generation'!M$76)*Generation_Entsoe_SFS_2017!$D$3:$AL$40)</f>
        <v>#VALUE!</v>
      </c>
      <c r="N106" s="58" t="e">
        <f>SUMPRODUCT((Generation_Entsoe_SFS_2017!$A$3:$A$40='Abgleich Generation'!$A106)*(Generation_Entsoe_SFS_2017!$D$1:$AL$1='Abgleich Generation'!N$81)*Generation_Entsoe_SFS_2017!$D$3:$AL$40)+SUMPRODUCT((Generation_Entsoe_SFS_2017!$A$3:$A$40='Abgleich Generation'!$A106)*(Generation_Entsoe_SFS_2017!$D$1:$AL$1='Abgleich Generation'!N$80)*Generation_Entsoe_SFS_2017!$D$3:$AL$40)+SUMPRODUCT((Generation_Entsoe_SFS_2017!$A$3:$A$40='Abgleich Generation'!$A106)*(Generation_Entsoe_SFS_2017!$D$1:$AL$1='Abgleich Generation'!N$79)*Generation_Entsoe_SFS_2017!$D$3:$AL$40)+SUMPRODUCT((Generation_Entsoe_SFS_2017!$A$3:$A$40='Abgleich Generation'!$A106)*(Generation_Entsoe_SFS_2017!$D$1:$AL$1='Abgleich Generation'!N$78)*Generation_Entsoe_SFS_2017!$D$3:$AL$40)+SUMPRODUCT((Generation_Entsoe_SFS_2017!$A$3:$A$40='Abgleich Generation'!$A106)*(Generation_Entsoe_SFS_2017!$D$1:$AL$1='Abgleich Generation'!N$77)*Generation_Entsoe_SFS_2017!$D$3:$AL$40)+SUMPRODUCT((Generation_Entsoe_SFS_2017!$A$3:$A$40='Abgleich Generation'!$A106)*(Generation_Entsoe_SFS_2017!$D$1:$AL$1='Abgleich Generation'!N$76)*Generation_Entsoe_SFS_2017!$D$3:$AL$40)</f>
        <v>#VALUE!</v>
      </c>
      <c r="O106" s="58" t="e">
        <f>SUMPRODUCT((Generation_Entsoe_SFS_2017!$A$3:$A$40='Abgleich Generation'!$A106)*(Generation_Entsoe_SFS_2017!$D$1:$AL$1='Abgleich Generation'!O$81)*Generation_Entsoe_SFS_2017!$D$3:$AL$40)+SUMPRODUCT((Generation_Entsoe_SFS_2017!$A$3:$A$40='Abgleich Generation'!$A106)*(Generation_Entsoe_SFS_2017!$D$1:$AL$1='Abgleich Generation'!O$80)*Generation_Entsoe_SFS_2017!$D$3:$AL$40)+SUMPRODUCT((Generation_Entsoe_SFS_2017!$A$3:$A$40='Abgleich Generation'!$A106)*(Generation_Entsoe_SFS_2017!$D$1:$AL$1='Abgleich Generation'!O$79)*Generation_Entsoe_SFS_2017!$D$3:$AL$40)+SUMPRODUCT((Generation_Entsoe_SFS_2017!$A$3:$A$40='Abgleich Generation'!$A106)*(Generation_Entsoe_SFS_2017!$D$1:$AL$1='Abgleich Generation'!O$78)*Generation_Entsoe_SFS_2017!$D$3:$AL$40)+SUMPRODUCT((Generation_Entsoe_SFS_2017!$A$3:$A$40='Abgleich Generation'!$A106)*(Generation_Entsoe_SFS_2017!$D$1:$AL$1='Abgleich Generation'!O$77)*Generation_Entsoe_SFS_2017!$D$3:$AL$40)+SUMPRODUCT((Generation_Entsoe_SFS_2017!$A$3:$A$40='Abgleich Generation'!$A106)*(Generation_Entsoe_SFS_2017!$D$1:$AL$1='Abgleich Generation'!O$76)*Generation_Entsoe_SFS_2017!$D$3:$AL$40)</f>
        <v>#VALUE!</v>
      </c>
      <c r="P106" s="58" t="e">
        <f>SUMPRODUCT((Generation_Entsoe_SFS_2017!$A$3:$A$40='Abgleich Generation'!$A106)*(Generation_Entsoe_SFS_2017!$D$1:$AL$1='Abgleich Generation'!P$81)*Generation_Entsoe_SFS_2017!$D$3:$AL$40)+SUMPRODUCT((Generation_Entsoe_SFS_2017!$A$3:$A$40='Abgleich Generation'!$A106)*(Generation_Entsoe_SFS_2017!$D$1:$AL$1='Abgleich Generation'!P$80)*Generation_Entsoe_SFS_2017!$D$3:$AL$40)+SUMPRODUCT((Generation_Entsoe_SFS_2017!$A$3:$A$40='Abgleich Generation'!$A106)*(Generation_Entsoe_SFS_2017!$D$1:$AL$1='Abgleich Generation'!P$79)*Generation_Entsoe_SFS_2017!$D$3:$AL$40)+SUMPRODUCT((Generation_Entsoe_SFS_2017!$A$3:$A$40='Abgleich Generation'!$A106)*(Generation_Entsoe_SFS_2017!$D$1:$AL$1='Abgleich Generation'!P$78)*Generation_Entsoe_SFS_2017!$D$3:$AL$40)+SUMPRODUCT((Generation_Entsoe_SFS_2017!$A$3:$A$40='Abgleich Generation'!$A106)*(Generation_Entsoe_SFS_2017!$D$1:$AL$1='Abgleich Generation'!P$77)*Generation_Entsoe_SFS_2017!$D$3:$AL$40)+SUMPRODUCT((Generation_Entsoe_SFS_2017!$A$3:$A$40='Abgleich Generation'!$A106)*(Generation_Entsoe_SFS_2017!$D$1:$AL$1='Abgleich Generation'!P$76)*Generation_Entsoe_SFS_2017!$D$3:$AL$40)</f>
        <v>#VALUE!</v>
      </c>
      <c r="Q106" s="58" t="e">
        <f>SUMPRODUCT((Generation_Entsoe_SFS_2017!$A$3:$A$40='Abgleich Generation'!$A106)*(Generation_Entsoe_SFS_2017!$D$1:$AL$1='Abgleich Generation'!Q$81)*Generation_Entsoe_SFS_2017!$D$3:$AL$40)+SUMPRODUCT((Generation_Entsoe_SFS_2017!$A$3:$A$40='Abgleich Generation'!$A106)*(Generation_Entsoe_SFS_2017!$D$1:$AL$1='Abgleich Generation'!Q$80)*Generation_Entsoe_SFS_2017!$D$3:$AL$40)+SUMPRODUCT((Generation_Entsoe_SFS_2017!$A$3:$A$40='Abgleich Generation'!$A106)*(Generation_Entsoe_SFS_2017!$D$1:$AL$1='Abgleich Generation'!Q$79)*Generation_Entsoe_SFS_2017!$D$3:$AL$40)+SUMPRODUCT((Generation_Entsoe_SFS_2017!$A$3:$A$40='Abgleich Generation'!$A106)*(Generation_Entsoe_SFS_2017!$D$1:$AL$1='Abgleich Generation'!Q$78)*Generation_Entsoe_SFS_2017!$D$3:$AL$40)+SUMPRODUCT((Generation_Entsoe_SFS_2017!$A$3:$A$40='Abgleich Generation'!$A106)*(Generation_Entsoe_SFS_2017!$D$1:$AL$1='Abgleich Generation'!Q$77)*Generation_Entsoe_SFS_2017!$D$3:$AL$40)+SUMPRODUCT((Generation_Entsoe_SFS_2017!$A$3:$A$40='Abgleich Generation'!$A106)*(Generation_Entsoe_SFS_2017!$D$1:$AL$1='Abgleich Generation'!Q$76)*Generation_Entsoe_SFS_2017!$D$3:$AL$40)</f>
        <v>#VALUE!</v>
      </c>
      <c r="R106" s="58" t="e">
        <f>SUMPRODUCT((Generation_Entsoe_SFS_2017!$A$3:$A$40='Abgleich Generation'!$A106)*(Generation_Entsoe_SFS_2017!$D$1:$AL$1='Abgleich Generation'!R$81)*Generation_Entsoe_SFS_2017!$D$3:$AL$40)+SUMPRODUCT((Generation_Entsoe_SFS_2017!$A$3:$A$40='Abgleich Generation'!$A106)*(Generation_Entsoe_SFS_2017!$D$1:$AL$1='Abgleich Generation'!R$80)*Generation_Entsoe_SFS_2017!$D$3:$AL$40)+SUMPRODUCT((Generation_Entsoe_SFS_2017!$A$3:$A$40='Abgleich Generation'!$A106)*(Generation_Entsoe_SFS_2017!$D$1:$AL$1='Abgleich Generation'!R$79)*Generation_Entsoe_SFS_2017!$D$3:$AL$40)+SUMPRODUCT((Generation_Entsoe_SFS_2017!$A$3:$A$40='Abgleich Generation'!$A106)*(Generation_Entsoe_SFS_2017!$D$1:$AL$1='Abgleich Generation'!R$78)*Generation_Entsoe_SFS_2017!$D$3:$AL$40)+SUMPRODUCT((Generation_Entsoe_SFS_2017!$A$3:$A$40='Abgleich Generation'!$A106)*(Generation_Entsoe_SFS_2017!$D$1:$AL$1='Abgleich Generation'!R$77)*Generation_Entsoe_SFS_2017!$D$3:$AL$40)+SUMPRODUCT((Generation_Entsoe_SFS_2017!$A$3:$A$40='Abgleich Generation'!$A106)*(Generation_Entsoe_SFS_2017!$D$1:$AL$1='Abgleich Generation'!R$76)*Generation_Entsoe_SFS_2017!$D$3:$AL$40)</f>
        <v>#VALUE!</v>
      </c>
      <c r="S106" s="58" t="e">
        <f>SUMPRODUCT((Generation_Entsoe_SFS_2017!$A$3:$A$40='Abgleich Generation'!$A106)*(Generation_Entsoe_SFS_2017!$D$1:$AL$1='Abgleich Generation'!S$81)*Generation_Entsoe_SFS_2017!$D$3:$AL$40)+SUMPRODUCT((Generation_Entsoe_SFS_2017!$A$3:$A$40='Abgleich Generation'!$A106)*(Generation_Entsoe_SFS_2017!$D$1:$AL$1='Abgleich Generation'!S$80)*Generation_Entsoe_SFS_2017!$D$3:$AL$40)+SUMPRODUCT((Generation_Entsoe_SFS_2017!$A$3:$A$40='Abgleich Generation'!$A106)*(Generation_Entsoe_SFS_2017!$D$1:$AL$1='Abgleich Generation'!S$79)*Generation_Entsoe_SFS_2017!$D$3:$AL$40)+SUMPRODUCT((Generation_Entsoe_SFS_2017!$A$3:$A$40='Abgleich Generation'!$A106)*(Generation_Entsoe_SFS_2017!$D$1:$AL$1='Abgleich Generation'!S$78)*Generation_Entsoe_SFS_2017!$D$3:$AL$40)+SUMPRODUCT((Generation_Entsoe_SFS_2017!$A$3:$A$40='Abgleich Generation'!$A106)*(Generation_Entsoe_SFS_2017!$D$1:$AL$1='Abgleich Generation'!S$77)*Generation_Entsoe_SFS_2017!$D$3:$AL$40)+SUMPRODUCT((Generation_Entsoe_SFS_2017!$A$3:$A$40='Abgleich Generation'!$A106)*(Generation_Entsoe_SFS_2017!$D$1:$AL$1='Abgleich Generation'!S$76)*Generation_Entsoe_SFS_2017!$D$3:$AL$40)</f>
        <v>#VALUE!</v>
      </c>
      <c r="T106" s="58" t="e">
        <f>SUMPRODUCT((Generation_Entsoe_SFS_2017!$A$3:$A$40='Abgleich Generation'!$A106)*(Generation_Entsoe_SFS_2017!$D$1:$AL$1='Abgleich Generation'!T$81)*Generation_Entsoe_SFS_2017!$D$3:$AL$40)+SUMPRODUCT((Generation_Entsoe_SFS_2017!$A$3:$A$40='Abgleich Generation'!$A106)*(Generation_Entsoe_SFS_2017!$D$1:$AL$1='Abgleich Generation'!T$80)*Generation_Entsoe_SFS_2017!$D$3:$AL$40)+SUMPRODUCT((Generation_Entsoe_SFS_2017!$A$3:$A$40='Abgleich Generation'!$A106)*(Generation_Entsoe_SFS_2017!$D$1:$AL$1='Abgleich Generation'!T$79)*Generation_Entsoe_SFS_2017!$D$3:$AL$40)+SUMPRODUCT((Generation_Entsoe_SFS_2017!$A$3:$A$40='Abgleich Generation'!$A106)*(Generation_Entsoe_SFS_2017!$D$1:$AL$1='Abgleich Generation'!T$78)*Generation_Entsoe_SFS_2017!$D$3:$AL$40)+SUMPRODUCT((Generation_Entsoe_SFS_2017!$A$3:$A$40='Abgleich Generation'!$A106)*(Generation_Entsoe_SFS_2017!$D$1:$AL$1='Abgleich Generation'!T$77)*Generation_Entsoe_SFS_2017!$D$3:$AL$40)+SUMPRODUCT((Generation_Entsoe_SFS_2017!$A$3:$A$40='Abgleich Generation'!$A106)*(Generation_Entsoe_SFS_2017!$D$1:$AL$1='Abgleich Generation'!T$76)*Generation_Entsoe_SFS_2017!$D$3:$AL$40)</f>
        <v>#VALUE!</v>
      </c>
      <c r="U106" s="58" t="e">
        <f>SUMPRODUCT((Generation_Entsoe_SFS_2017!$A$3:$A$40='Abgleich Generation'!$A106)*(Generation_Entsoe_SFS_2017!$D$1:$AL$1='Abgleich Generation'!U$81)*Generation_Entsoe_SFS_2017!$D$3:$AL$40)+SUMPRODUCT((Generation_Entsoe_SFS_2017!$A$3:$A$40='Abgleich Generation'!$A106)*(Generation_Entsoe_SFS_2017!$D$1:$AL$1='Abgleich Generation'!U$80)*Generation_Entsoe_SFS_2017!$D$3:$AL$40)+SUMPRODUCT((Generation_Entsoe_SFS_2017!$A$3:$A$40='Abgleich Generation'!$A106)*(Generation_Entsoe_SFS_2017!$D$1:$AL$1='Abgleich Generation'!U$79)*Generation_Entsoe_SFS_2017!$D$3:$AL$40)+SUMPRODUCT((Generation_Entsoe_SFS_2017!$A$3:$A$40='Abgleich Generation'!$A106)*(Generation_Entsoe_SFS_2017!$D$1:$AL$1='Abgleich Generation'!U$78)*Generation_Entsoe_SFS_2017!$D$3:$AL$40)+SUMPRODUCT((Generation_Entsoe_SFS_2017!$A$3:$A$40='Abgleich Generation'!$A106)*(Generation_Entsoe_SFS_2017!$D$1:$AL$1='Abgleich Generation'!U$77)*Generation_Entsoe_SFS_2017!$D$3:$AL$40)+SUMPRODUCT((Generation_Entsoe_SFS_2017!$A$3:$A$40='Abgleich Generation'!$A106)*(Generation_Entsoe_SFS_2017!$D$1:$AL$1='Abgleich Generation'!U$76)*Generation_Entsoe_SFS_2017!$D$3:$AL$40)</f>
        <v>#VALUE!</v>
      </c>
      <c r="V106" s="59" t="e">
        <f t="shared" si="63"/>
        <v>#VALUE!</v>
      </c>
      <c r="W106" s="60" t="e">
        <f>SUMPRODUCT((Generation_Entsoe_SFS_2017!$A$3:$A$40='Abgleich Generation'!$A106)*(Generation_Entsoe_SFS_2017!$D$1:$AL$1='Abgleich Generation'!W$81)*Generation_Entsoe_SFS_2017!$D$3:$AL$40)+SUMPRODUCT((Generation_Entsoe_SFS_2017!$A$3:$A$40='Abgleich Generation'!$A106)*(Generation_Entsoe_SFS_2017!$D$1:$AL$1='Abgleich Generation'!W$80)*Generation_Entsoe_SFS_2017!$D$3:$AL$40)+SUMPRODUCT((Generation_Entsoe_SFS_2017!$A$3:$A$40='Abgleich Generation'!$A106)*(Generation_Entsoe_SFS_2017!$D$1:$AL$1='Abgleich Generation'!W$79)*Generation_Entsoe_SFS_2017!$D$3:$AL$40)+SUMPRODUCT((Generation_Entsoe_SFS_2017!$A$3:$A$40='Abgleich Generation'!$A106)*(Generation_Entsoe_SFS_2017!$D$1:$AL$1='Abgleich Generation'!W$78)*Generation_Entsoe_SFS_2017!$D$3:$AL$40)+SUMPRODUCT((Generation_Entsoe_SFS_2017!$A$3:$A$40='Abgleich Generation'!$A106)*(Generation_Entsoe_SFS_2017!$D$1:$AL$1='Abgleich Generation'!W$77)*Generation_Entsoe_SFS_2017!$D$3:$AL$40)+SUMPRODUCT((Generation_Entsoe_SFS_2017!$A$3:$A$40='Abgleich Generation'!$A106)*(Generation_Entsoe_SFS_2017!$D$1:$AL$1='Abgleich Generation'!W$76)*Generation_Entsoe_SFS_2017!$D$3:$AL$40)</f>
        <v>#VALUE!</v>
      </c>
      <c r="X106" s="61" t="e">
        <f>SUMPRODUCT((Generation_Entsoe_SFS_2017!$A$3:$A$40='Abgleich Generation'!$A106)*(Generation_Entsoe_SFS_2017!$D$1:$AL$1='Abgleich Generation'!X$81)*Generation_Entsoe_SFS_2017!$D$3:$AL$40)+SUMPRODUCT((Generation_Entsoe_SFS_2017!$A$3:$A$40='Abgleich Generation'!$A106)*(Generation_Entsoe_SFS_2017!$D$1:$AL$1='Abgleich Generation'!X$80)*Generation_Entsoe_SFS_2017!$D$3:$AL$40)+SUMPRODUCT((Generation_Entsoe_SFS_2017!$A$3:$A$40='Abgleich Generation'!$A106)*(Generation_Entsoe_SFS_2017!$D$1:$AL$1='Abgleich Generation'!X$79)*Generation_Entsoe_SFS_2017!$D$3:$AL$40)+SUMPRODUCT((Generation_Entsoe_SFS_2017!$A$3:$A$40='Abgleich Generation'!$A106)*(Generation_Entsoe_SFS_2017!$D$1:$AL$1='Abgleich Generation'!X$78)*Generation_Entsoe_SFS_2017!$D$3:$AL$40)+SUMPRODUCT((Generation_Entsoe_SFS_2017!$A$3:$A$40='Abgleich Generation'!$A106)*(Generation_Entsoe_SFS_2017!$D$1:$AL$1='Abgleich Generation'!X$77)*Generation_Entsoe_SFS_2017!$D$3:$AL$40)+SUMPRODUCT((Generation_Entsoe_SFS_2017!$A$3:$A$40='Abgleich Generation'!$A106)*(Generation_Entsoe_SFS_2017!$D$1:$AL$1='Abgleich Generation'!X$76)*Generation_Entsoe_SFS_2017!$D$3:$AL$40)</f>
        <v>#VALUE!</v>
      </c>
      <c r="Y106" s="61" t="e">
        <f t="shared" si="64"/>
        <v>#VALUE!</v>
      </c>
    </row>
    <row r="107" spans="1:33" x14ac:dyDescent="0.25">
      <c r="A107" s="14" t="s">
        <v>33</v>
      </c>
      <c r="B107" s="25" t="e">
        <f t="shared" si="60"/>
        <v>#VALUE!</v>
      </c>
      <c r="C107" s="26" t="e">
        <f>SUMPRODUCT((Generation_Entsoe_SFS_2017!$A$3:$A$40='Abgleich Generation'!$A107)*(Generation_Entsoe_SFS_2017!$D$1:$AL$1='Abgleich Generation'!C$81)*Generation_Entsoe_SFS_2017!$D$3:$AL$40)+SUMPRODUCT((Generation_Entsoe_SFS_2017!$A$3:$A$40='Abgleich Generation'!$A107)*(Generation_Entsoe_SFS_2017!$D$1:$AL$1='Abgleich Generation'!C$80)*Generation_Entsoe_SFS_2017!$D$3:$AL$40)+SUMPRODUCT((Generation_Entsoe_SFS_2017!$A$3:$A$40='Abgleich Generation'!$A107)*(Generation_Entsoe_SFS_2017!$D$1:$AL$1='Abgleich Generation'!C$79)*Generation_Entsoe_SFS_2017!$D$3:$AL$40)+SUMPRODUCT((Generation_Entsoe_SFS_2017!$A$3:$A$40='Abgleich Generation'!$A107)*(Generation_Entsoe_SFS_2017!$D$1:$AL$1='Abgleich Generation'!C$78)*Generation_Entsoe_SFS_2017!$D$3:$AL$40)</f>
        <v>#VALUE!</v>
      </c>
      <c r="D107" s="26" t="e">
        <f t="shared" si="61"/>
        <v>#VALUE!</v>
      </c>
      <c r="E107" s="26" t="e">
        <f>SUMPRODUCT((Generation_Entsoe_SFS_2017!$A$3:$A$40='Abgleich Generation'!$A107)*(Generation_Entsoe_SFS_2017!$D$1:$AL$1='Abgleich Generation'!E$81)*Generation_Entsoe_SFS_2017!$D$3:$AL$40)+SUMPRODUCT((Generation_Entsoe_SFS_2017!$A$3:$A$40='Abgleich Generation'!$A107)*(Generation_Entsoe_SFS_2017!$D$1:$AL$1='Abgleich Generation'!E$80)*Generation_Entsoe_SFS_2017!$D$3:$AL$40)+SUMPRODUCT((Generation_Entsoe_SFS_2017!$A$3:$A$40='Abgleich Generation'!$A107)*(Generation_Entsoe_SFS_2017!$D$1:$AL$1='Abgleich Generation'!E$79)*Generation_Entsoe_SFS_2017!$D$3:$AL$40)+SUMPRODUCT((Generation_Entsoe_SFS_2017!$A$3:$A$40='Abgleich Generation'!$A107)*(Generation_Entsoe_SFS_2017!$D$1:$AL$1='Abgleich Generation'!E$78)*Generation_Entsoe_SFS_2017!$D$3:$AL$40)</f>
        <v>#VALUE!</v>
      </c>
      <c r="F107" s="26" t="e">
        <f>SUMPRODUCT((Generation_Entsoe_SFS_2017!$A$3:$A$40='Abgleich Generation'!$A107)*(Generation_Entsoe_SFS_2017!$D$1:$AL$1='Abgleich Generation'!F$81)*Generation_Entsoe_SFS_2017!$D$3:$AL$40)+SUMPRODUCT((Generation_Entsoe_SFS_2017!$A$3:$A$40='Abgleich Generation'!$A107)*(Generation_Entsoe_SFS_2017!$D$1:$AL$1='Abgleich Generation'!F$80)*Generation_Entsoe_SFS_2017!$D$3:$AL$40)+SUMPRODUCT((Generation_Entsoe_SFS_2017!$A$3:$A$40='Abgleich Generation'!$A107)*(Generation_Entsoe_SFS_2017!$D$1:$AL$1='Abgleich Generation'!F$79)*Generation_Entsoe_SFS_2017!$D$3:$AL$40)+SUMPRODUCT((Generation_Entsoe_SFS_2017!$A$3:$A$40='Abgleich Generation'!$A107)*(Generation_Entsoe_SFS_2017!$D$1:$AL$1='Abgleich Generation'!F$78)*Generation_Entsoe_SFS_2017!$D$3:$AL$40)</f>
        <v>#VALUE!</v>
      </c>
      <c r="G107" s="26" t="e">
        <f>SUMPRODUCT((Generation_Entsoe_SFS_2017!$A$3:$A$40='Abgleich Generation'!$A107)*(Generation_Entsoe_SFS_2017!$D$1:$AL$1='Abgleich Generation'!G$81)*Generation_Entsoe_SFS_2017!$D$3:$AL$40)+SUMPRODUCT((Generation_Entsoe_SFS_2017!$A$3:$A$40='Abgleich Generation'!$A107)*(Generation_Entsoe_SFS_2017!$D$1:$AL$1='Abgleich Generation'!G$80)*Generation_Entsoe_SFS_2017!$D$3:$AL$40)+SUMPRODUCT((Generation_Entsoe_SFS_2017!$A$3:$A$40='Abgleich Generation'!$A107)*(Generation_Entsoe_SFS_2017!$D$1:$AL$1='Abgleich Generation'!G$79)*Generation_Entsoe_SFS_2017!$D$3:$AL$40)+SUMPRODUCT((Generation_Entsoe_SFS_2017!$A$3:$A$40='Abgleich Generation'!$A107)*(Generation_Entsoe_SFS_2017!$D$1:$AL$1='Abgleich Generation'!G$78)*Generation_Entsoe_SFS_2017!$D$3:$AL$40)</f>
        <v>#VALUE!</v>
      </c>
      <c r="H107" s="26" t="e">
        <f>SUMPRODUCT((Generation_Entsoe_SFS_2017!$A$3:$A$40='Abgleich Generation'!$A107)*(Generation_Entsoe_SFS_2017!$D$1:$AL$1='Abgleich Generation'!H$81)*Generation_Entsoe_SFS_2017!$D$3:$AL$40)+SUMPRODUCT((Generation_Entsoe_SFS_2017!$A$3:$A$40='Abgleich Generation'!$A107)*(Generation_Entsoe_SFS_2017!$D$1:$AL$1='Abgleich Generation'!H$80)*Generation_Entsoe_SFS_2017!$D$3:$AL$40)+SUMPRODUCT((Generation_Entsoe_SFS_2017!$A$3:$A$40='Abgleich Generation'!$A107)*(Generation_Entsoe_SFS_2017!$D$1:$AL$1='Abgleich Generation'!H$79)*Generation_Entsoe_SFS_2017!$D$3:$AL$40)+SUMPRODUCT((Generation_Entsoe_SFS_2017!$A$3:$A$40='Abgleich Generation'!$A107)*(Generation_Entsoe_SFS_2017!$D$1:$AL$1='Abgleich Generation'!H$78)*Generation_Entsoe_SFS_2017!$D$3:$AL$40)</f>
        <v>#VALUE!</v>
      </c>
      <c r="I107" s="26" t="e">
        <f>SUMPRODUCT((Generation_Entsoe_SFS_2017!$A$3:$A$40='Abgleich Generation'!$A107)*(Generation_Entsoe_SFS_2017!$D$1:$AL$1='Abgleich Generation'!I$81)*Generation_Entsoe_SFS_2017!$D$3:$AL$40)+SUMPRODUCT((Generation_Entsoe_SFS_2017!$A$3:$A$40='Abgleich Generation'!$A107)*(Generation_Entsoe_SFS_2017!$D$1:$AL$1='Abgleich Generation'!I$80)*Generation_Entsoe_SFS_2017!$D$3:$AL$40)+SUMPRODUCT((Generation_Entsoe_SFS_2017!$A$3:$A$40='Abgleich Generation'!$A107)*(Generation_Entsoe_SFS_2017!$D$1:$AL$1='Abgleich Generation'!I$79)*Generation_Entsoe_SFS_2017!$D$3:$AL$40)+SUMPRODUCT((Generation_Entsoe_SFS_2017!$A$3:$A$40='Abgleich Generation'!$A107)*(Generation_Entsoe_SFS_2017!$D$1:$AL$1='Abgleich Generation'!I$78)*Generation_Entsoe_SFS_2017!$D$3:$AL$40)</f>
        <v>#VALUE!</v>
      </c>
      <c r="J107" s="26" t="e">
        <f>SUMPRODUCT((Generation_Entsoe_SFS_2017!$A$3:$A$40='Abgleich Generation'!$A107)*(Generation_Entsoe_SFS_2017!$D$1:$AL$1='Abgleich Generation'!J$81)*Generation_Entsoe_SFS_2017!$D$3:$AL$40)+SUMPRODUCT((Generation_Entsoe_SFS_2017!$A$3:$A$40='Abgleich Generation'!$A107)*(Generation_Entsoe_SFS_2017!$D$1:$AL$1='Abgleich Generation'!J$80)*Generation_Entsoe_SFS_2017!$D$3:$AL$40)+SUMPRODUCT((Generation_Entsoe_SFS_2017!$A$3:$A$40='Abgleich Generation'!$A107)*(Generation_Entsoe_SFS_2017!$D$1:$AL$1='Abgleich Generation'!J$79)*Generation_Entsoe_SFS_2017!$D$3:$AL$40)+SUMPRODUCT((Generation_Entsoe_SFS_2017!$A$3:$A$40='Abgleich Generation'!$A107)*(Generation_Entsoe_SFS_2017!$D$1:$AL$1='Abgleich Generation'!J$78)*Generation_Entsoe_SFS_2017!$D$3:$AL$40)</f>
        <v>#VALUE!</v>
      </c>
      <c r="K107" s="27" t="e">
        <f t="shared" si="62"/>
        <v>#VALUE!</v>
      </c>
      <c r="L107" s="26" t="e">
        <f>SUMPRODUCT((Generation_Entsoe_SFS_2017!$A$3:$A$40='Abgleich Generation'!$A107)*(Generation_Entsoe_SFS_2017!$D$1:$AL$1='Abgleich Generation'!L$81)*Generation_Entsoe_SFS_2017!$D$3:$AL$40)+SUMPRODUCT((Generation_Entsoe_SFS_2017!$A$3:$A$40='Abgleich Generation'!$A107)*(Generation_Entsoe_SFS_2017!$D$1:$AL$1='Abgleich Generation'!L$80)*Generation_Entsoe_SFS_2017!$D$3:$AL$40)+SUMPRODUCT((Generation_Entsoe_SFS_2017!$A$3:$A$40='Abgleich Generation'!$A107)*(Generation_Entsoe_SFS_2017!$D$1:$AL$1='Abgleich Generation'!L$79)*Generation_Entsoe_SFS_2017!$D$3:$AL$40)+SUMPRODUCT((Generation_Entsoe_SFS_2017!$A$3:$A$40='Abgleich Generation'!$A107)*(Generation_Entsoe_SFS_2017!$D$1:$AL$1='Abgleich Generation'!L$78)*Generation_Entsoe_SFS_2017!$D$3:$AL$40)+SUMPRODUCT((Generation_Entsoe_SFS_2017!$A$3:$A$40='Abgleich Generation'!$A107)*(Generation_Entsoe_SFS_2017!$D$1:$AL$1='Abgleich Generation'!L$77)*Generation_Entsoe_SFS_2017!$D$3:$AL$40)+SUMPRODUCT((Generation_Entsoe_SFS_2017!$A$3:$A$40='Abgleich Generation'!$A107)*(Generation_Entsoe_SFS_2017!$D$1:$AL$1='Abgleich Generation'!L$76)*Generation_Entsoe_SFS_2017!$D$3:$AL$40)</f>
        <v>#VALUE!</v>
      </c>
      <c r="M107" s="26" t="e">
        <f>SUMPRODUCT((Generation_Entsoe_SFS_2017!$A$3:$A$40='Abgleich Generation'!$A107)*(Generation_Entsoe_SFS_2017!$D$1:$AL$1='Abgleich Generation'!M$81)*Generation_Entsoe_SFS_2017!$D$3:$AL$40)+SUMPRODUCT((Generation_Entsoe_SFS_2017!$A$3:$A$40='Abgleich Generation'!$A107)*(Generation_Entsoe_SFS_2017!$D$1:$AL$1='Abgleich Generation'!M$80)*Generation_Entsoe_SFS_2017!$D$3:$AL$40)+SUMPRODUCT((Generation_Entsoe_SFS_2017!$A$3:$A$40='Abgleich Generation'!$A107)*(Generation_Entsoe_SFS_2017!$D$1:$AL$1='Abgleich Generation'!M$79)*Generation_Entsoe_SFS_2017!$D$3:$AL$40)+SUMPRODUCT((Generation_Entsoe_SFS_2017!$A$3:$A$40='Abgleich Generation'!$A107)*(Generation_Entsoe_SFS_2017!$D$1:$AL$1='Abgleich Generation'!M$78)*Generation_Entsoe_SFS_2017!$D$3:$AL$40)+SUMPRODUCT((Generation_Entsoe_SFS_2017!$A$3:$A$40='Abgleich Generation'!$A107)*(Generation_Entsoe_SFS_2017!$D$1:$AL$1='Abgleich Generation'!M$77)*Generation_Entsoe_SFS_2017!$D$3:$AL$40)+SUMPRODUCT((Generation_Entsoe_SFS_2017!$A$3:$A$40='Abgleich Generation'!$A107)*(Generation_Entsoe_SFS_2017!$D$1:$AL$1='Abgleich Generation'!M$76)*Generation_Entsoe_SFS_2017!$D$3:$AL$40)</f>
        <v>#VALUE!</v>
      </c>
      <c r="N107" s="26" t="e">
        <f>SUMPRODUCT((Generation_Entsoe_SFS_2017!$A$3:$A$40='Abgleich Generation'!$A107)*(Generation_Entsoe_SFS_2017!$D$1:$AL$1='Abgleich Generation'!N$81)*Generation_Entsoe_SFS_2017!$D$3:$AL$40)+SUMPRODUCT((Generation_Entsoe_SFS_2017!$A$3:$A$40='Abgleich Generation'!$A107)*(Generation_Entsoe_SFS_2017!$D$1:$AL$1='Abgleich Generation'!N$80)*Generation_Entsoe_SFS_2017!$D$3:$AL$40)+SUMPRODUCT((Generation_Entsoe_SFS_2017!$A$3:$A$40='Abgleich Generation'!$A107)*(Generation_Entsoe_SFS_2017!$D$1:$AL$1='Abgleich Generation'!N$79)*Generation_Entsoe_SFS_2017!$D$3:$AL$40)+SUMPRODUCT((Generation_Entsoe_SFS_2017!$A$3:$A$40='Abgleich Generation'!$A107)*(Generation_Entsoe_SFS_2017!$D$1:$AL$1='Abgleich Generation'!N$78)*Generation_Entsoe_SFS_2017!$D$3:$AL$40)+SUMPRODUCT((Generation_Entsoe_SFS_2017!$A$3:$A$40='Abgleich Generation'!$A107)*(Generation_Entsoe_SFS_2017!$D$1:$AL$1='Abgleich Generation'!N$77)*Generation_Entsoe_SFS_2017!$D$3:$AL$40)+SUMPRODUCT((Generation_Entsoe_SFS_2017!$A$3:$A$40='Abgleich Generation'!$A107)*(Generation_Entsoe_SFS_2017!$D$1:$AL$1='Abgleich Generation'!N$76)*Generation_Entsoe_SFS_2017!$D$3:$AL$40)</f>
        <v>#VALUE!</v>
      </c>
      <c r="O107" s="26" t="e">
        <f>SUMPRODUCT((Generation_Entsoe_SFS_2017!$A$3:$A$40='Abgleich Generation'!$A107)*(Generation_Entsoe_SFS_2017!$D$1:$AL$1='Abgleich Generation'!O$81)*Generation_Entsoe_SFS_2017!$D$3:$AL$40)+SUMPRODUCT((Generation_Entsoe_SFS_2017!$A$3:$A$40='Abgleich Generation'!$A107)*(Generation_Entsoe_SFS_2017!$D$1:$AL$1='Abgleich Generation'!O$80)*Generation_Entsoe_SFS_2017!$D$3:$AL$40)+SUMPRODUCT((Generation_Entsoe_SFS_2017!$A$3:$A$40='Abgleich Generation'!$A107)*(Generation_Entsoe_SFS_2017!$D$1:$AL$1='Abgleich Generation'!O$79)*Generation_Entsoe_SFS_2017!$D$3:$AL$40)+SUMPRODUCT((Generation_Entsoe_SFS_2017!$A$3:$A$40='Abgleich Generation'!$A107)*(Generation_Entsoe_SFS_2017!$D$1:$AL$1='Abgleich Generation'!O$78)*Generation_Entsoe_SFS_2017!$D$3:$AL$40)+SUMPRODUCT((Generation_Entsoe_SFS_2017!$A$3:$A$40='Abgleich Generation'!$A107)*(Generation_Entsoe_SFS_2017!$D$1:$AL$1='Abgleich Generation'!O$77)*Generation_Entsoe_SFS_2017!$D$3:$AL$40)+SUMPRODUCT((Generation_Entsoe_SFS_2017!$A$3:$A$40='Abgleich Generation'!$A107)*(Generation_Entsoe_SFS_2017!$D$1:$AL$1='Abgleich Generation'!O$76)*Generation_Entsoe_SFS_2017!$D$3:$AL$40)</f>
        <v>#VALUE!</v>
      </c>
      <c r="P107" s="26" t="e">
        <f>SUMPRODUCT((Generation_Entsoe_SFS_2017!$A$3:$A$40='Abgleich Generation'!$A107)*(Generation_Entsoe_SFS_2017!$D$1:$AL$1='Abgleich Generation'!P$81)*Generation_Entsoe_SFS_2017!$D$3:$AL$40)+SUMPRODUCT((Generation_Entsoe_SFS_2017!$A$3:$A$40='Abgleich Generation'!$A107)*(Generation_Entsoe_SFS_2017!$D$1:$AL$1='Abgleich Generation'!P$80)*Generation_Entsoe_SFS_2017!$D$3:$AL$40)+SUMPRODUCT((Generation_Entsoe_SFS_2017!$A$3:$A$40='Abgleich Generation'!$A107)*(Generation_Entsoe_SFS_2017!$D$1:$AL$1='Abgleich Generation'!P$79)*Generation_Entsoe_SFS_2017!$D$3:$AL$40)+SUMPRODUCT((Generation_Entsoe_SFS_2017!$A$3:$A$40='Abgleich Generation'!$A107)*(Generation_Entsoe_SFS_2017!$D$1:$AL$1='Abgleich Generation'!P$78)*Generation_Entsoe_SFS_2017!$D$3:$AL$40)+SUMPRODUCT((Generation_Entsoe_SFS_2017!$A$3:$A$40='Abgleich Generation'!$A107)*(Generation_Entsoe_SFS_2017!$D$1:$AL$1='Abgleich Generation'!P$77)*Generation_Entsoe_SFS_2017!$D$3:$AL$40)+SUMPRODUCT((Generation_Entsoe_SFS_2017!$A$3:$A$40='Abgleich Generation'!$A107)*(Generation_Entsoe_SFS_2017!$D$1:$AL$1='Abgleich Generation'!P$76)*Generation_Entsoe_SFS_2017!$D$3:$AL$40)</f>
        <v>#VALUE!</v>
      </c>
      <c r="Q107" s="26" t="e">
        <f>SUMPRODUCT((Generation_Entsoe_SFS_2017!$A$3:$A$40='Abgleich Generation'!$A107)*(Generation_Entsoe_SFS_2017!$D$1:$AL$1='Abgleich Generation'!Q$81)*Generation_Entsoe_SFS_2017!$D$3:$AL$40)+SUMPRODUCT((Generation_Entsoe_SFS_2017!$A$3:$A$40='Abgleich Generation'!$A107)*(Generation_Entsoe_SFS_2017!$D$1:$AL$1='Abgleich Generation'!Q$80)*Generation_Entsoe_SFS_2017!$D$3:$AL$40)+SUMPRODUCT((Generation_Entsoe_SFS_2017!$A$3:$A$40='Abgleich Generation'!$A107)*(Generation_Entsoe_SFS_2017!$D$1:$AL$1='Abgleich Generation'!Q$79)*Generation_Entsoe_SFS_2017!$D$3:$AL$40)+SUMPRODUCT((Generation_Entsoe_SFS_2017!$A$3:$A$40='Abgleich Generation'!$A107)*(Generation_Entsoe_SFS_2017!$D$1:$AL$1='Abgleich Generation'!Q$78)*Generation_Entsoe_SFS_2017!$D$3:$AL$40)+SUMPRODUCT((Generation_Entsoe_SFS_2017!$A$3:$A$40='Abgleich Generation'!$A107)*(Generation_Entsoe_SFS_2017!$D$1:$AL$1='Abgleich Generation'!Q$77)*Generation_Entsoe_SFS_2017!$D$3:$AL$40)+SUMPRODUCT((Generation_Entsoe_SFS_2017!$A$3:$A$40='Abgleich Generation'!$A107)*(Generation_Entsoe_SFS_2017!$D$1:$AL$1='Abgleich Generation'!Q$76)*Generation_Entsoe_SFS_2017!$D$3:$AL$40)</f>
        <v>#VALUE!</v>
      </c>
      <c r="R107" s="26" t="e">
        <f>SUMPRODUCT((Generation_Entsoe_SFS_2017!$A$3:$A$40='Abgleich Generation'!$A107)*(Generation_Entsoe_SFS_2017!$D$1:$AL$1='Abgleich Generation'!R$81)*Generation_Entsoe_SFS_2017!$D$3:$AL$40)+SUMPRODUCT((Generation_Entsoe_SFS_2017!$A$3:$A$40='Abgleich Generation'!$A107)*(Generation_Entsoe_SFS_2017!$D$1:$AL$1='Abgleich Generation'!R$80)*Generation_Entsoe_SFS_2017!$D$3:$AL$40)+SUMPRODUCT((Generation_Entsoe_SFS_2017!$A$3:$A$40='Abgleich Generation'!$A107)*(Generation_Entsoe_SFS_2017!$D$1:$AL$1='Abgleich Generation'!R$79)*Generation_Entsoe_SFS_2017!$D$3:$AL$40)+SUMPRODUCT((Generation_Entsoe_SFS_2017!$A$3:$A$40='Abgleich Generation'!$A107)*(Generation_Entsoe_SFS_2017!$D$1:$AL$1='Abgleich Generation'!R$78)*Generation_Entsoe_SFS_2017!$D$3:$AL$40)+SUMPRODUCT((Generation_Entsoe_SFS_2017!$A$3:$A$40='Abgleich Generation'!$A107)*(Generation_Entsoe_SFS_2017!$D$1:$AL$1='Abgleich Generation'!R$77)*Generation_Entsoe_SFS_2017!$D$3:$AL$40)+SUMPRODUCT((Generation_Entsoe_SFS_2017!$A$3:$A$40='Abgleich Generation'!$A107)*(Generation_Entsoe_SFS_2017!$D$1:$AL$1='Abgleich Generation'!R$76)*Generation_Entsoe_SFS_2017!$D$3:$AL$40)</f>
        <v>#VALUE!</v>
      </c>
      <c r="S107" s="26" t="e">
        <f>SUMPRODUCT((Generation_Entsoe_SFS_2017!$A$3:$A$40='Abgleich Generation'!$A107)*(Generation_Entsoe_SFS_2017!$D$1:$AL$1='Abgleich Generation'!S$81)*Generation_Entsoe_SFS_2017!$D$3:$AL$40)+SUMPRODUCT((Generation_Entsoe_SFS_2017!$A$3:$A$40='Abgleich Generation'!$A107)*(Generation_Entsoe_SFS_2017!$D$1:$AL$1='Abgleich Generation'!S$80)*Generation_Entsoe_SFS_2017!$D$3:$AL$40)+SUMPRODUCT((Generation_Entsoe_SFS_2017!$A$3:$A$40='Abgleich Generation'!$A107)*(Generation_Entsoe_SFS_2017!$D$1:$AL$1='Abgleich Generation'!S$79)*Generation_Entsoe_SFS_2017!$D$3:$AL$40)+SUMPRODUCT((Generation_Entsoe_SFS_2017!$A$3:$A$40='Abgleich Generation'!$A107)*(Generation_Entsoe_SFS_2017!$D$1:$AL$1='Abgleich Generation'!S$78)*Generation_Entsoe_SFS_2017!$D$3:$AL$40)+SUMPRODUCT((Generation_Entsoe_SFS_2017!$A$3:$A$40='Abgleich Generation'!$A107)*(Generation_Entsoe_SFS_2017!$D$1:$AL$1='Abgleich Generation'!S$77)*Generation_Entsoe_SFS_2017!$D$3:$AL$40)+SUMPRODUCT((Generation_Entsoe_SFS_2017!$A$3:$A$40='Abgleich Generation'!$A107)*(Generation_Entsoe_SFS_2017!$D$1:$AL$1='Abgleich Generation'!S$76)*Generation_Entsoe_SFS_2017!$D$3:$AL$40)</f>
        <v>#VALUE!</v>
      </c>
      <c r="T107" s="26" t="e">
        <f>SUMPRODUCT((Generation_Entsoe_SFS_2017!$A$3:$A$40='Abgleich Generation'!$A107)*(Generation_Entsoe_SFS_2017!$D$1:$AL$1='Abgleich Generation'!T$81)*Generation_Entsoe_SFS_2017!$D$3:$AL$40)+SUMPRODUCT((Generation_Entsoe_SFS_2017!$A$3:$A$40='Abgleich Generation'!$A107)*(Generation_Entsoe_SFS_2017!$D$1:$AL$1='Abgleich Generation'!T$80)*Generation_Entsoe_SFS_2017!$D$3:$AL$40)+SUMPRODUCT((Generation_Entsoe_SFS_2017!$A$3:$A$40='Abgleich Generation'!$A107)*(Generation_Entsoe_SFS_2017!$D$1:$AL$1='Abgleich Generation'!T$79)*Generation_Entsoe_SFS_2017!$D$3:$AL$40)+SUMPRODUCT((Generation_Entsoe_SFS_2017!$A$3:$A$40='Abgleich Generation'!$A107)*(Generation_Entsoe_SFS_2017!$D$1:$AL$1='Abgleich Generation'!T$78)*Generation_Entsoe_SFS_2017!$D$3:$AL$40)+SUMPRODUCT((Generation_Entsoe_SFS_2017!$A$3:$A$40='Abgleich Generation'!$A107)*(Generation_Entsoe_SFS_2017!$D$1:$AL$1='Abgleich Generation'!T$77)*Generation_Entsoe_SFS_2017!$D$3:$AL$40)+SUMPRODUCT((Generation_Entsoe_SFS_2017!$A$3:$A$40='Abgleich Generation'!$A107)*(Generation_Entsoe_SFS_2017!$D$1:$AL$1='Abgleich Generation'!T$76)*Generation_Entsoe_SFS_2017!$D$3:$AL$40)</f>
        <v>#VALUE!</v>
      </c>
      <c r="U107" s="26" t="e">
        <f>SUMPRODUCT((Generation_Entsoe_SFS_2017!$A$3:$A$40='Abgleich Generation'!$A107)*(Generation_Entsoe_SFS_2017!$D$1:$AL$1='Abgleich Generation'!U$81)*Generation_Entsoe_SFS_2017!$D$3:$AL$40)+SUMPRODUCT((Generation_Entsoe_SFS_2017!$A$3:$A$40='Abgleich Generation'!$A107)*(Generation_Entsoe_SFS_2017!$D$1:$AL$1='Abgleich Generation'!U$80)*Generation_Entsoe_SFS_2017!$D$3:$AL$40)+SUMPRODUCT((Generation_Entsoe_SFS_2017!$A$3:$A$40='Abgleich Generation'!$A107)*(Generation_Entsoe_SFS_2017!$D$1:$AL$1='Abgleich Generation'!U$79)*Generation_Entsoe_SFS_2017!$D$3:$AL$40)+SUMPRODUCT((Generation_Entsoe_SFS_2017!$A$3:$A$40='Abgleich Generation'!$A107)*(Generation_Entsoe_SFS_2017!$D$1:$AL$1='Abgleich Generation'!U$78)*Generation_Entsoe_SFS_2017!$D$3:$AL$40)+SUMPRODUCT((Generation_Entsoe_SFS_2017!$A$3:$A$40='Abgleich Generation'!$A107)*(Generation_Entsoe_SFS_2017!$D$1:$AL$1='Abgleich Generation'!U$77)*Generation_Entsoe_SFS_2017!$D$3:$AL$40)+SUMPRODUCT((Generation_Entsoe_SFS_2017!$A$3:$A$40='Abgleich Generation'!$A107)*(Generation_Entsoe_SFS_2017!$D$1:$AL$1='Abgleich Generation'!U$76)*Generation_Entsoe_SFS_2017!$D$3:$AL$40)</f>
        <v>#VALUE!</v>
      </c>
      <c r="V107" s="27" t="e">
        <f t="shared" si="63"/>
        <v>#VALUE!</v>
      </c>
      <c r="W107" s="28" t="e">
        <f>SUMPRODUCT((Generation_Entsoe_SFS_2017!$A$3:$A$40='Abgleich Generation'!$A107)*(Generation_Entsoe_SFS_2017!$D$1:$AL$1='Abgleich Generation'!W$81)*Generation_Entsoe_SFS_2017!$D$3:$AL$40)+SUMPRODUCT((Generation_Entsoe_SFS_2017!$A$3:$A$40='Abgleich Generation'!$A107)*(Generation_Entsoe_SFS_2017!$D$1:$AL$1='Abgleich Generation'!W$80)*Generation_Entsoe_SFS_2017!$D$3:$AL$40)+SUMPRODUCT((Generation_Entsoe_SFS_2017!$A$3:$A$40='Abgleich Generation'!$A107)*(Generation_Entsoe_SFS_2017!$D$1:$AL$1='Abgleich Generation'!W$79)*Generation_Entsoe_SFS_2017!$D$3:$AL$40)+SUMPRODUCT((Generation_Entsoe_SFS_2017!$A$3:$A$40='Abgleich Generation'!$A107)*(Generation_Entsoe_SFS_2017!$D$1:$AL$1='Abgleich Generation'!W$78)*Generation_Entsoe_SFS_2017!$D$3:$AL$40)+SUMPRODUCT((Generation_Entsoe_SFS_2017!$A$3:$A$40='Abgleich Generation'!$A107)*(Generation_Entsoe_SFS_2017!$D$1:$AL$1='Abgleich Generation'!W$77)*Generation_Entsoe_SFS_2017!$D$3:$AL$40)+SUMPRODUCT((Generation_Entsoe_SFS_2017!$A$3:$A$40='Abgleich Generation'!$A107)*(Generation_Entsoe_SFS_2017!$D$1:$AL$1='Abgleich Generation'!W$76)*Generation_Entsoe_SFS_2017!$D$3:$AL$40)</f>
        <v>#VALUE!</v>
      </c>
      <c r="X107" s="29" t="e">
        <f>SUMPRODUCT((Generation_Entsoe_SFS_2017!$A$3:$A$40='Abgleich Generation'!$A107)*(Generation_Entsoe_SFS_2017!$D$1:$AL$1='Abgleich Generation'!X$81)*Generation_Entsoe_SFS_2017!$D$3:$AL$40)+SUMPRODUCT((Generation_Entsoe_SFS_2017!$A$3:$A$40='Abgleich Generation'!$A107)*(Generation_Entsoe_SFS_2017!$D$1:$AL$1='Abgleich Generation'!X$80)*Generation_Entsoe_SFS_2017!$D$3:$AL$40)+SUMPRODUCT((Generation_Entsoe_SFS_2017!$A$3:$A$40='Abgleich Generation'!$A107)*(Generation_Entsoe_SFS_2017!$D$1:$AL$1='Abgleich Generation'!X$79)*Generation_Entsoe_SFS_2017!$D$3:$AL$40)+SUMPRODUCT((Generation_Entsoe_SFS_2017!$A$3:$A$40='Abgleich Generation'!$A107)*(Generation_Entsoe_SFS_2017!$D$1:$AL$1='Abgleich Generation'!X$78)*Generation_Entsoe_SFS_2017!$D$3:$AL$40)+SUMPRODUCT((Generation_Entsoe_SFS_2017!$A$3:$A$40='Abgleich Generation'!$A107)*(Generation_Entsoe_SFS_2017!$D$1:$AL$1='Abgleich Generation'!X$77)*Generation_Entsoe_SFS_2017!$D$3:$AL$40)+SUMPRODUCT((Generation_Entsoe_SFS_2017!$A$3:$A$40='Abgleich Generation'!$A107)*(Generation_Entsoe_SFS_2017!$D$1:$AL$1='Abgleich Generation'!X$76)*Generation_Entsoe_SFS_2017!$D$3:$AL$40)</f>
        <v>#VALUE!</v>
      </c>
      <c r="Y107" s="29" t="e">
        <f t="shared" si="64"/>
        <v>#VALUE!</v>
      </c>
    </row>
    <row r="108" spans="1:33" x14ac:dyDescent="0.25">
      <c r="A108" s="14" t="s">
        <v>34</v>
      </c>
      <c r="B108" s="57" t="e">
        <f t="shared" si="60"/>
        <v>#VALUE!</v>
      </c>
      <c r="C108" s="58" t="e">
        <f>SUMPRODUCT((Generation_Entsoe_SFS_2017!$A$3:$A$40='Abgleich Generation'!$A108)*(Generation_Entsoe_SFS_2017!$D$1:$AL$1='Abgleich Generation'!C$81)*Generation_Entsoe_SFS_2017!$D$3:$AL$40)+SUMPRODUCT((Generation_Entsoe_SFS_2017!$A$3:$A$40='Abgleich Generation'!$A108)*(Generation_Entsoe_SFS_2017!$D$1:$AL$1='Abgleich Generation'!C$80)*Generation_Entsoe_SFS_2017!$D$3:$AL$40)+SUMPRODUCT((Generation_Entsoe_SFS_2017!$A$3:$A$40='Abgleich Generation'!$A108)*(Generation_Entsoe_SFS_2017!$D$1:$AL$1='Abgleich Generation'!C$79)*Generation_Entsoe_SFS_2017!$D$3:$AL$40)+SUMPRODUCT((Generation_Entsoe_SFS_2017!$A$3:$A$40='Abgleich Generation'!$A108)*(Generation_Entsoe_SFS_2017!$D$1:$AL$1='Abgleich Generation'!C$78)*Generation_Entsoe_SFS_2017!$D$3:$AL$40)</f>
        <v>#VALUE!</v>
      </c>
      <c r="D108" s="58" t="e">
        <f t="shared" si="61"/>
        <v>#VALUE!</v>
      </c>
      <c r="E108" s="58" t="e">
        <f>SUMPRODUCT((Generation_Entsoe_SFS_2017!$A$3:$A$40='Abgleich Generation'!$A108)*(Generation_Entsoe_SFS_2017!$D$1:$AL$1='Abgleich Generation'!E$81)*Generation_Entsoe_SFS_2017!$D$3:$AL$40)+SUMPRODUCT((Generation_Entsoe_SFS_2017!$A$3:$A$40='Abgleich Generation'!$A108)*(Generation_Entsoe_SFS_2017!$D$1:$AL$1='Abgleich Generation'!E$80)*Generation_Entsoe_SFS_2017!$D$3:$AL$40)+SUMPRODUCT((Generation_Entsoe_SFS_2017!$A$3:$A$40='Abgleich Generation'!$A108)*(Generation_Entsoe_SFS_2017!$D$1:$AL$1='Abgleich Generation'!E$79)*Generation_Entsoe_SFS_2017!$D$3:$AL$40)+SUMPRODUCT((Generation_Entsoe_SFS_2017!$A$3:$A$40='Abgleich Generation'!$A108)*(Generation_Entsoe_SFS_2017!$D$1:$AL$1='Abgleich Generation'!E$78)*Generation_Entsoe_SFS_2017!$D$3:$AL$40)</f>
        <v>#VALUE!</v>
      </c>
      <c r="F108" s="58" t="e">
        <f>SUMPRODUCT((Generation_Entsoe_SFS_2017!$A$3:$A$40='Abgleich Generation'!$A108)*(Generation_Entsoe_SFS_2017!$D$1:$AL$1='Abgleich Generation'!F$81)*Generation_Entsoe_SFS_2017!$D$3:$AL$40)+SUMPRODUCT((Generation_Entsoe_SFS_2017!$A$3:$A$40='Abgleich Generation'!$A108)*(Generation_Entsoe_SFS_2017!$D$1:$AL$1='Abgleich Generation'!F$80)*Generation_Entsoe_SFS_2017!$D$3:$AL$40)+SUMPRODUCT((Generation_Entsoe_SFS_2017!$A$3:$A$40='Abgleich Generation'!$A108)*(Generation_Entsoe_SFS_2017!$D$1:$AL$1='Abgleich Generation'!F$79)*Generation_Entsoe_SFS_2017!$D$3:$AL$40)+SUMPRODUCT((Generation_Entsoe_SFS_2017!$A$3:$A$40='Abgleich Generation'!$A108)*(Generation_Entsoe_SFS_2017!$D$1:$AL$1='Abgleich Generation'!F$78)*Generation_Entsoe_SFS_2017!$D$3:$AL$40)</f>
        <v>#VALUE!</v>
      </c>
      <c r="G108" s="58" t="e">
        <f>SUMPRODUCT((Generation_Entsoe_SFS_2017!$A$3:$A$40='Abgleich Generation'!$A108)*(Generation_Entsoe_SFS_2017!$D$1:$AL$1='Abgleich Generation'!G$81)*Generation_Entsoe_SFS_2017!$D$3:$AL$40)+SUMPRODUCT((Generation_Entsoe_SFS_2017!$A$3:$A$40='Abgleich Generation'!$A108)*(Generation_Entsoe_SFS_2017!$D$1:$AL$1='Abgleich Generation'!G$80)*Generation_Entsoe_SFS_2017!$D$3:$AL$40)+SUMPRODUCT((Generation_Entsoe_SFS_2017!$A$3:$A$40='Abgleich Generation'!$A108)*(Generation_Entsoe_SFS_2017!$D$1:$AL$1='Abgleich Generation'!G$79)*Generation_Entsoe_SFS_2017!$D$3:$AL$40)+SUMPRODUCT((Generation_Entsoe_SFS_2017!$A$3:$A$40='Abgleich Generation'!$A108)*(Generation_Entsoe_SFS_2017!$D$1:$AL$1='Abgleich Generation'!G$78)*Generation_Entsoe_SFS_2017!$D$3:$AL$40)</f>
        <v>#VALUE!</v>
      </c>
      <c r="H108" s="58" t="e">
        <f>SUMPRODUCT((Generation_Entsoe_SFS_2017!$A$3:$A$40='Abgleich Generation'!$A108)*(Generation_Entsoe_SFS_2017!$D$1:$AL$1='Abgleich Generation'!H$81)*Generation_Entsoe_SFS_2017!$D$3:$AL$40)+SUMPRODUCT((Generation_Entsoe_SFS_2017!$A$3:$A$40='Abgleich Generation'!$A108)*(Generation_Entsoe_SFS_2017!$D$1:$AL$1='Abgleich Generation'!H$80)*Generation_Entsoe_SFS_2017!$D$3:$AL$40)+SUMPRODUCT((Generation_Entsoe_SFS_2017!$A$3:$A$40='Abgleich Generation'!$A108)*(Generation_Entsoe_SFS_2017!$D$1:$AL$1='Abgleich Generation'!H$79)*Generation_Entsoe_SFS_2017!$D$3:$AL$40)+SUMPRODUCT((Generation_Entsoe_SFS_2017!$A$3:$A$40='Abgleich Generation'!$A108)*(Generation_Entsoe_SFS_2017!$D$1:$AL$1='Abgleich Generation'!H$78)*Generation_Entsoe_SFS_2017!$D$3:$AL$40)</f>
        <v>#VALUE!</v>
      </c>
      <c r="I108" s="58" t="e">
        <f>SUMPRODUCT((Generation_Entsoe_SFS_2017!$A$3:$A$40='Abgleich Generation'!$A108)*(Generation_Entsoe_SFS_2017!$D$1:$AL$1='Abgleich Generation'!I$81)*Generation_Entsoe_SFS_2017!$D$3:$AL$40)+SUMPRODUCT((Generation_Entsoe_SFS_2017!$A$3:$A$40='Abgleich Generation'!$A108)*(Generation_Entsoe_SFS_2017!$D$1:$AL$1='Abgleich Generation'!I$80)*Generation_Entsoe_SFS_2017!$D$3:$AL$40)+SUMPRODUCT((Generation_Entsoe_SFS_2017!$A$3:$A$40='Abgleich Generation'!$A108)*(Generation_Entsoe_SFS_2017!$D$1:$AL$1='Abgleich Generation'!I$79)*Generation_Entsoe_SFS_2017!$D$3:$AL$40)+SUMPRODUCT((Generation_Entsoe_SFS_2017!$A$3:$A$40='Abgleich Generation'!$A108)*(Generation_Entsoe_SFS_2017!$D$1:$AL$1='Abgleich Generation'!I$78)*Generation_Entsoe_SFS_2017!$D$3:$AL$40)</f>
        <v>#VALUE!</v>
      </c>
      <c r="J108" s="58" t="e">
        <f>SUMPRODUCT((Generation_Entsoe_SFS_2017!$A$3:$A$40='Abgleich Generation'!$A108)*(Generation_Entsoe_SFS_2017!$D$1:$AL$1='Abgleich Generation'!J$81)*Generation_Entsoe_SFS_2017!$D$3:$AL$40)+SUMPRODUCT((Generation_Entsoe_SFS_2017!$A$3:$A$40='Abgleich Generation'!$A108)*(Generation_Entsoe_SFS_2017!$D$1:$AL$1='Abgleich Generation'!J$80)*Generation_Entsoe_SFS_2017!$D$3:$AL$40)+SUMPRODUCT((Generation_Entsoe_SFS_2017!$A$3:$A$40='Abgleich Generation'!$A108)*(Generation_Entsoe_SFS_2017!$D$1:$AL$1='Abgleich Generation'!J$79)*Generation_Entsoe_SFS_2017!$D$3:$AL$40)+SUMPRODUCT((Generation_Entsoe_SFS_2017!$A$3:$A$40='Abgleich Generation'!$A108)*(Generation_Entsoe_SFS_2017!$D$1:$AL$1='Abgleich Generation'!J$78)*Generation_Entsoe_SFS_2017!$D$3:$AL$40)</f>
        <v>#VALUE!</v>
      </c>
      <c r="K108" s="59" t="e">
        <f t="shared" si="62"/>
        <v>#VALUE!</v>
      </c>
      <c r="L108" s="58" t="e">
        <f>SUMPRODUCT((Generation_Entsoe_SFS_2017!$A$3:$A$40='Abgleich Generation'!$A108)*(Generation_Entsoe_SFS_2017!$D$1:$AL$1='Abgleich Generation'!L$81)*Generation_Entsoe_SFS_2017!$D$3:$AL$40)+SUMPRODUCT((Generation_Entsoe_SFS_2017!$A$3:$A$40='Abgleich Generation'!$A108)*(Generation_Entsoe_SFS_2017!$D$1:$AL$1='Abgleich Generation'!L$80)*Generation_Entsoe_SFS_2017!$D$3:$AL$40)+SUMPRODUCT((Generation_Entsoe_SFS_2017!$A$3:$A$40='Abgleich Generation'!$A108)*(Generation_Entsoe_SFS_2017!$D$1:$AL$1='Abgleich Generation'!L$79)*Generation_Entsoe_SFS_2017!$D$3:$AL$40)+SUMPRODUCT((Generation_Entsoe_SFS_2017!$A$3:$A$40='Abgleich Generation'!$A108)*(Generation_Entsoe_SFS_2017!$D$1:$AL$1='Abgleich Generation'!L$78)*Generation_Entsoe_SFS_2017!$D$3:$AL$40)+SUMPRODUCT((Generation_Entsoe_SFS_2017!$A$3:$A$40='Abgleich Generation'!$A108)*(Generation_Entsoe_SFS_2017!$D$1:$AL$1='Abgleich Generation'!L$77)*Generation_Entsoe_SFS_2017!$D$3:$AL$40)+SUMPRODUCT((Generation_Entsoe_SFS_2017!$A$3:$A$40='Abgleich Generation'!$A108)*(Generation_Entsoe_SFS_2017!$D$1:$AL$1='Abgleich Generation'!L$76)*Generation_Entsoe_SFS_2017!$D$3:$AL$40)</f>
        <v>#VALUE!</v>
      </c>
      <c r="M108" s="58" t="e">
        <f>SUMPRODUCT((Generation_Entsoe_SFS_2017!$A$3:$A$40='Abgleich Generation'!$A108)*(Generation_Entsoe_SFS_2017!$D$1:$AL$1='Abgleich Generation'!M$81)*Generation_Entsoe_SFS_2017!$D$3:$AL$40)+SUMPRODUCT((Generation_Entsoe_SFS_2017!$A$3:$A$40='Abgleich Generation'!$A108)*(Generation_Entsoe_SFS_2017!$D$1:$AL$1='Abgleich Generation'!M$80)*Generation_Entsoe_SFS_2017!$D$3:$AL$40)+SUMPRODUCT((Generation_Entsoe_SFS_2017!$A$3:$A$40='Abgleich Generation'!$A108)*(Generation_Entsoe_SFS_2017!$D$1:$AL$1='Abgleich Generation'!M$79)*Generation_Entsoe_SFS_2017!$D$3:$AL$40)+SUMPRODUCT((Generation_Entsoe_SFS_2017!$A$3:$A$40='Abgleich Generation'!$A108)*(Generation_Entsoe_SFS_2017!$D$1:$AL$1='Abgleich Generation'!M$78)*Generation_Entsoe_SFS_2017!$D$3:$AL$40)+SUMPRODUCT((Generation_Entsoe_SFS_2017!$A$3:$A$40='Abgleich Generation'!$A108)*(Generation_Entsoe_SFS_2017!$D$1:$AL$1='Abgleich Generation'!M$77)*Generation_Entsoe_SFS_2017!$D$3:$AL$40)+SUMPRODUCT((Generation_Entsoe_SFS_2017!$A$3:$A$40='Abgleich Generation'!$A108)*(Generation_Entsoe_SFS_2017!$D$1:$AL$1='Abgleich Generation'!M$76)*Generation_Entsoe_SFS_2017!$D$3:$AL$40)</f>
        <v>#VALUE!</v>
      </c>
      <c r="N108" s="58" t="e">
        <f>SUMPRODUCT((Generation_Entsoe_SFS_2017!$A$3:$A$40='Abgleich Generation'!$A108)*(Generation_Entsoe_SFS_2017!$D$1:$AL$1='Abgleich Generation'!N$81)*Generation_Entsoe_SFS_2017!$D$3:$AL$40)+SUMPRODUCT((Generation_Entsoe_SFS_2017!$A$3:$A$40='Abgleich Generation'!$A108)*(Generation_Entsoe_SFS_2017!$D$1:$AL$1='Abgleich Generation'!N$80)*Generation_Entsoe_SFS_2017!$D$3:$AL$40)+SUMPRODUCT((Generation_Entsoe_SFS_2017!$A$3:$A$40='Abgleich Generation'!$A108)*(Generation_Entsoe_SFS_2017!$D$1:$AL$1='Abgleich Generation'!N$79)*Generation_Entsoe_SFS_2017!$D$3:$AL$40)+SUMPRODUCT((Generation_Entsoe_SFS_2017!$A$3:$A$40='Abgleich Generation'!$A108)*(Generation_Entsoe_SFS_2017!$D$1:$AL$1='Abgleich Generation'!N$78)*Generation_Entsoe_SFS_2017!$D$3:$AL$40)+SUMPRODUCT((Generation_Entsoe_SFS_2017!$A$3:$A$40='Abgleich Generation'!$A108)*(Generation_Entsoe_SFS_2017!$D$1:$AL$1='Abgleich Generation'!N$77)*Generation_Entsoe_SFS_2017!$D$3:$AL$40)+SUMPRODUCT((Generation_Entsoe_SFS_2017!$A$3:$A$40='Abgleich Generation'!$A108)*(Generation_Entsoe_SFS_2017!$D$1:$AL$1='Abgleich Generation'!N$76)*Generation_Entsoe_SFS_2017!$D$3:$AL$40)</f>
        <v>#VALUE!</v>
      </c>
      <c r="O108" s="58" t="e">
        <f>SUMPRODUCT((Generation_Entsoe_SFS_2017!$A$3:$A$40='Abgleich Generation'!$A108)*(Generation_Entsoe_SFS_2017!$D$1:$AL$1='Abgleich Generation'!O$81)*Generation_Entsoe_SFS_2017!$D$3:$AL$40)+SUMPRODUCT((Generation_Entsoe_SFS_2017!$A$3:$A$40='Abgleich Generation'!$A108)*(Generation_Entsoe_SFS_2017!$D$1:$AL$1='Abgleich Generation'!O$80)*Generation_Entsoe_SFS_2017!$D$3:$AL$40)+SUMPRODUCT((Generation_Entsoe_SFS_2017!$A$3:$A$40='Abgleich Generation'!$A108)*(Generation_Entsoe_SFS_2017!$D$1:$AL$1='Abgleich Generation'!O$79)*Generation_Entsoe_SFS_2017!$D$3:$AL$40)+SUMPRODUCT((Generation_Entsoe_SFS_2017!$A$3:$A$40='Abgleich Generation'!$A108)*(Generation_Entsoe_SFS_2017!$D$1:$AL$1='Abgleich Generation'!O$78)*Generation_Entsoe_SFS_2017!$D$3:$AL$40)+SUMPRODUCT((Generation_Entsoe_SFS_2017!$A$3:$A$40='Abgleich Generation'!$A108)*(Generation_Entsoe_SFS_2017!$D$1:$AL$1='Abgleich Generation'!O$77)*Generation_Entsoe_SFS_2017!$D$3:$AL$40)+SUMPRODUCT((Generation_Entsoe_SFS_2017!$A$3:$A$40='Abgleich Generation'!$A108)*(Generation_Entsoe_SFS_2017!$D$1:$AL$1='Abgleich Generation'!O$76)*Generation_Entsoe_SFS_2017!$D$3:$AL$40)</f>
        <v>#VALUE!</v>
      </c>
      <c r="P108" s="58" t="e">
        <f>SUMPRODUCT((Generation_Entsoe_SFS_2017!$A$3:$A$40='Abgleich Generation'!$A108)*(Generation_Entsoe_SFS_2017!$D$1:$AL$1='Abgleich Generation'!P$81)*Generation_Entsoe_SFS_2017!$D$3:$AL$40)+SUMPRODUCT((Generation_Entsoe_SFS_2017!$A$3:$A$40='Abgleich Generation'!$A108)*(Generation_Entsoe_SFS_2017!$D$1:$AL$1='Abgleich Generation'!P$80)*Generation_Entsoe_SFS_2017!$D$3:$AL$40)+SUMPRODUCT((Generation_Entsoe_SFS_2017!$A$3:$A$40='Abgleich Generation'!$A108)*(Generation_Entsoe_SFS_2017!$D$1:$AL$1='Abgleich Generation'!P$79)*Generation_Entsoe_SFS_2017!$D$3:$AL$40)+SUMPRODUCT((Generation_Entsoe_SFS_2017!$A$3:$A$40='Abgleich Generation'!$A108)*(Generation_Entsoe_SFS_2017!$D$1:$AL$1='Abgleich Generation'!P$78)*Generation_Entsoe_SFS_2017!$D$3:$AL$40)+SUMPRODUCT((Generation_Entsoe_SFS_2017!$A$3:$A$40='Abgleich Generation'!$A108)*(Generation_Entsoe_SFS_2017!$D$1:$AL$1='Abgleich Generation'!P$77)*Generation_Entsoe_SFS_2017!$D$3:$AL$40)+SUMPRODUCT((Generation_Entsoe_SFS_2017!$A$3:$A$40='Abgleich Generation'!$A108)*(Generation_Entsoe_SFS_2017!$D$1:$AL$1='Abgleich Generation'!P$76)*Generation_Entsoe_SFS_2017!$D$3:$AL$40)</f>
        <v>#VALUE!</v>
      </c>
      <c r="Q108" s="58" t="e">
        <f>SUMPRODUCT((Generation_Entsoe_SFS_2017!$A$3:$A$40='Abgleich Generation'!$A108)*(Generation_Entsoe_SFS_2017!$D$1:$AL$1='Abgleich Generation'!Q$81)*Generation_Entsoe_SFS_2017!$D$3:$AL$40)+SUMPRODUCT((Generation_Entsoe_SFS_2017!$A$3:$A$40='Abgleich Generation'!$A108)*(Generation_Entsoe_SFS_2017!$D$1:$AL$1='Abgleich Generation'!Q$80)*Generation_Entsoe_SFS_2017!$D$3:$AL$40)+SUMPRODUCT((Generation_Entsoe_SFS_2017!$A$3:$A$40='Abgleich Generation'!$A108)*(Generation_Entsoe_SFS_2017!$D$1:$AL$1='Abgleich Generation'!Q$79)*Generation_Entsoe_SFS_2017!$D$3:$AL$40)+SUMPRODUCT((Generation_Entsoe_SFS_2017!$A$3:$A$40='Abgleich Generation'!$A108)*(Generation_Entsoe_SFS_2017!$D$1:$AL$1='Abgleich Generation'!Q$78)*Generation_Entsoe_SFS_2017!$D$3:$AL$40)+SUMPRODUCT((Generation_Entsoe_SFS_2017!$A$3:$A$40='Abgleich Generation'!$A108)*(Generation_Entsoe_SFS_2017!$D$1:$AL$1='Abgleich Generation'!Q$77)*Generation_Entsoe_SFS_2017!$D$3:$AL$40)+SUMPRODUCT((Generation_Entsoe_SFS_2017!$A$3:$A$40='Abgleich Generation'!$A108)*(Generation_Entsoe_SFS_2017!$D$1:$AL$1='Abgleich Generation'!Q$76)*Generation_Entsoe_SFS_2017!$D$3:$AL$40)</f>
        <v>#VALUE!</v>
      </c>
      <c r="R108" s="58" t="e">
        <f>SUMPRODUCT((Generation_Entsoe_SFS_2017!$A$3:$A$40='Abgleich Generation'!$A108)*(Generation_Entsoe_SFS_2017!$D$1:$AL$1='Abgleich Generation'!R$81)*Generation_Entsoe_SFS_2017!$D$3:$AL$40)+SUMPRODUCT((Generation_Entsoe_SFS_2017!$A$3:$A$40='Abgleich Generation'!$A108)*(Generation_Entsoe_SFS_2017!$D$1:$AL$1='Abgleich Generation'!R$80)*Generation_Entsoe_SFS_2017!$D$3:$AL$40)+SUMPRODUCT((Generation_Entsoe_SFS_2017!$A$3:$A$40='Abgleich Generation'!$A108)*(Generation_Entsoe_SFS_2017!$D$1:$AL$1='Abgleich Generation'!R$79)*Generation_Entsoe_SFS_2017!$D$3:$AL$40)+SUMPRODUCT((Generation_Entsoe_SFS_2017!$A$3:$A$40='Abgleich Generation'!$A108)*(Generation_Entsoe_SFS_2017!$D$1:$AL$1='Abgleich Generation'!R$78)*Generation_Entsoe_SFS_2017!$D$3:$AL$40)+SUMPRODUCT((Generation_Entsoe_SFS_2017!$A$3:$A$40='Abgleich Generation'!$A108)*(Generation_Entsoe_SFS_2017!$D$1:$AL$1='Abgleich Generation'!R$77)*Generation_Entsoe_SFS_2017!$D$3:$AL$40)+SUMPRODUCT((Generation_Entsoe_SFS_2017!$A$3:$A$40='Abgleich Generation'!$A108)*(Generation_Entsoe_SFS_2017!$D$1:$AL$1='Abgleich Generation'!R$76)*Generation_Entsoe_SFS_2017!$D$3:$AL$40)</f>
        <v>#VALUE!</v>
      </c>
      <c r="S108" s="58" t="e">
        <f>SUMPRODUCT((Generation_Entsoe_SFS_2017!$A$3:$A$40='Abgleich Generation'!$A108)*(Generation_Entsoe_SFS_2017!$D$1:$AL$1='Abgleich Generation'!S$81)*Generation_Entsoe_SFS_2017!$D$3:$AL$40)+SUMPRODUCT((Generation_Entsoe_SFS_2017!$A$3:$A$40='Abgleich Generation'!$A108)*(Generation_Entsoe_SFS_2017!$D$1:$AL$1='Abgleich Generation'!S$80)*Generation_Entsoe_SFS_2017!$D$3:$AL$40)+SUMPRODUCT((Generation_Entsoe_SFS_2017!$A$3:$A$40='Abgleich Generation'!$A108)*(Generation_Entsoe_SFS_2017!$D$1:$AL$1='Abgleich Generation'!S$79)*Generation_Entsoe_SFS_2017!$D$3:$AL$40)+SUMPRODUCT((Generation_Entsoe_SFS_2017!$A$3:$A$40='Abgleich Generation'!$A108)*(Generation_Entsoe_SFS_2017!$D$1:$AL$1='Abgleich Generation'!S$78)*Generation_Entsoe_SFS_2017!$D$3:$AL$40)+SUMPRODUCT((Generation_Entsoe_SFS_2017!$A$3:$A$40='Abgleich Generation'!$A108)*(Generation_Entsoe_SFS_2017!$D$1:$AL$1='Abgleich Generation'!S$77)*Generation_Entsoe_SFS_2017!$D$3:$AL$40)+SUMPRODUCT((Generation_Entsoe_SFS_2017!$A$3:$A$40='Abgleich Generation'!$A108)*(Generation_Entsoe_SFS_2017!$D$1:$AL$1='Abgleich Generation'!S$76)*Generation_Entsoe_SFS_2017!$D$3:$AL$40)</f>
        <v>#VALUE!</v>
      </c>
      <c r="T108" s="58" t="e">
        <f>SUMPRODUCT((Generation_Entsoe_SFS_2017!$A$3:$A$40='Abgleich Generation'!$A108)*(Generation_Entsoe_SFS_2017!$D$1:$AL$1='Abgleich Generation'!T$81)*Generation_Entsoe_SFS_2017!$D$3:$AL$40)+SUMPRODUCT((Generation_Entsoe_SFS_2017!$A$3:$A$40='Abgleich Generation'!$A108)*(Generation_Entsoe_SFS_2017!$D$1:$AL$1='Abgleich Generation'!T$80)*Generation_Entsoe_SFS_2017!$D$3:$AL$40)+SUMPRODUCT((Generation_Entsoe_SFS_2017!$A$3:$A$40='Abgleich Generation'!$A108)*(Generation_Entsoe_SFS_2017!$D$1:$AL$1='Abgleich Generation'!T$79)*Generation_Entsoe_SFS_2017!$D$3:$AL$40)+SUMPRODUCT((Generation_Entsoe_SFS_2017!$A$3:$A$40='Abgleich Generation'!$A108)*(Generation_Entsoe_SFS_2017!$D$1:$AL$1='Abgleich Generation'!T$78)*Generation_Entsoe_SFS_2017!$D$3:$AL$40)+SUMPRODUCT((Generation_Entsoe_SFS_2017!$A$3:$A$40='Abgleich Generation'!$A108)*(Generation_Entsoe_SFS_2017!$D$1:$AL$1='Abgleich Generation'!T$77)*Generation_Entsoe_SFS_2017!$D$3:$AL$40)+SUMPRODUCT((Generation_Entsoe_SFS_2017!$A$3:$A$40='Abgleich Generation'!$A108)*(Generation_Entsoe_SFS_2017!$D$1:$AL$1='Abgleich Generation'!T$76)*Generation_Entsoe_SFS_2017!$D$3:$AL$40)</f>
        <v>#VALUE!</v>
      </c>
      <c r="U108" s="58" t="e">
        <f>SUMPRODUCT((Generation_Entsoe_SFS_2017!$A$3:$A$40='Abgleich Generation'!$A108)*(Generation_Entsoe_SFS_2017!$D$1:$AL$1='Abgleich Generation'!U$81)*Generation_Entsoe_SFS_2017!$D$3:$AL$40)+SUMPRODUCT((Generation_Entsoe_SFS_2017!$A$3:$A$40='Abgleich Generation'!$A108)*(Generation_Entsoe_SFS_2017!$D$1:$AL$1='Abgleich Generation'!U$80)*Generation_Entsoe_SFS_2017!$D$3:$AL$40)+SUMPRODUCT((Generation_Entsoe_SFS_2017!$A$3:$A$40='Abgleich Generation'!$A108)*(Generation_Entsoe_SFS_2017!$D$1:$AL$1='Abgleich Generation'!U$79)*Generation_Entsoe_SFS_2017!$D$3:$AL$40)+SUMPRODUCT((Generation_Entsoe_SFS_2017!$A$3:$A$40='Abgleich Generation'!$A108)*(Generation_Entsoe_SFS_2017!$D$1:$AL$1='Abgleich Generation'!U$78)*Generation_Entsoe_SFS_2017!$D$3:$AL$40)+SUMPRODUCT((Generation_Entsoe_SFS_2017!$A$3:$A$40='Abgleich Generation'!$A108)*(Generation_Entsoe_SFS_2017!$D$1:$AL$1='Abgleich Generation'!U$77)*Generation_Entsoe_SFS_2017!$D$3:$AL$40)+SUMPRODUCT((Generation_Entsoe_SFS_2017!$A$3:$A$40='Abgleich Generation'!$A108)*(Generation_Entsoe_SFS_2017!$D$1:$AL$1='Abgleich Generation'!U$76)*Generation_Entsoe_SFS_2017!$D$3:$AL$40)</f>
        <v>#VALUE!</v>
      </c>
      <c r="V108" s="59" t="e">
        <f t="shared" si="63"/>
        <v>#VALUE!</v>
      </c>
      <c r="W108" s="60" t="e">
        <f>SUMPRODUCT((Generation_Entsoe_SFS_2017!$A$3:$A$40='Abgleich Generation'!$A108)*(Generation_Entsoe_SFS_2017!$D$1:$AL$1='Abgleich Generation'!W$81)*Generation_Entsoe_SFS_2017!$D$3:$AL$40)+SUMPRODUCT((Generation_Entsoe_SFS_2017!$A$3:$A$40='Abgleich Generation'!$A108)*(Generation_Entsoe_SFS_2017!$D$1:$AL$1='Abgleich Generation'!W$80)*Generation_Entsoe_SFS_2017!$D$3:$AL$40)+SUMPRODUCT((Generation_Entsoe_SFS_2017!$A$3:$A$40='Abgleich Generation'!$A108)*(Generation_Entsoe_SFS_2017!$D$1:$AL$1='Abgleich Generation'!W$79)*Generation_Entsoe_SFS_2017!$D$3:$AL$40)+SUMPRODUCT((Generation_Entsoe_SFS_2017!$A$3:$A$40='Abgleich Generation'!$A108)*(Generation_Entsoe_SFS_2017!$D$1:$AL$1='Abgleich Generation'!W$78)*Generation_Entsoe_SFS_2017!$D$3:$AL$40)+SUMPRODUCT((Generation_Entsoe_SFS_2017!$A$3:$A$40='Abgleich Generation'!$A108)*(Generation_Entsoe_SFS_2017!$D$1:$AL$1='Abgleich Generation'!W$77)*Generation_Entsoe_SFS_2017!$D$3:$AL$40)+SUMPRODUCT((Generation_Entsoe_SFS_2017!$A$3:$A$40='Abgleich Generation'!$A108)*(Generation_Entsoe_SFS_2017!$D$1:$AL$1='Abgleich Generation'!W$76)*Generation_Entsoe_SFS_2017!$D$3:$AL$40)</f>
        <v>#VALUE!</v>
      </c>
      <c r="X108" s="61" t="e">
        <f>SUMPRODUCT((Generation_Entsoe_SFS_2017!$A$3:$A$40='Abgleich Generation'!$A108)*(Generation_Entsoe_SFS_2017!$D$1:$AL$1='Abgleich Generation'!X$81)*Generation_Entsoe_SFS_2017!$D$3:$AL$40)+SUMPRODUCT((Generation_Entsoe_SFS_2017!$A$3:$A$40='Abgleich Generation'!$A108)*(Generation_Entsoe_SFS_2017!$D$1:$AL$1='Abgleich Generation'!X$80)*Generation_Entsoe_SFS_2017!$D$3:$AL$40)+SUMPRODUCT((Generation_Entsoe_SFS_2017!$A$3:$A$40='Abgleich Generation'!$A108)*(Generation_Entsoe_SFS_2017!$D$1:$AL$1='Abgleich Generation'!X$79)*Generation_Entsoe_SFS_2017!$D$3:$AL$40)+SUMPRODUCT((Generation_Entsoe_SFS_2017!$A$3:$A$40='Abgleich Generation'!$A108)*(Generation_Entsoe_SFS_2017!$D$1:$AL$1='Abgleich Generation'!X$78)*Generation_Entsoe_SFS_2017!$D$3:$AL$40)+SUMPRODUCT((Generation_Entsoe_SFS_2017!$A$3:$A$40='Abgleich Generation'!$A108)*(Generation_Entsoe_SFS_2017!$D$1:$AL$1='Abgleich Generation'!X$77)*Generation_Entsoe_SFS_2017!$D$3:$AL$40)+SUMPRODUCT((Generation_Entsoe_SFS_2017!$A$3:$A$40='Abgleich Generation'!$A108)*(Generation_Entsoe_SFS_2017!$D$1:$AL$1='Abgleich Generation'!X$76)*Generation_Entsoe_SFS_2017!$D$3:$AL$40)</f>
        <v>#VALUE!</v>
      </c>
      <c r="Y108" s="61" t="e">
        <f t="shared" si="64"/>
        <v>#VALUE!</v>
      </c>
    </row>
    <row r="109" spans="1:33" x14ac:dyDescent="0.25">
      <c r="A109" s="14" t="s">
        <v>35</v>
      </c>
      <c r="B109" s="25" t="e">
        <f t="shared" si="60"/>
        <v>#VALUE!</v>
      </c>
      <c r="C109" s="26" t="e">
        <f>SUMPRODUCT((Generation_Entsoe_SFS_2017!$A$3:$A$40='Abgleich Generation'!$A109)*(Generation_Entsoe_SFS_2017!$D$1:$AL$1='Abgleich Generation'!C$81)*Generation_Entsoe_SFS_2017!$D$3:$AL$40)+SUMPRODUCT((Generation_Entsoe_SFS_2017!$A$3:$A$40='Abgleich Generation'!$A109)*(Generation_Entsoe_SFS_2017!$D$1:$AL$1='Abgleich Generation'!C$80)*Generation_Entsoe_SFS_2017!$D$3:$AL$40)+SUMPRODUCT((Generation_Entsoe_SFS_2017!$A$3:$A$40='Abgleich Generation'!$A109)*(Generation_Entsoe_SFS_2017!$D$1:$AL$1='Abgleich Generation'!C$79)*Generation_Entsoe_SFS_2017!$D$3:$AL$40)+SUMPRODUCT((Generation_Entsoe_SFS_2017!$A$3:$A$40='Abgleich Generation'!$A109)*(Generation_Entsoe_SFS_2017!$D$1:$AL$1='Abgleich Generation'!C$78)*Generation_Entsoe_SFS_2017!$D$3:$AL$40)</f>
        <v>#VALUE!</v>
      </c>
      <c r="D109" s="26" t="e">
        <f t="shared" si="61"/>
        <v>#VALUE!</v>
      </c>
      <c r="E109" s="26" t="e">
        <f>SUMPRODUCT((Generation_Entsoe_SFS_2017!$A$3:$A$40='Abgleich Generation'!$A109)*(Generation_Entsoe_SFS_2017!$D$1:$AL$1='Abgleich Generation'!E$81)*Generation_Entsoe_SFS_2017!$D$3:$AL$40)+SUMPRODUCT((Generation_Entsoe_SFS_2017!$A$3:$A$40='Abgleich Generation'!$A109)*(Generation_Entsoe_SFS_2017!$D$1:$AL$1='Abgleich Generation'!E$80)*Generation_Entsoe_SFS_2017!$D$3:$AL$40)+SUMPRODUCT((Generation_Entsoe_SFS_2017!$A$3:$A$40='Abgleich Generation'!$A109)*(Generation_Entsoe_SFS_2017!$D$1:$AL$1='Abgleich Generation'!E$79)*Generation_Entsoe_SFS_2017!$D$3:$AL$40)+SUMPRODUCT((Generation_Entsoe_SFS_2017!$A$3:$A$40='Abgleich Generation'!$A109)*(Generation_Entsoe_SFS_2017!$D$1:$AL$1='Abgleich Generation'!E$78)*Generation_Entsoe_SFS_2017!$D$3:$AL$40)</f>
        <v>#VALUE!</v>
      </c>
      <c r="F109" s="26" t="e">
        <f>SUMPRODUCT((Generation_Entsoe_SFS_2017!$A$3:$A$40='Abgleich Generation'!$A109)*(Generation_Entsoe_SFS_2017!$D$1:$AL$1='Abgleich Generation'!F$81)*Generation_Entsoe_SFS_2017!$D$3:$AL$40)+SUMPRODUCT((Generation_Entsoe_SFS_2017!$A$3:$A$40='Abgleich Generation'!$A109)*(Generation_Entsoe_SFS_2017!$D$1:$AL$1='Abgleich Generation'!F$80)*Generation_Entsoe_SFS_2017!$D$3:$AL$40)+SUMPRODUCT((Generation_Entsoe_SFS_2017!$A$3:$A$40='Abgleich Generation'!$A109)*(Generation_Entsoe_SFS_2017!$D$1:$AL$1='Abgleich Generation'!F$79)*Generation_Entsoe_SFS_2017!$D$3:$AL$40)+SUMPRODUCT((Generation_Entsoe_SFS_2017!$A$3:$A$40='Abgleich Generation'!$A109)*(Generation_Entsoe_SFS_2017!$D$1:$AL$1='Abgleich Generation'!F$78)*Generation_Entsoe_SFS_2017!$D$3:$AL$40)</f>
        <v>#VALUE!</v>
      </c>
      <c r="G109" s="26" t="e">
        <f>SUMPRODUCT((Generation_Entsoe_SFS_2017!$A$3:$A$40='Abgleich Generation'!$A109)*(Generation_Entsoe_SFS_2017!$D$1:$AL$1='Abgleich Generation'!G$81)*Generation_Entsoe_SFS_2017!$D$3:$AL$40)+SUMPRODUCT((Generation_Entsoe_SFS_2017!$A$3:$A$40='Abgleich Generation'!$A109)*(Generation_Entsoe_SFS_2017!$D$1:$AL$1='Abgleich Generation'!G$80)*Generation_Entsoe_SFS_2017!$D$3:$AL$40)+SUMPRODUCT((Generation_Entsoe_SFS_2017!$A$3:$A$40='Abgleich Generation'!$A109)*(Generation_Entsoe_SFS_2017!$D$1:$AL$1='Abgleich Generation'!G$79)*Generation_Entsoe_SFS_2017!$D$3:$AL$40)+SUMPRODUCT((Generation_Entsoe_SFS_2017!$A$3:$A$40='Abgleich Generation'!$A109)*(Generation_Entsoe_SFS_2017!$D$1:$AL$1='Abgleich Generation'!G$78)*Generation_Entsoe_SFS_2017!$D$3:$AL$40)</f>
        <v>#VALUE!</v>
      </c>
      <c r="H109" s="26" t="e">
        <f>SUMPRODUCT((Generation_Entsoe_SFS_2017!$A$3:$A$40='Abgleich Generation'!$A109)*(Generation_Entsoe_SFS_2017!$D$1:$AL$1='Abgleich Generation'!H$81)*Generation_Entsoe_SFS_2017!$D$3:$AL$40)+SUMPRODUCT((Generation_Entsoe_SFS_2017!$A$3:$A$40='Abgleich Generation'!$A109)*(Generation_Entsoe_SFS_2017!$D$1:$AL$1='Abgleich Generation'!H$80)*Generation_Entsoe_SFS_2017!$D$3:$AL$40)+SUMPRODUCT((Generation_Entsoe_SFS_2017!$A$3:$A$40='Abgleich Generation'!$A109)*(Generation_Entsoe_SFS_2017!$D$1:$AL$1='Abgleich Generation'!H$79)*Generation_Entsoe_SFS_2017!$D$3:$AL$40)+SUMPRODUCT((Generation_Entsoe_SFS_2017!$A$3:$A$40='Abgleich Generation'!$A109)*(Generation_Entsoe_SFS_2017!$D$1:$AL$1='Abgleich Generation'!H$78)*Generation_Entsoe_SFS_2017!$D$3:$AL$40)</f>
        <v>#VALUE!</v>
      </c>
      <c r="I109" s="26" t="e">
        <f>SUMPRODUCT((Generation_Entsoe_SFS_2017!$A$3:$A$40='Abgleich Generation'!$A109)*(Generation_Entsoe_SFS_2017!$D$1:$AL$1='Abgleich Generation'!I$81)*Generation_Entsoe_SFS_2017!$D$3:$AL$40)+SUMPRODUCT((Generation_Entsoe_SFS_2017!$A$3:$A$40='Abgleich Generation'!$A109)*(Generation_Entsoe_SFS_2017!$D$1:$AL$1='Abgleich Generation'!I$80)*Generation_Entsoe_SFS_2017!$D$3:$AL$40)+SUMPRODUCT((Generation_Entsoe_SFS_2017!$A$3:$A$40='Abgleich Generation'!$A109)*(Generation_Entsoe_SFS_2017!$D$1:$AL$1='Abgleich Generation'!I$79)*Generation_Entsoe_SFS_2017!$D$3:$AL$40)+SUMPRODUCT((Generation_Entsoe_SFS_2017!$A$3:$A$40='Abgleich Generation'!$A109)*(Generation_Entsoe_SFS_2017!$D$1:$AL$1='Abgleich Generation'!I$78)*Generation_Entsoe_SFS_2017!$D$3:$AL$40)</f>
        <v>#VALUE!</v>
      </c>
      <c r="J109" s="26" t="e">
        <f>SUMPRODUCT((Generation_Entsoe_SFS_2017!$A$3:$A$40='Abgleich Generation'!$A109)*(Generation_Entsoe_SFS_2017!$D$1:$AL$1='Abgleich Generation'!J$81)*Generation_Entsoe_SFS_2017!$D$3:$AL$40)+SUMPRODUCT((Generation_Entsoe_SFS_2017!$A$3:$A$40='Abgleich Generation'!$A109)*(Generation_Entsoe_SFS_2017!$D$1:$AL$1='Abgleich Generation'!J$80)*Generation_Entsoe_SFS_2017!$D$3:$AL$40)+SUMPRODUCT((Generation_Entsoe_SFS_2017!$A$3:$A$40='Abgleich Generation'!$A109)*(Generation_Entsoe_SFS_2017!$D$1:$AL$1='Abgleich Generation'!J$79)*Generation_Entsoe_SFS_2017!$D$3:$AL$40)+SUMPRODUCT((Generation_Entsoe_SFS_2017!$A$3:$A$40='Abgleich Generation'!$A109)*(Generation_Entsoe_SFS_2017!$D$1:$AL$1='Abgleich Generation'!J$78)*Generation_Entsoe_SFS_2017!$D$3:$AL$40)</f>
        <v>#VALUE!</v>
      </c>
      <c r="K109" s="27" t="e">
        <f t="shared" si="62"/>
        <v>#VALUE!</v>
      </c>
      <c r="L109" s="26" t="e">
        <f>SUMPRODUCT((Generation_Entsoe_SFS_2017!$A$3:$A$40='Abgleich Generation'!$A109)*(Generation_Entsoe_SFS_2017!$D$1:$AL$1='Abgleich Generation'!L$81)*Generation_Entsoe_SFS_2017!$D$3:$AL$40)+SUMPRODUCT((Generation_Entsoe_SFS_2017!$A$3:$A$40='Abgleich Generation'!$A109)*(Generation_Entsoe_SFS_2017!$D$1:$AL$1='Abgleich Generation'!L$80)*Generation_Entsoe_SFS_2017!$D$3:$AL$40)+SUMPRODUCT((Generation_Entsoe_SFS_2017!$A$3:$A$40='Abgleich Generation'!$A109)*(Generation_Entsoe_SFS_2017!$D$1:$AL$1='Abgleich Generation'!L$79)*Generation_Entsoe_SFS_2017!$D$3:$AL$40)+SUMPRODUCT((Generation_Entsoe_SFS_2017!$A$3:$A$40='Abgleich Generation'!$A109)*(Generation_Entsoe_SFS_2017!$D$1:$AL$1='Abgleich Generation'!L$78)*Generation_Entsoe_SFS_2017!$D$3:$AL$40)+SUMPRODUCT((Generation_Entsoe_SFS_2017!$A$3:$A$40='Abgleich Generation'!$A109)*(Generation_Entsoe_SFS_2017!$D$1:$AL$1='Abgleich Generation'!L$77)*Generation_Entsoe_SFS_2017!$D$3:$AL$40)+SUMPRODUCT((Generation_Entsoe_SFS_2017!$A$3:$A$40='Abgleich Generation'!$A109)*(Generation_Entsoe_SFS_2017!$D$1:$AL$1='Abgleich Generation'!L$76)*Generation_Entsoe_SFS_2017!$D$3:$AL$40)</f>
        <v>#VALUE!</v>
      </c>
      <c r="M109" s="26" t="e">
        <f>SUMPRODUCT((Generation_Entsoe_SFS_2017!$A$3:$A$40='Abgleich Generation'!$A109)*(Generation_Entsoe_SFS_2017!$D$1:$AL$1='Abgleich Generation'!M$81)*Generation_Entsoe_SFS_2017!$D$3:$AL$40)+SUMPRODUCT((Generation_Entsoe_SFS_2017!$A$3:$A$40='Abgleich Generation'!$A109)*(Generation_Entsoe_SFS_2017!$D$1:$AL$1='Abgleich Generation'!M$80)*Generation_Entsoe_SFS_2017!$D$3:$AL$40)+SUMPRODUCT((Generation_Entsoe_SFS_2017!$A$3:$A$40='Abgleich Generation'!$A109)*(Generation_Entsoe_SFS_2017!$D$1:$AL$1='Abgleich Generation'!M$79)*Generation_Entsoe_SFS_2017!$D$3:$AL$40)+SUMPRODUCT((Generation_Entsoe_SFS_2017!$A$3:$A$40='Abgleich Generation'!$A109)*(Generation_Entsoe_SFS_2017!$D$1:$AL$1='Abgleich Generation'!M$78)*Generation_Entsoe_SFS_2017!$D$3:$AL$40)+SUMPRODUCT((Generation_Entsoe_SFS_2017!$A$3:$A$40='Abgleich Generation'!$A109)*(Generation_Entsoe_SFS_2017!$D$1:$AL$1='Abgleich Generation'!M$77)*Generation_Entsoe_SFS_2017!$D$3:$AL$40)+SUMPRODUCT((Generation_Entsoe_SFS_2017!$A$3:$A$40='Abgleich Generation'!$A109)*(Generation_Entsoe_SFS_2017!$D$1:$AL$1='Abgleich Generation'!M$76)*Generation_Entsoe_SFS_2017!$D$3:$AL$40)</f>
        <v>#VALUE!</v>
      </c>
      <c r="N109" s="26" t="e">
        <f>SUMPRODUCT((Generation_Entsoe_SFS_2017!$A$3:$A$40='Abgleich Generation'!$A109)*(Generation_Entsoe_SFS_2017!$D$1:$AL$1='Abgleich Generation'!N$81)*Generation_Entsoe_SFS_2017!$D$3:$AL$40)+SUMPRODUCT((Generation_Entsoe_SFS_2017!$A$3:$A$40='Abgleich Generation'!$A109)*(Generation_Entsoe_SFS_2017!$D$1:$AL$1='Abgleich Generation'!N$80)*Generation_Entsoe_SFS_2017!$D$3:$AL$40)+SUMPRODUCT((Generation_Entsoe_SFS_2017!$A$3:$A$40='Abgleich Generation'!$A109)*(Generation_Entsoe_SFS_2017!$D$1:$AL$1='Abgleich Generation'!N$79)*Generation_Entsoe_SFS_2017!$D$3:$AL$40)+SUMPRODUCT((Generation_Entsoe_SFS_2017!$A$3:$A$40='Abgleich Generation'!$A109)*(Generation_Entsoe_SFS_2017!$D$1:$AL$1='Abgleich Generation'!N$78)*Generation_Entsoe_SFS_2017!$D$3:$AL$40)+SUMPRODUCT((Generation_Entsoe_SFS_2017!$A$3:$A$40='Abgleich Generation'!$A109)*(Generation_Entsoe_SFS_2017!$D$1:$AL$1='Abgleich Generation'!N$77)*Generation_Entsoe_SFS_2017!$D$3:$AL$40)+SUMPRODUCT((Generation_Entsoe_SFS_2017!$A$3:$A$40='Abgleich Generation'!$A109)*(Generation_Entsoe_SFS_2017!$D$1:$AL$1='Abgleich Generation'!N$76)*Generation_Entsoe_SFS_2017!$D$3:$AL$40)</f>
        <v>#VALUE!</v>
      </c>
      <c r="O109" s="26" t="e">
        <f>SUMPRODUCT((Generation_Entsoe_SFS_2017!$A$3:$A$40='Abgleich Generation'!$A109)*(Generation_Entsoe_SFS_2017!$D$1:$AL$1='Abgleich Generation'!O$81)*Generation_Entsoe_SFS_2017!$D$3:$AL$40)+SUMPRODUCT((Generation_Entsoe_SFS_2017!$A$3:$A$40='Abgleich Generation'!$A109)*(Generation_Entsoe_SFS_2017!$D$1:$AL$1='Abgleich Generation'!O$80)*Generation_Entsoe_SFS_2017!$D$3:$AL$40)+SUMPRODUCT((Generation_Entsoe_SFS_2017!$A$3:$A$40='Abgleich Generation'!$A109)*(Generation_Entsoe_SFS_2017!$D$1:$AL$1='Abgleich Generation'!O$79)*Generation_Entsoe_SFS_2017!$D$3:$AL$40)+SUMPRODUCT((Generation_Entsoe_SFS_2017!$A$3:$A$40='Abgleich Generation'!$A109)*(Generation_Entsoe_SFS_2017!$D$1:$AL$1='Abgleich Generation'!O$78)*Generation_Entsoe_SFS_2017!$D$3:$AL$40)+SUMPRODUCT((Generation_Entsoe_SFS_2017!$A$3:$A$40='Abgleich Generation'!$A109)*(Generation_Entsoe_SFS_2017!$D$1:$AL$1='Abgleich Generation'!O$77)*Generation_Entsoe_SFS_2017!$D$3:$AL$40)+SUMPRODUCT((Generation_Entsoe_SFS_2017!$A$3:$A$40='Abgleich Generation'!$A109)*(Generation_Entsoe_SFS_2017!$D$1:$AL$1='Abgleich Generation'!O$76)*Generation_Entsoe_SFS_2017!$D$3:$AL$40)</f>
        <v>#VALUE!</v>
      </c>
      <c r="P109" s="26" t="e">
        <f>SUMPRODUCT((Generation_Entsoe_SFS_2017!$A$3:$A$40='Abgleich Generation'!$A109)*(Generation_Entsoe_SFS_2017!$D$1:$AL$1='Abgleich Generation'!P$81)*Generation_Entsoe_SFS_2017!$D$3:$AL$40)+SUMPRODUCT((Generation_Entsoe_SFS_2017!$A$3:$A$40='Abgleich Generation'!$A109)*(Generation_Entsoe_SFS_2017!$D$1:$AL$1='Abgleich Generation'!P$80)*Generation_Entsoe_SFS_2017!$D$3:$AL$40)+SUMPRODUCT((Generation_Entsoe_SFS_2017!$A$3:$A$40='Abgleich Generation'!$A109)*(Generation_Entsoe_SFS_2017!$D$1:$AL$1='Abgleich Generation'!P$79)*Generation_Entsoe_SFS_2017!$D$3:$AL$40)+SUMPRODUCT((Generation_Entsoe_SFS_2017!$A$3:$A$40='Abgleich Generation'!$A109)*(Generation_Entsoe_SFS_2017!$D$1:$AL$1='Abgleich Generation'!P$78)*Generation_Entsoe_SFS_2017!$D$3:$AL$40)+SUMPRODUCT((Generation_Entsoe_SFS_2017!$A$3:$A$40='Abgleich Generation'!$A109)*(Generation_Entsoe_SFS_2017!$D$1:$AL$1='Abgleich Generation'!P$77)*Generation_Entsoe_SFS_2017!$D$3:$AL$40)+SUMPRODUCT((Generation_Entsoe_SFS_2017!$A$3:$A$40='Abgleich Generation'!$A109)*(Generation_Entsoe_SFS_2017!$D$1:$AL$1='Abgleich Generation'!P$76)*Generation_Entsoe_SFS_2017!$D$3:$AL$40)</f>
        <v>#VALUE!</v>
      </c>
      <c r="Q109" s="26" t="e">
        <f>SUMPRODUCT((Generation_Entsoe_SFS_2017!$A$3:$A$40='Abgleich Generation'!$A109)*(Generation_Entsoe_SFS_2017!$D$1:$AL$1='Abgleich Generation'!Q$81)*Generation_Entsoe_SFS_2017!$D$3:$AL$40)+SUMPRODUCT((Generation_Entsoe_SFS_2017!$A$3:$A$40='Abgleich Generation'!$A109)*(Generation_Entsoe_SFS_2017!$D$1:$AL$1='Abgleich Generation'!Q$80)*Generation_Entsoe_SFS_2017!$D$3:$AL$40)+SUMPRODUCT((Generation_Entsoe_SFS_2017!$A$3:$A$40='Abgleich Generation'!$A109)*(Generation_Entsoe_SFS_2017!$D$1:$AL$1='Abgleich Generation'!Q$79)*Generation_Entsoe_SFS_2017!$D$3:$AL$40)+SUMPRODUCT((Generation_Entsoe_SFS_2017!$A$3:$A$40='Abgleich Generation'!$A109)*(Generation_Entsoe_SFS_2017!$D$1:$AL$1='Abgleich Generation'!Q$78)*Generation_Entsoe_SFS_2017!$D$3:$AL$40)+SUMPRODUCT((Generation_Entsoe_SFS_2017!$A$3:$A$40='Abgleich Generation'!$A109)*(Generation_Entsoe_SFS_2017!$D$1:$AL$1='Abgleich Generation'!Q$77)*Generation_Entsoe_SFS_2017!$D$3:$AL$40)+SUMPRODUCT((Generation_Entsoe_SFS_2017!$A$3:$A$40='Abgleich Generation'!$A109)*(Generation_Entsoe_SFS_2017!$D$1:$AL$1='Abgleich Generation'!Q$76)*Generation_Entsoe_SFS_2017!$D$3:$AL$40)</f>
        <v>#VALUE!</v>
      </c>
      <c r="R109" s="26" t="e">
        <f>SUMPRODUCT((Generation_Entsoe_SFS_2017!$A$3:$A$40='Abgleich Generation'!$A109)*(Generation_Entsoe_SFS_2017!$D$1:$AL$1='Abgleich Generation'!R$81)*Generation_Entsoe_SFS_2017!$D$3:$AL$40)+SUMPRODUCT((Generation_Entsoe_SFS_2017!$A$3:$A$40='Abgleich Generation'!$A109)*(Generation_Entsoe_SFS_2017!$D$1:$AL$1='Abgleich Generation'!R$80)*Generation_Entsoe_SFS_2017!$D$3:$AL$40)+SUMPRODUCT((Generation_Entsoe_SFS_2017!$A$3:$A$40='Abgleich Generation'!$A109)*(Generation_Entsoe_SFS_2017!$D$1:$AL$1='Abgleich Generation'!R$79)*Generation_Entsoe_SFS_2017!$D$3:$AL$40)+SUMPRODUCT((Generation_Entsoe_SFS_2017!$A$3:$A$40='Abgleich Generation'!$A109)*(Generation_Entsoe_SFS_2017!$D$1:$AL$1='Abgleich Generation'!R$78)*Generation_Entsoe_SFS_2017!$D$3:$AL$40)+SUMPRODUCT((Generation_Entsoe_SFS_2017!$A$3:$A$40='Abgleich Generation'!$A109)*(Generation_Entsoe_SFS_2017!$D$1:$AL$1='Abgleich Generation'!R$77)*Generation_Entsoe_SFS_2017!$D$3:$AL$40)+SUMPRODUCT((Generation_Entsoe_SFS_2017!$A$3:$A$40='Abgleich Generation'!$A109)*(Generation_Entsoe_SFS_2017!$D$1:$AL$1='Abgleich Generation'!R$76)*Generation_Entsoe_SFS_2017!$D$3:$AL$40)</f>
        <v>#VALUE!</v>
      </c>
      <c r="S109" s="26" t="e">
        <f>SUMPRODUCT((Generation_Entsoe_SFS_2017!$A$3:$A$40='Abgleich Generation'!$A109)*(Generation_Entsoe_SFS_2017!$D$1:$AL$1='Abgleich Generation'!S$81)*Generation_Entsoe_SFS_2017!$D$3:$AL$40)+SUMPRODUCT((Generation_Entsoe_SFS_2017!$A$3:$A$40='Abgleich Generation'!$A109)*(Generation_Entsoe_SFS_2017!$D$1:$AL$1='Abgleich Generation'!S$80)*Generation_Entsoe_SFS_2017!$D$3:$AL$40)+SUMPRODUCT((Generation_Entsoe_SFS_2017!$A$3:$A$40='Abgleich Generation'!$A109)*(Generation_Entsoe_SFS_2017!$D$1:$AL$1='Abgleich Generation'!S$79)*Generation_Entsoe_SFS_2017!$D$3:$AL$40)+SUMPRODUCT((Generation_Entsoe_SFS_2017!$A$3:$A$40='Abgleich Generation'!$A109)*(Generation_Entsoe_SFS_2017!$D$1:$AL$1='Abgleich Generation'!S$78)*Generation_Entsoe_SFS_2017!$D$3:$AL$40)+SUMPRODUCT((Generation_Entsoe_SFS_2017!$A$3:$A$40='Abgleich Generation'!$A109)*(Generation_Entsoe_SFS_2017!$D$1:$AL$1='Abgleich Generation'!S$77)*Generation_Entsoe_SFS_2017!$D$3:$AL$40)+SUMPRODUCT((Generation_Entsoe_SFS_2017!$A$3:$A$40='Abgleich Generation'!$A109)*(Generation_Entsoe_SFS_2017!$D$1:$AL$1='Abgleich Generation'!S$76)*Generation_Entsoe_SFS_2017!$D$3:$AL$40)</f>
        <v>#VALUE!</v>
      </c>
      <c r="T109" s="26" t="e">
        <f>SUMPRODUCT((Generation_Entsoe_SFS_2017!$A$3:$A$40='Abgleich Generation'!$A109)*(Generation_Entsoe_SFS_2017!$D$1:$AL$1='Abgleich Generation'!T$81)*Generation_Entsoe_SFS_2017!$D$3:$AL$40)+SUMPRODUCT((Generation_Entsoe_SFS_2017!$A$3:$A$40='Abgleich Generation'!$A109)*(Generation_Entsoe_SFS_2017!$D$1:$AL$1='Abgleich Generation'!T$80)*Generation_Entsoe_SFS_2017!$D$3:$AL$40)+SUMPRODUCT((Generation_Entsoe_SFS_2017!$A$3:$A$40='Abgleich Generation'!$A109)*(Generation_Entsoe_SFS_2017!$D$1:$AL$1='Abgleich Generation'!T$79)*Generation_Entsoe_SFS_2017!$D$3:$AL$40)+SUMPRODUCT((Generation_Entsoe_SFS_2017!$A$3:$A$40='Abgleich Generation'!$A109)*(Generation_Entsoe_SFS_2017!$D$1:$AL$1='Abgleich Generation'!T$78)*Generation_Entsoe_SFS_2017!$D$3:$AL$40)+SUMPRODUCT((Generation_Entsoe_SFS_2017!$A$3:$A$40='Abgleich Generation'!$A109)*(Generation_Entsoe_SFS_2017!$D$1:$AL$1='Abgleich Generation'!T$77)*Generation_Entsoe_SFS_2017!$D$3:$AL$40)+SUMPRODUCT((Generation_Entsoe_SFS_2017!$A$3:$A$40='Abgleich Generation'!$A109)*(Generation_Entsoe_SFS_2017!$D$1:$AL$1='Abgleich Generation'!T$76)*Generation_Entsoe_SFS_2017!$D$3:$AL$40)</f>
        <v>#VALUE!</v>
      </c>
      <c r="U109" s="26" t="e">
        <f>SUMPRODUCT((Generation_Entsoe_SFS_2017!$A$3:$A$40='Abgleich Generation'!$A109)*(Generation_Entsoe_SFS_2017!$D$1:$AL$1='Abgleich Generation'!U$81)*Generation_Entsoe_SFS_2017!$D$3:$AL$40)+SUMPRODUCT((Generation_Entsoe_SFS_2017!$A$3:$A$40='Abgleich Generation'!$A109)*(Generation_Entsoe_SFS_2017!$D$1:$AL$1='Abgleich Generation'!U$80)*Generation_Entsoe_SFS_2017!$D$3:$AL$40)+SUMPRODUCT((Generation_Entsoe_SFS_2017!$A$3:$A$40='Abgleich Generation'!$A109)*(Generation_Entsoe_SFS_2017!$D$1:$AL$1='Abgleich Generation'!U$79)*Generation_Entsoe_SFS_2017!$D$3:$AL$40)+SUMPRODUCT((Generation_Entsoe_SFS_2017!$A$3:$A$40='Abgleich Generation'!$A109)*(Generation_Entsoe_SFS_2017!$D$1:$AL$1='Abgleich Generation'!U$78)*Generation_Entsoe_SFS_2017!$D$3:$AL$40)+SUMPRODUCT((Generation_Entsoe_SFS_2017!$A$3:$A$40='Abgleich Generation'!$A109)*(Generation_Entsoe_SFS_2017!$D$1:$AL$1='Abgleich Generation'!U$77)*Generation_Entsoe_SFS_2017!$D$3:$AL$40)+SUMPRODUCT((Generation_Entsoe_SFS_2017!$A$3:$A$40='Abgleich Generation'!$A109)*(Generation_Entsoe_SFS_2017!$D$1:$AL$1='Abgleich Generation'!U$76)*Generation_Entsoe_SFS_2017!$D$3:$AL$40)</f>
        <v>#VALUE!</v>
      </c>
      <c r="V109" s="27" t="e">
        <f t="shared" si="63"/>
        <v>#VALUE!</v>
      </c>
      <c r="W109" s="28" t="e">
        <f>SUMPRODUCT((Generation_Entsoe_SFS_2017!$A$3:$A$40='Abgleich Generation'!$A109)*(Generation_Entsoe_SFS_2017!$D$1:$AL$1='Abgleich Generation'!W$81)*Generation_Entsoe_SFS_2017!$D$3:$AL$40)+SUMPRODUCT((Generation_Entsoe_SFS_2017!$A$3:$A$40='Abgleich Generation'!$A109)*(Generation_Entsoe_SFS_2017!$D$1:$AL$1='Abgleich Generation'!W$80)*Generation_Entsoe_SFS_2017!$D$3:$AL$40)+SUMPRODUCT((Generation_Entsoe_SFS_2017!$A$3:$A$40='Abgleich Generation'!$A109)*(Generation_Entsoe_SFS_2017!$D$1:$AL$1='Abgleich Generation'!W$79)*Generation_Entsoe_SFS_2017!$D$3:$AL$40)+SUMPRODUCT((Generation_Entsoe_SFS_2017!$A$3:$A$40='Abgleich Generation'!$A109)*(Generation_Entsoe_SFS_2017!$D$1:$AL$1='Abgleich Generation'!W$78)*Generation_Entsoe_SFS_2017!$D$3:$AL$40)+SUMPRODUCT((Generation_Entsoe_SFS_2017!$A$3:$A$40='Abgleich Generation'!$A109)*(Generation_Entsoe_SFS_2017!$D$1:$AL$1='Abgleich Generation'!W$77)*Generation_Entsoe_SFS_2017!$D$3:$AL$40)+SUMPRODUCT((Generation_Entsoe_SFS_2017!$A$3:$A$40='Abgleich Generation'!$A109)*(Generation_Entsoe_SFS_2017!$D$1:$AL$1='Abgleich Generation'!W$76)*Generation_Entsoe_SFS_2017!$D$3:$AL$40)</f>
        <v>#VALUE!</v>
      </c>
      <c r="X109" s="29" t="e">
        <f>SUMPRODUCT((Generation_Entsoe_SFS_2017!$A$3:$A$40='Abgleich Generation'!$A109)*(Generation_Entsoe_SFS_2017!$D$1:$AL$1='Abgleich Generation'!X$81)*Generation_Entsoe_SFS_2017!$D$3:$AL$40)+SUMPRODUCT((Generation_Entsoe_SFS_2017!$A$3:$A$40='Abgleich Generation'!$A109)*(Generation_Entsoe_SFS_2017!$D$1:$AL$1='Abgleich Generation'!X$80)*Generation_Entsoe_SFS_2017!$D$3:$AL$40)+SUMPRODUCT((Generation_Entsoe_SFS_2017!$A$3:$A$40='Abgleich Generation'!$A109)*(Generation_Entsoe_SFS_2017!$D$1:$AL$1='Abgleich Generation'!X$79)*Generation_Entsoe_SFS_2017!$D$3:$AL$40)+SUMPRODUCT((Generation_Entsoe_SFS_2017!$A$3:$A$40='Abgleich Generation'!$A109)*(Generation_Entsoe_SFS_2017!$D$1:$AL$1='Abgleich Generation'!X$78)*Generation_Entsoe_SFS_2017!$D$3:$AL$40)+SUMPRODUCT((Generation_Entsoe_SFS_2017!$A$3:$A$40='Abgleich Generation'!$A109)*(Generation_Entsoe_SFS_2017!$D$1:$AL$1='Abgleich Generation'!X$77)*Generation_Entsoe_SFS_2017!$D$3:$AL$40)+SUMPRODUCT((Generation_Entsoe_SFS_2017!$A$3:$A$40='Abgleich Generation'!$A109)*(Generation_Entsoe_SFS_2017!$D$1:$AL$1='Abgleich Generation'!X$76)*Generation_Entsoe_SFS_2017!$D$3:$AL$40)</f>
        <v>#VALUE!</v>
      </c>
      <c r="Y109" s="29" t="e">
        <f t="shared" si="64"/>
        <v>#VALUE!</v>
      </c>
    </row>
    <row r="110" spans="1:33" x14ac:dyDescent="0.25">
      <c r="A110" s="14" t="s">
        <v>36</v>
      </c>
      <c r="B110" s="57" t="e">
        <f t="shared" si="60"/>
        <v>#VALUE!</v>
      </c>
      <c r="C110" s="58" t="e">
        <f>SUMPRODUCT((Generation_Entsoe_SFS_2017!$A$3:$A$40='Abgleich Generation'!$A110)*(Generation_Entsoe_SFS_2017!$D$1:$AL$1='Abgleich Generation'!C$81)*Generation_Entsoe_SFS_2017!$D$3:$AL$40)+SUMPRODUCT((Generation_Entsoe_SFS_2017!$A$3:$A$40='Abgleich Generation'!$A110)*(Generation_Entsoe_SFS_2017!$D$1:$AL$1='Abgleich Generation'!C$80)*Generation_Entsoe_SFS_2017!$D$3:$AL$40)+SUMPRODUCT((Generation_Entsoe_SFS_2017!$A$3:$A$40='Abgleich Generation'!$A110)*(Generation_Entsoe_SFS_2017!$D$1:$AL$1='Abgleich Generation'!C$79)*Generation_Entsoe_SFS_2017!$D$3:$AL$40)+SUMPRODUCT((Generation_Entsoe_SFS_2017!$A$3:$A$40='Abgleich Generation'!$A110)*(Generation_Entsoe_SFS_2017!$D$1:$AL$1='Abgleich Generation'!C$78)*Generation_Entsoe_SFS_2017!$D$3:$AL$40)</f>
        <v>#VALUE!</v>
      </c>
      <c r="D110" s="58" t="e">
        <f t="shared" si="61"/>
        <v>#VALUE!</v>
      </c>
      <c r="E110" s="58" t="e">
        <f>SUMPRODUCT((Generation_Entsoe_SFS_2017!$A$3:$A$40='Abgleich Generation'!$A110)*(Generation_Entsoe_SFS_2017!$D$1:$AL$1='Abgleich Generation'!E$81)*Generation_Entsoe_SFS_2017!$D$3:$AL$40)+SUMPRODUCT((Generation_Entsoe_SFS_2017!$A$3:$A$40='Abgleich Generation'!$A110)*(Generation_Entsoe_SFS_2017!$D$1:$AL$1='Abgleich Generation'!E$80)*Generation_Entsoe_SFS_2017!$D$3:$AL$40)+SUMPRODUCT((Generation_Entsoe_SFS_2017!$A$3:$A$40='Abgleich Generation'!$A110)*(Generation_Entsoe_SFS_2017!$D$1:$AL$1='Abgleich Generation'!E$79)*Generation_Entsoe_SFS_2017!$D$3:$AL$40)+SUMPRODUCT((Generation_Entsoe_SFS_2017!$A$3:$A$40='Abgleich Generation'!$A110)*(Generation_Entsoe_SFS_2017!$D$1:$AL$1='Abgleich Generation'!E$78)*Generation_Entsoe_SFS_2017!$D$3:$AL$40)</f>
        <v>#VALUE!</v>
      </c>
      <c r="F110" s="58" t="e">
        <f>SUMPRODUCT((Generation_Entsoe_SFS_2017!$A$3:$A$40='Abgleich Generation'!$A110)*(Generation_Entsoe_SFS_2017!$D$1:$AL$1='Abgleich Generation'!F$81)*Generation_Entsoe_SFS_2017!$D$3:$AL$40)+SUMPRODUCT((Generation_Entsoe_SFS_2017!$A$3:$A$40='Abgleich Generation'!$A110)*(Generation_Entsoe_SFS_2017!$D$1:$AL$1='Abgleich Generation'!F$80)*Generation_Entsoe_SFS_2017!$D$3:$AL$40)+SUMPRODUCT((Generation_Entsoe_SFS_2017!$A$3:$A$40='Abgleich Generation'!$A110)*(Generation_Entsoe_SFS_2017!$D$1:$AL$1='Abgleich Generation'!F$79)*Generation_Entsoe_SFS_2017!$D$3:$AL$40)+SUMPRODUCT((Generation_Entsoe_SFS_2017!$A$3:$A$40='Abgleich Generation'!$A110)*(Generation_Entsoe_SFS_2017!$D$1:$AL$1='Abgleich Generation'!F$78)*Generation_Entsoe_SFS_2017!$D$3:$AL$40)</f>
        <v>#VALUE!</v>
      </c>
      <c r="G110" s="58" t="e">
        <f>SUMPRODUCT((Generation_Entsoe_SFS_2017!$A$3:$A$40='Abgleich Generation'!$A110)*(Generation_Entsoe_SFS_2017!$D$1:$AL$1='Abgleich Generation'!G$81)*Generation_Entsoe_SFS_2017!$D$3:$AL$40)+SUMPRODUCT((Generation_Entsoe_SFS_2017!$A$3:$A$40='Abgleich Generation'!$A110)*(Generation_Entsoe_SFS_2017!$D$1:$AL$1='Abgleich Generation'!G$80)*Generation_Entsoe_SFS_2017!$D$3:$AL$40)+SUMPRODUCT((Generation_Entsoe_SFS_2017!$A$3:$A$40='Abgleich Generation'!$A110)*(Generation_Entsoe_SFS_2017!$D$1:$AL$1='Abgleich Generation'!G$79)*Generation_Entsoe_SFS_2017!$D$3:$AL$40)+SUMPRODUCT((Generation_Entsoe_SFS_2017!$A$3:$A$40='Abgleich Generation'!$A110)*(Generation_Entsoe_SFS_2017!$D$1:$AL$1='Abgleich Generation'!G$78)*Generation_Entsoe_SFS_2017!$D$3:$AL$40)</f>
        <v>#VALUE!</v>
      </c>
      <c r="H110" s="58" t="e">
        <f>SUMPRODUCT((Generation_Entsoe_SFS_2017!$A$3:$A$40='Abgleich Generation'!$A110)*(Generation_Entsoe_SFS_2017!$D$1:$AL$1='Abgleich Generation'!H$81)*Generation_Entsoe_SFS_2017!$D$3:$AL$40)+SUMPRODUCT((Generation_Entsoe_SFS_2017!$A$3:$A$40='Abgleich Generation'!$A110)*(Generation_Entsoe_SFS_2017!$D$1:$AL$1='Abgleich Generation'!H$80)*Generation_Entsoe_SFS_2017!$D$3:$AL$40)+SUMPRODUCT((Generation_Entsoe_SFS_2017!$A$3:$A$40='Abgleich Generation'!$A110)*(Generation_Entsoe_SFS_2017!$D$1:$AL$1='Abgleich Generation'!H$79)*Generation_Entsoe_SFS_2017!$D$3:$AL$40)+SUMPRODUCT((Generation_Entsoe_SFS_2017!$A$3:$A$40='Abgleich Generation'!$A110)*(Generation_Entsoe_SFS_2017!$D$1:$AL$1='Abgleich Generation'!H$78)*Generation_Entsoe_SFS_2017!$D$3:$AL$40)</f>
        <v>#VALUE!</v>
      </c>
      <c r="I110" s="58" t="e">
        <f>SUMPRODUCT((Generation_Entsoe_SFS_2017!$A$3:$A$40='Abgleich Generation'!$A110)*(Generation_Entsoe_SFS_2017!$D$1:$AL$1='Abgleich Generation'!I$81)*Generation_Entsoe_SFS_2017!$D$3:$AL$40)+SUMPRODUCT((Generation_Entsoe_SFS_2017!$A$3:$A$40='Abgleich Generation'!$A110)*(Generation_Entsoe_SFS_2017!$D$1:$AL$1='Abgleich Generation'!I$80)*Generation_Entsoe_SFS_2017!$D$3:$AL$40)+SUMPRODUCT((Generation_Entsoe_SFS_2017!$A$3:$A$40='Abgleich Generation'!$A110)*(Generation_Entsoe_SFS_2017!$D$1:$AL$1='Abgleich Generation'!I$79)*Generation_Entsoe_SFS_2017!$D$3:$AL$40)+SUMPRODUCT((Generation_Entsoe_SFS_2017!$A$3:$A$40='Abgleich Generation'!$A110)*(Generation_Entsoe_SFS_2017!$D$1:$AL$1='Abgleich Generation'!I$78)*Generation_Entsoe_SFS_2017!$D$3:$AL$40)</f>
        <v>#VALUE!</v>
      </c>
      <c r="J110" s="58" t="e">
        <f>SUMPRODUCT((Generation_Entsoe_SFS_2017!$A$3:$A$40='Abgleich Generation'!$A110)*(Generation_Entsoe_SFS_2017!$D$1:$AL$1='Abgleich Generation'!J$81)*Generation_Entsoe_SFS_2017!$D$3:$AL$40)+SUMPRODUCT((Generation_Entsoe_SFS_2017!$A$3:$A$40='Abgleich Generation'!$A110)*(Generation_Entsoe_SFS_2017!$D$1:$AL$1='Abgleich Generation'!J$80)*Generation_Entsoe_SFS_2017!$D$3:$AL$40)+SUMPRODUCT((Generation_Entsoe_SFS_2017!$A$3:$A$40='Abgleich Generation'!$A110)*(Generation_Entsoe_SFS_2017!$D$1:$AL$1='Abgleich Generation'!J$79)*Generation_Entsoe_SFS_2017!$D$3:$AL$40)+SUMPRODUCT((Generation_Entsoe_SFS_2017!$A$3:$A$40='Abgleich Generation'!$A110)*(Generation_Entsoe_SFS_2017!$D$1:$AL$1='Abgleich Generation'!J$78)*Generation_Entsoe_SFS_2017!$D$3:$AL$40)</f>
        <v>#VALUE!</v>
      </c>
      <c r="K110" s="59" t="e">
        <f t="shared" si="62"/>
        <v>#VALUE!</v>
      </c>
      <c r="L110" s="58" t="e">
        <f>SUMPRODUCT((Generation_Entsoe_SFS_2017!$A$3:$A$40='Abgleich Generation'!$A110)*(Generation_Entsoe_SFS_2017!$D$1:$AL$1='Abgleich Generation'!L$81)*Generation_Entsoe_SFS_2017!$D$3:$AL$40)+SUMPRODUCT((Generation_Entsoe_SFS_2017!$A$3:$A$40='Abgleich Generation'!$A110)*(Generation_Entsoe_SFS_2017!$D$1:$AL$1='Abgleich Generation'!L$80)*Generation_Entsoe_SFS_2017!$D$3:$AL$40)+SUMPRODUCT((Generation_Entsoe_SFS_2017!$A$3:$A$40='Abgleich Generation'!$A110)*(Generation_Entsoe_SFS_2017!$D$1:$AL$1='Abgleich Generation'!L$79)*Generation_Entsoe_SFS_2017!$D$3:$AL$40)+SUMPRODUCT((Generation_Entsoe_SFS_2017!$A$3:$A$40='Abgleich Generation'!$A110)*(Generation_Entsoe_SFS_2017!$D$1:$AL$1='Abgleich Generation'!L$78)*Generation_Entsoe_SFS_2017!$D$3:$AL$40)+SUMPRODUCT((Generation_Entsoe_SFS_2017!$A$3:$A$40='Abgleich Generation'!$A110)*(Generation_Entsoe_SFS_2017!$D$1:$AL$1='Abgleich Generation'!L$77)*Generation_Entsoe_SFS_2017!$D$3:$AL$40)+SUMPRODUCT((Generation_Entsoe_SFS_2017!$A$3:$A$40='Abgleich Generation'!$A110)*(Generation_Entsoe_SFS_2017!$D$1:$AL$1='Abgleich Generation'!L$76)*Generation_Entsoe_SFS_2017!$D$3:$AL$40)</f>
        <v>#VALUE!</v>
      </c>
      <c r="M110" s="58" t="e">
        <f>SUMPRODUCT((Generation_Entsoe_SFS_2017!$A$3:$A$40='Abgleich Generation'!$A110)*(Generation_Entsoe_SFS_2017!$D$1:$AL$1='Abgleich Generation'!M$81)*Generation_Entsoe_SFS_2017!$D$3:$AL$40)+SUMPRODUCT((Generation_Entsoe_SFS_2017!$A$3:$A$40='Abgleich Generation'!$A110)*(Generation_Entsoe_SFS_2017!$D$1:$AL$1='Abgleich Generation'!M$80)*Generation_Entsoe_SFS_2017!$D$3:$AL$40)+SUMPRODUCT((Generation_Entsoe_SFS_2017!$A$3:$A$40='Abgleich Generation'!$A110)*(Generation_Entsoe_SFS_2017!$D$1:$AL$1='Abgleich Generation'!M$79)*Generation_Entsoe_SFS_2017!$D$3:$AL$40)+SUMPRODUCT((Generation_Entsoe_SFS_2017!$A$3:$A$40='Abgleich Generation'!$A110)*(Generation_Entsoe_SFS_2017!$D$1:$AL$1='Abgleich Generation'!M$78)*Generation_Entsoe_SFS_2017!$D$3:$AL$40)+SUMPRODUCT((Generation_Entsoe_SFS_2017!$A$3:$A$40='Abgleich Generation'!$A110)*(Generation_Entsoe_SFS_2017!$D$1:$AL$1='Abgleich Generation'!M$77)*Generation_Entsoe_SFS_2017!$D$3:$AL$40)+SUMPRODUCT((Generation_Entsoe_SFS_2017!$A$3:$A$40='Abgleich Generation'!$A110)*(Generation_Entsoe_SFS_2017!$D$1:$AL$1='Abgleich Generation'!M$76)*Generation_Entsoe_SFS_2017!$D$3:$AL$40)</f>
        <v>#VALUE!</v>
      </c>
      <c r="N110" s="58" t="e">
        <f>SUMPRODUCT((Generation_Entsoe_SFS_2017!$A$3:$A$40='Abgleich Generation'!$A110)*(Generation_Entsoe_SFS_2017!$D$1:$AL$1='Abgleich Generation'!N$81)*Generation_Entsoe_SFS_2017!$D$3:$AL$40)+SUMPRODUCT((Generation_Entsoe_SFS_2017!$A$3:$A$40='Abgleich Generation'!$A110)*(Generation_Entsoe_SFS_2017!$D$1:$AL$1='Abgleich Generation'!N$80)*Generation_Entsoe_SFS_2017!$D$3:$AL$40)+SUMPRODUCT((Generation_Entsoe_SFS_2017!$A$3:$A$40='Abgleich Generation'!$A110)*(Generation_Entsoe_SFS_2017!$D$1:$AL$1='Abgleich Generation'!N$79)*Generation_Entsoe_SFS_2017!$D$3:$AL$40)+SUMPRODUCT((Generation_Entsoe_SFS_2017!$A$3:$A$40='Abgleich Generation'!$A110)*(Generation_Entsoe_SFS_2017!$D$1:$AL$1='Abgleich Generation'!N$78)*Generation_Entsoe_SFS_2017!$D$3:$AL$40)+SUMPRODUCT((Generation_Entsoe_SFS_2017!$A$3:$A$40='Abgleich Generation'!$A110)*(Generation_Entsoe_SFS_2017!$D$1:$AL$1='Abgleich Generation'!N$77)*Generation_Entsoe_SFS_2017!$D$3:$AL$40)+SUMPRODUCT((Generation_Entsoe_SFS_2017!$A$3:$A$40='Abgleich Generation'!$A110)*(Generation_Entsoe_SFS_2017!$D$1:$AL$1='Abgleich Generation'!N$76)*Generation_Entsoe_SFS_2017!$D$3:$AL$40)</f>
        <v>#VALUE!</v>
      </c>
      <c r="O110" s="58" t="e">
        <f>SUMPRODUCT((Generation_Entsoe_SFS_2017!$A$3:$A$40='Abgleich Generation'!$A110)*(Generation_Entsoe_SFS_2017!$D$1:$AL$1='Abgleich Generation'!O$81)*Generation_Entsoe_SFS_2017!$D$3:$AL$40)+SUMPRODUCT((Generation_Entsoe_SFS_2017!$A$3:$A$40='Abgleich Generation'!$A110)*(Generation_Entsoe_SFS_2017!$D$1:$AL$1='Abgleich Generation'!O$80)*Generation_Entsoe_SFS_2017!$D$3:$AL$40)+SUMPRODUCT((Generation_Entsoe_SFS_2017!$A$3:$A$40='Abgleich Generation'!$A110)*(Generation_Entsoe_SFS_2017!$D$1:$AL$1='Abgleich Generation'!O$79)*Generation_Entsoe_SFS_2017!$D$3:$AL$40)+SUMPRODUCT((Generation_Entsoe_SFS_2017!$A$3:$A$40='Abgleich Generation'!$A110)*(Generation_Entsoe_SFS_2017!$D$1:$AL$1='Abgleich Generation'!O$78)*Generation_Entsoe_SFS_2017!$D$3:$AL$40)+SUMPRODUCT((Generation_Entsoe_SFS_2017!$A$3:$A$40='Abgleich Generation'!$A110)*(Generation_Entsoe_SFS_2017!$D$1:$AL$1='Abgleich Generation'!O$77)*Generation_Entsoe_SFS_2017!$D$3:$AL$40)+SUMPRODUCT((Generation_Entsoe_SFS_2017!$A$3:$A$40='Abgleich Generation'!$A110)*(Generation_Entsoe_SFS_2017!$D$1:$AL$1='Abgleich Generation'!O$76)*Generation_Entsoe_SFS_2017!$D$3:$AL$40)</f>
        <v>#VALUE!</v>
      </c>
      <c r="P110" s="58" t="e">
        <f>SUMPRODUCT((Generation_Entsoe_SFS_2017!$A$3:$A$40='Abgleich Generation'!$A110)*(Generation_Entsoe_SFS_2017!$D$1:$AL$1='Abgleich Generation'!P$81)*Generation_Entsoe_SFS_2017!$D$3:$AL$40)+SUMPRODUCT((Generation_Entsoe_SFS_2017!$A$3:$A$40='Abgleich Generation'!$A110)*(Generation_Entsoe_SFS_2017!$D$1:$AL$1='Abgleich Generation'!P$80)*Generation_Entsoe_SFS_2017!$D$3:$AL$40)+SUMPRODUCT((Generation_Entsoe_SFS_2017!$A$3:$A$40='Abgleich Generation'!$A110)*(Generation_Entsoe_SFS_2017!$D$1:$AL$1='Abgleich Generation'!P$79)*Generation_Entsoe_SFS_2017!$D$3:$AL$40)+SUMPRODUCT((Generation_Entsoe_SFS_2017!$A$3:$A$40='Abgleich Generation'!$A110)*(Generation_Entsoe_SFS_2017!$D$1:$AL$1='Abgleich Generation'!P$78)*Generation_Entsoe_SFS_2017!$D$3:$AL$40)+SUMPRODUCT((Generation_Entsoe_SFS_2017!$A$3:$A$40='Abgleich Generation'!$A110)*(Generation_Entsoe_SFS_2017!$D$1:$AL$1='Abgleich Generation'!P$77)*Generation_Entsoe_SFS_2017!$D$3:$AL$40)+SUMPRODUCT((Generation_Entsoe_SFS_2017!$A$3:$A$40='Abgleich Generation'!$A110)*(Generation_Entsoe_SFS_2017!$D$1:$AL$1='Abgleich Generation'!P$76)*Generation_Entsoe_SFS_2017!$D$3:$AL$40)</f>
        <v>#VALUE!</v>
      </c>
      <c r="Q110" s="58" t="e">
        <f>SUMPRODUCT((Generation_Entsoe_SFS_2017!$A$3:$A$40='Abgleich Generation'!$A110)*(Generation_Entsoe_SFS_2017!$D$1:$AL$1='Abgleich Generation'!Q$81)*Generation_Entsoe_SFS_2017!$D$3:$AL$40)+SUMPRODUCT((Generation_Entsoe_SFS_2017!$A$3:$A$40='Abgleich Generation'!$A110)*(Generation_Entsoe_SFS_2017!$D$1:$AL$1='Abgleich Generation'!Q$80)*Generation_Entsoe_SFS_2017!$D$3:$AL$40)+SUMPRODUCT((Generation_Entsoe_SFS_2017!$A$3:$A$40='Abgleich Generation'!$A110)*(Generation_Entsoe_SFS_2017!$D$1:$AL$1='Abgleich Generation'!Q$79)*Generation_Entsoe_SFS_2017!$D$3:$AL$40)+SUMPRODUCT((Generation_Entsoe_SFS_2017!$A$3:$A$40='Abgleich Generation'!$A110)*(Generation_Entsoe_SFS_2017!$D$1:$AL$1='Abgleich Generation'!Q$78)*Generation_Entsoe_SFS_2017!$D$3:$AL$40)+SUMPRODUCT((Generation_Entsoe_SFS_2017!$A$3:$A$40='Abgleich Generation'!$A110)*(Generation_Entsoe_SFS_2017!$D$1:$AL$1='Abgleich Generation'!Q$77)*Generation_Entsoe_SFS_2017!$D$3:$AL$40)+SUMPRODUCT((Generation_Entsoe_SFS_2017!$A$3:$A$40='Abgleich Generation'!$A110)*(Generation_Entsoe_SFS_2017!$D$1:$AL$1='Abgleich Generation'!Q$76)*Generation_Entsoe_SFS_2017!$D$3:$AL$40)</f>
        <v>#VALUE!</v>
      </c>
      <c r="R110" s="58" t="e">
        <f>SUMPRODUCT((Generation_Entsoe_SFS_2017!$A$3:$A$40='Abgleich Generation'!$A110)*(Generation_Entsoe_SFS_2017!$D$1:$AL$1='Abgleich Generation'!R$81)*Generation_Entsoe_SFS_2017!$D$3:$AL$40)+SUMPRODUCT((Generation_Entsoe_SFS_2017!$A$3:$A$40='Abgleich Generation'!$A110)*(Generation_Entsoe_SFS_2017!$D$1:$AL$1='Abgleich Generation'!R$80)*Generation_Entsoe_SFS_2017!$D$3:$AL$40)+SUMPRODUCT((Generation_Entsoe_SFS_2017!$A$3:$A$40='Abgleich Generation'!$A110)*(Generation_Entsoe_SFS_2017!$D$1:$AL$1='Abgleich Generation'!R$79)*Generation_Entsoe_SFS_2017!$D$3:$AL$40)+SUMPRODUCT((Generation_Entsoe_SFS_2017!$A$3:$A$40='Abgleich Generation'!$A110)*(Generation_Entsoe_SFS_2017!$D$1:$AL$1='Abgleich Generation'!R$78)*Generation_Entsoe_SFS_2017!$D$3:$AL$40)+SUMPRODUCT((Generation_Entsoe_SFS_2017!$A$3:$A$40='Abgleich Generation'!$A110)*(Generation_Entsoe_SFS_2017!$D$1:$AL$1='Abgleich Generation'!R$77)*Generation_Entsoe_SFS_2017!$D$3:$AL$40)+SUMPRODUCT((Generation_Entsoe_SFS_2017!$A$3:$A$40='Abgleich Generation'!$A110)*(Generation_Entsoe_SFS_2017!$D$1:$AL$1='Abgleich Generation'!R$76)*Generation_Entsoe_SFS_2017!$D$3:$AL$40)</f>
        <v>#VALUE!</v>
      </c>
      <c r="S110" s="58" t="e">
        <f>SUMPRODUCT((Generation_Entsoe_SFS_2017!$A$3:$A$40='Abgleich Generation'!$A110)*(Generation_Entsoe_SFS_2017!$D$1:$AL$1='Abgleich Generation'!S$81)*Generation_Entsoe_SFS_2017!$D$3:$AL$40)+SUMPRODUCT((Generation_Entsoe_SFS_2017!$A$3:$A$40='Abgleich Generation'!$A110)*(Generation_Entsoe_SFS_2017!$D$1:$AL$1='Abgleich Generation'!S$80)*Generation_Entsoe_SFS_2017!$D$3:$AL$40)+SUMPRODUCT((Generation_Entsoe_SFS_2017!$A$3:$A$40='Abgleich Generation'!$A110)*(Generation_Entsoe_SFS_2017!$D$1:$AL$1='Abgleich Generation'!S$79)*Generation_Entsoe_SFS_2017!$D$3:$AL$40)+SUMPRODUCT((Generation_Entsoe_SFS_2017!$A$3:$A$40='Abgleich Generation'!$A110)*(Generation_Entsoe_SFS_2017!$D$1:$AL$1='Abgleich Generation'!S$78)*Generation_Entsoe_SFS_2017!$D$3:$AL$40)+SUMPRODUCT((Generation_Entsoe_SFS_2017!$A$3:$A$40='Abgleich Generation'!$A110)*(Generation_Entsoe_SFS_2017!$D$1:$AL$1='Abgleich Generation'!S$77)*Generation_Entsoe_SFS_2017!$D$3:$AL$40)+SUMPRODUCT((Generation_Entsoe_SFS_2017!$A$3:$A$40='Abgleich Generation'!$A110)*(Generation_Entsoe_SFS_2017!$D$1:$AL$1='Abgleich Generation'!S$76)*Generation_Entsoe_SFS_2017!$D$3:$AL$40)</f>
        <v>#VALUE!</v>
      </c>
      <c r="T110" s="58" t="e">
        <f>SUMPRODUCT((Generation_Entsoe_SFS_2017!$A$3:$A$40='Abgleich Generation'!$A110)*(Generation_Entsoe_SFS_2017!$D$1:$AL$1='Abgleich Generation'!T$81)*Generation_Entsoe_SFS_2017!$D$3:$AL$40)+SUMPRODUCT((Generation_Entsoe_SFS_2017!$A$3:$A$40='Abgleich Generation'!$A110)*(Generation_Entsoe_SFS_2017!$D$1:$AL$1='Abgleich Generation'!T$80)*Generation_Entsoe_SFS_2017!$D$3:$AL$40)+SUMPRODUCT((Generation_Entsoe_SFS_2017!$A$3:$A$40='Abgleich Generation'!$A110)*(Generation_Entsoe_SFS_2017!$D$1:$AL$1='Abgleich Generation'!T$79)*Generation_Entsoe_SFS_2017!$D$3:$AL$40)+SUMPRODUCT((Generation_Entsoe_SFS_2017!$A$3:$A$40='Abgleich Generation'!$A110)*(Generation_Entsoe_SFS_2017!$D$1:$AL$1='Abgleich Generation'!T$78)*Generation_Entsoe_SFS_2017!$D$3:$AL$40)+SUMPRODUCT((Generation_Entsoe_SFS_2017!$A$3:$A$40='Abgleich Generation'!$A110)*(Generation_Entsoe_SFS_2017!$D$1:$AL$1='Abgleich Generation'!T$77)*Generation_Entsoe_SFS_2017!$D$3:$AL$40)+SUMPRODUCT((Generation_Entsoe_SFS_2017!$A$3:$A$40='Abgleich Generation'!$A110)*(Generation_Entsoe_SFS_2017!$D$1:$AL$1='Abgleich Generation'!T$76)*Generation_Entsoe_SFS_2017!$D$3:$AL$40)</f>
        <v>#VALUE!</v>
      </c>
      <c r="U110" s="58" t="e">
        <f>SUMPRODUCT((Generation_Entsoe_SFS_2017!$A$3:$A$40='Abgleich Generation'!$A110)*(Generation_Entsoe_SFS_2017!$D$1:$AL$1='Abgleich Generation'!U$81)*Generation_Entsoe_SFS_2017!$D$3:$AL$40)+SUMPRODUCT((Generation_Entsoe_SFS_2017!$A$3:$A$40='Abgleich Generation'!$A110)*(Generation_Entsoe_SFS_2017!$D$1:$AL$1='Abgleich Generation'!U$80)*Generation_Entsoe_SFS_2017!$D$3:$AL$40)+SUMPRODUCT((Generation_Entsoe_SFS_2017!$A$3:$A$40='Abgleich Generation'!$A110)*(Generation_Entsoe_SFS_2017!$D$1:$AL$1='Abgleich Generation'!U$79)*Generation_Entsoe_SFS_2017!$D$3:$AL$40)+SUMPRODUCT((Generation_Entsoe_SFS_2017!$A$3:$A$40='Abgleich Generation'!$A110)*(Generation_Entsoe_SFS_2017!$D$1:$AL$1='Abgleich Generation'!U$78)*Generation_Entsoe_SFS_2017!$D$3:$AL$40)+SUMPRODUCT((Generation_Entsoe_SFS_2017!$A$3:$A$40='Abgleich Generation'!$A110)*(Generation_Entsoe_SFS_2017!$D$1:$AL$1='Abgleich Generation'!U$77)*Generation_Entsoe_SFS_2017!$D$3:$AL$40)+SUMPRODUCT((Generation_Entsoe_SFS_2017!$A$3:$A$40='Abgleich Generation'!$A110)*(Generation_Entsoe_SFS_2017!$D$1:$AL$1='Abgleich Generation'!U$76)*Generation_Entsoe_SFS_2017!$D$3:$AL$40)</f>
        <v>#VALUE!</v>
      </c>
      <c r="V110" s="59" t="e">
        <f t="shared" si="63"/>
        <v>#VALUE!</v>
      </c>
      <c r="W110" s="60" t="e">
        <f>SUMPRODUCT((Generation_Entsoe_SFS_2017!$A$3:$A$40='Abgleich Generation'!$A110)*(Generation_Entsoe_SFS_2017!$D$1:$AL$1='Abgleich Generation'!W$81)*Generation_Entsoe_SFS_2017!$D$3:$AL$40)+SUMPRODUCT((Generation_Entsoe_SFS_2017!$A$3:$A$40='Abgleich Generation'!$A110)*(Generation_Entsoe_SFS_2017!$D$1:$AL$1='Abgleich Generation'!W$80)*Generation_Entsoe_SFS_2017!$D$3:$AL$40)+SUMPRODUCT((Generation_Entsoe_SFS_2017!$A$3:$A$40='Abgleich Generation'!$A110)*(Generation_Entsoe_SFS_2017!$D$1:$AL$1='Abgleich Generation'!W$79)*Generation_Entsoe_SFS_2017!$D$3:$AL$40)+SUMPRODUCT((Generation_Entsoe_SFS_2017!$A$3:$A$40='Abgleich Generation'!$A110)*(Generation_Entsoe_SFS_2017!$D$1:$AL$1='Abgleich Generation'!W$78)*Generation_Entsoe_SFS_2017!$D$3:$AL$40)+SUMPRODUCT((Generation_Entsoe_SFS_2017!$A$3:$A$40='Abgleich Generation'!$A110)*(Generation_Entsoe_SFS_2017!$D$1:$AL$1='Abgleich Generation'!W$77)*Generation_Entsoe_SFS_2017!$D$3:$AL$40)+SUMPRODUCT((Generation_Entsoe_SFS_2017!$A$3:$A$40='Abgleich Generation'!$A110)*(Generation_Entsoe_SFS_2017!$D$1:$AL$1='Abgleich Generation'!W$76)*Generation_Entsoe_SFS_2017!$D$3:$AL$40)</f>
        <v>#VALUE!</v>
      </c>
      <c r="X110" s="61" t="e">
        <f>SUMPRODUCT((Generation_Entsoe_SFS_2017!$A$3:$A$40='Abgleich Generation'!$A110)*(Generation_Entsoe_SFS_2017!$D$1:$AL$1='Abgleich Generation'!X$81)*Generation_Entsoe_SFS_2017!$D$3:$AL$40)+SUMPRODUCT((Generation_Entsoe_SFS_2017!$A$3:$A$40='Abgleich Generation'!$A110)*(Generation_Entsoe_SFS_2017!$D$1:$AL$1='Abgleich Generation'!X$80)*Generation_Entsoe_SFS_2017!$D$3:$AL$40)+SUMPRODUCT((Generation_Entsoe_SFS_2017!$A$3:$A$40='Abgleich Generation'!$A110)*(Generation_Entsoe_SFS_2017!$D$1:$AL$1='Abgleich Generation'!X$79)*Generation_Entsoe_SFS_2017!$D$3:$AL$40)+SUMPRODUCT((Generation_Entsoe_SFS_2017!$A$3:$A$40='Abgleich Generation'!$A110)*(Generation_Entsoe_SFS_2017!$D$1:$AL$1='Abgleich Generation'!X$78)*Generation_Entsoe_SFS_2017!$D$3:$AL$40)+SUMPRODUCT((Generation_Entsoe_SFS_2017!$A$3:$A$40='Abgleich Generation'!$A110)*(Generation_Entsoe_SFS_2017!$D$1:$AL$1='Abgleich Generation'!X$77)*Generation_Entsoe_SFS_2017!$D$3:$AL$40)+SUMPRODUCT((Generation_Entsoe_SFS_2017!$A$3:$A$40='Abgleich Generation'!$A110)*(Generation_Entsoe_SFS_2017!$D$1:$AL$1='Abgleich Generation'!X$76)*Generation_Entsoe_SFS_2017!$D$3:$AL$40)</f>
        <v>#VALUE!</v>
      </c>
      <c r="Y110" s="61" t="e">
        <f t="shared" si="64"/>
        <v>#VALUE!</v>
      </c>
    </row>
    <row r="111" spans="1:33" x14ac:dyDescent="0.25">
      <c r="A111" s="14" t="s">
        <v>37</v>
      </c>
      <c r="B111" s="25" t="e">
        <f t="shared" si="60"/>
        <v>#VALUE!</v>
      </c>
      <c r="C111" s="26" t="e">
        <f>SUMPRODUCT((Generation_Entsoe_SFS_2017!$A$3:$A$40='Abgleich Generation'!$A111)*(Generation_Entsoe_SFS_2017!$D$1:$AL$1='Abgleich Generation'!C$81)*Generation_Entsoe_SFS_2017!$D$3:$AL$40)+SUMPRODUCT((Generation_Entsoe_SFS_2017!$A$3:$A$40='Abgleich Generation'!$A111)*(Generation_Entsoe_SFS_2017!$D$1:$AL$1='Abgleich Generation'!C$80)*Generation_Entsoe_SFS_2017!$D$3:$AL$40)+SUMPRODUCT((Generation_Entsoe_SFS_2017!$A$3:$A$40='Abgleich Generation'!$A111)*(Generation_Entsoe_SFS_2017!$D$1:$AL$1='Abgleich Generation'!C$79)*Generation_Entsoe_SFS_2017!$D$3:$AL$40)+SUMPRODUCT((Generation_Entsoe_SFS_2017!$A$3:$A$40='Abgleich Generation'!$A111)*(Generation_Entsoe_SFS_2017!$D$1:$AL$1='Abgleich Generation'!C$78)*Generation_Entsoe_SFS_2017!$D$3:$AL$40)</f>
        <v>#VALUE!</v>
      </c>
      <c r="D111" s="26" t="e">
        <f t="shared" si="61"/>
        <v>#VALUE!</v>
      </c>
      <c r="E111" s="26" t="e">
        <f>SUMPRODUCT((Generation_Entsoe_SFS_2017!$A$3:$A$40='Abgleich Generation'!$A111)*(Generation_Entsoe_SFS_2017!$D$1:$AL$1='Abgleich Generation'!E$81)*Generation_Entsoe_SFS_2017!$D$3:$AL$40)+SUMPRODUCT((Generation_Entsoe_SFS_2017!$A$3:$A$40='Abgleich Generation'!$A111)*(Generation_Entsoe_SFS_2017!$D$1:$AL$1='Abgleich Generation'!E$80)*Generation_Entsoe_SFS_2017!$D$3:$AL$40)+SUMPRODUCT((Generation_Entsoe_SFS_2017!$A$3:$A$40='Abgleich Generation'!$A111)*(Generation_Entsoe_SFS_2017!$D$1:$AL$1='Abgleich Generation'!E$79)*Generation_Entsoe_SFS_2017!$D$3:$AL$40)+SUMPRODUCT((Generation_Entsoe_SFS_2017!$A$3:$A$40='Abgleich Generation'!$A111)*(Generation_Entsoe_SFS_2017!$D$1:$AL$1='Abgleich Generation'!E$78)*Generation_Entsoe_SFS_2017!$D$3:$AL$40)</f>
        <v>#VALUE!</v>
      </c>
      <c r="F111" s="26" t="e">
        <f>SUMPRODUCT((Generation_Entsoe_SFS_2017!$A$3:$A$40='Abgleich Generation'!$A111)*(Generation_Entsoe_SFS_2017!$D$1:$AL$1='Abgleich Generation'!F$81)*Generation_Entsoe_SFS_2017!$D$3:$AL$40)+SUMPRODUCT((Generation_Entsoe_SFS_2017!$A$3:$A$40='Abgleich Generation'!$A111)*(Generation_Entsoe_SFS_2017!$D$1:$AL$1='Abgleich Generation'!F$80)*Generation_Entsoe_SFS_2017!$D$3:$AL$40)+SUMPRODUCT((Generation_Entsoe_SFS_2017!$A$3:$A$40='Abgleich Generation'!$A111)*(Generation_Entsoe_SFS_2017!$D$1:$AL$1='Abgleich Generation'!F$79)*Generation_Entsoe_SFS_2017!$D$3:$AL$40)+SUMPRODUCT((Generation_Entsoe_SFS_2017!$A$3:$A$40='Abgleich Generation'!$A111)*(Generation_Entsoe_SFS_2017!$D$1:$AL$1='Abgleich Generation'!F$78)*Generation_Entsoe_SFS_2017!$D$3:$AL$40)</f>
        <v>#VALUE!</v>
      </c>
      <c r="G111" s="26" t="e">
        <f>SUMPRODUCT((Generation_Entsoe_SFS_2017!$A$3:$A$40='Abgleich Generation'!$A111)*(Generation_Entsoe_SFS_2017!$D$1:$AL$1='Abgleich Generation'!G$81)*Generation_Entsoe_SFS_2017!$D$3:$AL$40)+SUMPRODUCT((Generation_Entsoe_SFS_2017!$A$3:$A$40='Abgleich Generation'!$A111)*(Generation_Entsoe_SFS_2017!$D$1:$AL$1='Abgleich Generation'!G$80)*Generation_Entsoe_SFS_2017!$D$3:$AL$40)+SUMPRODUCT((Generation_Entsoe_SFS_2017!$A$3:$A$40='Abgleich Generation'!$A111)*(Generation_Entsoe_SFS_2017!$D$1:$AL$1='Abgleich Generation'!G$79)*Generation_Entsoe_SFS_2017!$D$3:$AL$40)+SUMPRODUCT((Generation_Entsoe_SFS_2017!$A$3:$A$40='Abgleich Generation'!$A111)*(Generation_Entsoe_SFS_2017!$D$1:$AL$1='Abgleich Generation'!G$78)*Generation_Entsoe_SFS_2017!$D$3:$AL$40)</f>
        <v>#VALUE!</v>
      </c>
      <c r="H111" s="26" t="e">
        <f>SUMPRODUCT((Generation_Entsoe_SFS_2017!$A$3:$A$40='Abgleich Generation'!$A111)*(Generation_Entsoe_SFS_2017!$D$1:$AL$1='Abgleich Generation'!H$81)*Generation_Entsoe_SFS_2017!$D$3:$AL$40)+SUMPRODUCT((Generation_Entsoe_SFS_2017!$A$3:$A$40='Abgleich Generation'!$A111)*(Generation_Entsoe_SFS_2017!$D$1:$AL$1='Abgleich Generation'!H$80)*Generation_Entsoe_SFS_2017!$D$3:$AL$40)+SUMPRODUCT((Generation_Entsoe_SFS_2017!$A$3:$A$40='Abgleich Generation'!$A111)*(Generation_Entsoe_SFS_2017!$D$1:$AL$1='Abgleich Generation'!H$79)*Generation_Entsoe_SFS_2017!$D$3:$AL$40)+SUMPRODUCT((Generation_Entsoe_SFS_2017!$A$3:$A$40='Abgleich Generation'!$A111)*(Generation_Entsoe_SFS_2017!$D$1:$AL$1='Abgleich Generation'!H$78)*Generation_Entsoe_SFS_2017!$D$3:$AL$40)</f>
        <v>#VALUE!</v>
      </c>
      <c r="I111" s="26" t="e">
        <f>SUMPRODUCT((Generation_Entsoe_SFS_2017!$A$3:$A$40='Abgleich Generation'!$A111)*(Generation_Entsoe_SFS_2017!$D$1:$AL$1='Abgleich Generation'!I$81)*Generation_Entsoe_SFS_2017!$D$3:$AL$40)+SUMPRODUCT((Generation_Entsoe_SFS_2017!$A$3:$A$40='Abgleich Generation'!$A111)*(Generation_Entsoe_SFS_2017!$D$1:$AL$1='Abgleich Generation'!I$80)*Generation_Entsoe_SFS_2017!$D$3:$AL$40)+SUMPRODUCT((Generation_Entsoe_SFS_2017!$A$3:$A$40='Abgleich Generation'!$A111)*(Generation_Entsoe_SFS_2017!$D$1:$AL$1='Abgleich Generation'!I$79)*Generation_Entsoe_SFS_2017!$D$3:$AL$40)+SUMPRODUCT((Generation_Entsoe_SFS_2017!$A$3:$A$40='Abgleich Generation'!$A111)*(Generation_Entsoe_SFS_2017!$D$1:$AL$1='Abgleich Generation'!I$78)*Generation_Entsoe_SFS_2017!$D$3:$AL$40)</f>
        <v>#VALUE!</v>
      </c>
      <c r="J111" s="26" t="e">
        <f>SUMPRODUCT((Generation_Entsoe_SFS_2017!$A$3:$A$40='Abgleich Generation'!$A111)*(Generation_Entsoe_SFS_2017!$D$1:$AL$1='Abgleich Generation'!J$81)*Generation_Entsoe_SFS_2017!$D$3:$AL$40)+SUMPRODUCT((Generation_Entsoe_SFS_2017!$A$3:$A$40='Abgleich Generation'!$A111)*(Generation_Entsoe_SFS_2017!$D$1:$AL$1='Abgleich Generation'!J$80)*Generation_Entsoe_SFS_2017!$D$3:$AL$40)+SUMPRODUCT((Generation_Entsoe_SFS_2017!$A$3:$A$40='Abgleich Generation'!$A111)*(Generation_Entsoe_SFS_2017!$D$1:$AL$1='Abgleich Generation'!J$79)*Generation_Entsoe_SFS_2017!$D$3:$AL$40)+SUMPRODUCT((Generation_Entsoe_SFS_2017!$A$3:$A$40='Abgleich Generation'!$A111)*(Generation_Entsoe_SFS_2017!$D$1:$AL$1='Abgleich Generation'!J$78)*Generation_Entsoe_SFS_2017!$D$3:$AL$40)</f>
        <v>#VALUE!</v>
      </c>
      <c r="K111" s="27" t="e">
        <f t="shared" si="62"/>
        <v>#VALUE!</v>
      </c>
      <c r="L111" s="26" t="e">
        <f>SUMPRODUCT((Generation_Entsoe_SFS_2017!$A$3:$A$40='Abgleich Generation'!$A111)*(Generation_Entsoe_SFS_2017!$D$1:$AL$1='Abgleich Generation'!L$81)*Generation_Entsoe_SFS_2017!$D$3:$AL$40)+SUMPRODUCT((Generation_Entsoe_SFS_2017!$A$3:$A$40='Abgleich Generation'!$A111)*(Generation_Entsoe_SFS_2017!$D$1:$AL$1='Abgleich Generation'!L$80)*Generation_Entsoe_SFS_2017!$D$3:$AL$40)+SUMPRODUCT((Generation_Entsoe_SFS_2017!$A$3:$A$40='Abgleich Generation'!$A111)*(Generation_Entsoe_SFS_2017!$D$1:$AL$1='Abgleich Generation'!L$79)*Generation_Entsoe_SFS_2017!$D$3:$AL$40)+SUMPRODUCT((Generation_Entsoe_SFS_2017!$A$3:$A$40='Abgleich Generation'!$A111)*(Generation_Entsoe_SFS_2017!$D$1:$AL$1='Abgleich Generation'!L$78)*Generation_Entsoe_SFS_2017!$D$3:$AL$40)+SUMPRODUCT((Generation_Entsoe_SFS_2017!$A$3:$A$40='Abgleich Generation'!$A111)*(Generation_Entsoe_SFS_2017!$D$1:$AL$1='Abgleich Generation'!L$77)*Generation_Entsoe_SFS_2017!$D$3:$AL$40)+SUMPRODUCT((Generation_Entsoe_SFS_2017!$A$3:$A$40='Abgleich Generation'!$A111)*(Generation_Entsoe_SFS_2017!$D$1:$AL$1='Abgleich Generation'!L$76)*Generation_Entsoe_SFS_2017!$D$3:$AL$40)</f>
        <v>#VALUE!</v>
      </c>
      <c r="M111" s="26" t="e">
        <f>SUMPRODUCT((Generation_Entsoe_SFS_2017!$A$3:$A$40='Abgleich Generation'!$A111)*(Generation_Entsoe_SFS_2017!$D$1:$AL$1='Abgleich Generation'!M$81)*Generation_Entsoe_SFS_2017!$D$3:$AL$40)+SUMPRODUCT((Generation_Entsoe_SFS_2017!$A$3:$A$40='Abgleich Generation'!$A111)*(Generation_Entsoe_SFS_2017!$D$1:$AL$1='Abgleich Generation'!M$80)*Generation_Entsoe_SFS_2017!$D$3:$AL$40)+SUMPRODUCT((Generation_Entsoe_SFS_2017!$A$3:$A$40='Abgleich Generation'!$A111)*(Generation_Entsoe_SFS_2017!$D$1:$AL$1='Abgleich Generation'!M$79)*Generation_Entsoe_SFS_2017!$D$3:$AL$40)+SUMPRODUCT((Generation_Entsoe_SFS_2017!$A$3:$A$40='Abgleich Generation'!$A111)*(Generation_Entsoe_SFS_2017!$D$1:$AL$1='Abgleich Generation'!M$78)*Generation_Entsoe_SFS_2017!$D$3:$AL$40)+SUMPRODUCT((Generation_Entsoe_SFS_2017!$A$3:$A$40='Abgleich Generation'!$A111)*(Generation_Entsoe_SFS_2017!$D$1:$AL$1='Abgleich Generation'!M$77)*Generation_Entsoe_SFS_2017!$D$3:$AL$40)+SUMPRODUCT((Generation_Entsoe_SFS_2017!$A$3:$A$40='Abgleich Generation'!$A111)*(Generation_Entsoe_SFS_2017!$D$1:$AL$1='Abgleich Generation'!M$76)*Generation_Entsoe_SFS_2017!$D$3:$AL$40)</f>
        <v>#VALUE!</v>
      </c>
      <c r="N111" s="26" t="e">
        <f>SUMPRODUCT((Generation_Entsoe_SFS_2017!$A$3:$A$40='Abgleich Generation'!$A111)*(Generation_Entsoe_SFS_2017!$D$1:$AL$1='Abgleich Generation'!N$81)*Generation_Entsoe_SFS_2017!$D$3:$AL$40)+SUMPRODUCT((Generation_Entsoe_SFS_2017!$A$3:$A$40='Abgleich Generation'!$A111)*(Generation_Entsoe_SFS_2017!$D$1:$AL$1='Abgleich Generation'!N$80)*Generation_Entsoe_SFS_2017!$D$3:$AL$40)+SUMPRODUCT((Generation_Entsoe_SFS_2017!$A$3:$A$40='Abgleich Generation'!$A111)*(Generation_Entsoe_SFS_2017!$D$1:$AL$1='Abgleich Generation'!N$79)*Generation_Entsoe_SFS_2017!$D$3:$AL$40)+SUMPRODUCT((Generation_Entsoe_SFS_2017!$A$3:$A$40='Abgleich Generation'!$A111)*(Generation_Entsoe_SFS_2017!$D$1:$AL$1='Abgleich Generation'!N$78)*Generation_Entsoe_SFS_2017!$D$3:$AL$40)+SUMPRODUCT((Generation_Entsoe_SFS_2017!$A$3:$A$40='Abgleich Generation'!$A111)*(Generation_Entsoe_SFS_2017!$D$1:$AL$1='Abgleich Generation'!N$77)*Generation_Entsoe_SFS_2017!$D$3:$AL$40)+SUMPRODUCT((Generation_Entsoe_SFS_2017!$A$3:$A$40='Abgleich Generation'!$A111)*(Generation_Entsoe_SFS_2017!$D$1:$AL$1='Abgleich Generation'!N$76)*Generation_Entsoe_SFS_2017!$D$3:$AL$40)</f>
        <v>#VALUE!</v>
      </c>
      <c r="O111" s="26" t="e">
        <f>SUMPRODUCT((Generation_Entsoe_SFS_2017!$A$3:$A$40='Abgleich Generation'!$A111)*(Generation_Entsoe_SFS_2017!$D$1:$AL$1='Abgleich Generation'!O$81)*Generation_Entsoe_SFS_2017!$D$3:$AL$40)+SUMPRODUCT((Generation_Entsoe_SFS_2017!$A$3:$A$40='Abgleich Generation'!$A111)*(Generation_Entsoe_SFS_2017!$D$1:$AL$1='Abgleich Generation'!O$80)*Generation_Entsoe_SFS_2017!$D$3:$AL$40)+SUMPRODUCT((Generation_Entsoe_SFS_2017!$A$3:$A$40='Abgleich Generation'!$A111)*(Generation_Entsoe_SFS_2017!$D$1:$AL$1='Abgleich Generation'!O$79)*Generation_Entsoe_SFS_2017!$D$3:$AL$40)+SUMPRODUCT((Generation_Entsoe_SFS_2017!$A$3:$A$40='Abgleich Generation'!$A111)*(Generation_Entsoe_SFS_2017!$D$1:$AL$1='Abgleich Generation'!O$78)*Generation_Entsoe_SFS_2017!$D$3:$AL$40)+SUMPRODUCT((Generation_Entsoe_SFS_2017!$A$3:$A$40='Abgleich Generation'!$A111)*(Generation_Entsoe_SFS_2017!$D$1:$AL$1='Abgleich Generation'!O$77)*Generation_Entsoe_SFS_2017!$D$3:$AL$40)+SUMPRODUCT((Generation_Entsoe_SFS_2017!$A$3:$A$40='Abgleich Generation'!$A111)*(Generation_Entsoe_SFS_2017!$D$1:$AL$1='Abgleich Generation'!O$76)*Generation_Entsoe_SFS_2017!$D$3:$AL$40)</f>
        <v>#VALUE!</v>
      </c>
      <c r="P111" s="26" t="e">
        <f>SUMPRODUCT((Generation_Entsoe_SFS_2017!$A$3:$A$40='Abgleich Generation'!$A111)*(Generation_Entsoe_SFS_2017!$D$1:$AL$1='Abgleich Generation'!P$81)*Generation_Entsoe_SFS_2017!$D$3:$AL$40)+SUMPRODUCT((Generation_Entsoe_SFS_2017!$A$3:$A$40='Abgleich Generation'!$A111)*(Generation_Entsoe_SFS_2017!$D$1:$AL$1='Abgleich Generation'!P$80)*Generation_Entsoe_SFS_2017!$D$3:$AL$40)+SUMPRODUCT((Generation_Entsoe_SFS_2017!$A$3:$A$40='Abgleich Generation'!$A111)*(Generation_Entsoe_SFS_2017!$D$1:$AL$1='Abgleich Generation'!P$79)*Generation_Entsoe_SFS_2017!$D$3:$AL$40)+SUMPRODUCT((Generation_Entsoe_SFS_2017!$A$3:$A$40='Abgleich Generation'!$A111)*(Generation_Entsoe_SFS_2017!$D$1:$AL$1='Abgleich Generation'!P$78)*Generation_Entsoe_SFS_2017!$D$3:$AL$40)+SUMPRODUCT((Generation_Entsoe_SFS_2017!$A$3:$A$40='Abgleich Generation'!$A111)*(Generation_Entsoe_SFS_2017!$D$1:$AL$1='Abgleich Generation'!P$77)*Generation_Entsoe_SFS_2017!$D$3:$AL$40)+SUMPRODUCT((Generation_Entsoe_SFS_2017!$A$3:$A$40='Abgleich Generation'!$A111)*(Generation_Entsoe_SFS_2017!$D$1:$AL$1='Abgleich Generation'!P$76)*Generation_Entsoe_SFS_2017!$D$3:$AL$40)</f>
        <v>#VALUE!</v>
      </c>
      <c r="Q111" s="26" t="e">
        <f>SUMPRODUCT((Generation_Entsoe_SFS_2017!$A$3:$A$40='Abgleich Generation'!$A111)*(Generation_Entsoe_SFS_2017!$D$1:$AL$1='Abgleich Generation'!Q$81)*Generation_Entsoe_SFS_2017!$D$3:$AL$40)+SUMPRODUCT((Generation_Entsoe_SFS_2017!$A$3:$A$40='Abgleich Generation'!$A111)*(Generation_Entsoe_SFS_2017!$D$1:$AL$1='Abgleich Generation'!Q$80)*Generation_Entsoe_SFS_2017!$D$3:$AL$40)+SUMPRODUCT((Generation_Entsoe_SFS_2017!$A$3:$A$40='Abgleich Generation'!$A111)*(Generation_Entsoe_SFS_2017!$D$1:$AL$1='Abgleich Generation'!Q$79)*Generation_Entsoe_SFS_2017!$D$3:$AL$40)+SUMPRODUCT((Generation_Entsoe_SFS_2017!$A$3:$A$40='Abgleich Generation'!$A111)*(Generation_Entsoe_SFS_2017!$D$1:$AL$1='Abgleich Generation'!Q$78)*Generation_Entsoe_SFS_2017!$D$3:$AL$40)+SUMPRODUCT((Generation_Entsoe_SFS_2017!$A$3:$A$40='Abgleich Generation'!$A111)*(Generation_Entsoe_SFS_2017!$D$1:$AL$1='Abgleich Generation'!Q$77)*Generation_Entsoe_SFS_2017!$D$3:$AL$40)+SUMPRODUCT((Generation_Entsoe_SFS_2017!$A$3:$A$40='Abgleich Generation'!$A111)*(Generation_Entsoe_SFS_2017!$D$1:$AL$1='Abgleich Generation'!Q$76)*Generation_Entsoe_SFS_2017!$D$3:$AL$40)</f>
        <v>#VALUE!</v>
      </c>
      <c r="R111" s="26" t="e">
        <f>SUMPRODUCT((Generation_Entsoe_SFS_2017!$A$3:$A$40='Abgleich Generation'!$A111)*(Generation_Entsoe_SFS_2017!$D$1:$AL$1='Abgleich Generation'!R$81)*Generation_Entsoe_SFS_2017!$D$3:$AL$40)+SUMPRODUCT((Generation_Entsoe_SFS_2017!$A$3:$A$40='Abgleich Generation'!$A111)*(Generation_Entsoe_SFS_2017!$D$1:$AL$1='Abgleich Generation'!R$80)*Generation_Entsoe_SFS_2017!$D$3:$AL$40)+SUMPRODUCT((Generation_Entsoe_SFS_2017!$A$3:$A$40='Abgleich Generation'!$A111)*(Generation_Entsoe_SFS_2017!$D$1:$AL$1='Abgleich Generation'!R$79)*Generation_Entsoe_SFS_2017!$D$3:$AL$40)+SUMPRODUCT((Generation_Entsoe_SFS_2017!$A$3:$A$40='Abgleich Generation'!$A111)*(Generation_Entsoe_SFS_2017!$D$1:$AL$1='Abgleich Generation'!R$78)*Generation_Entsoe_SFS_2017!$D$3:$AL$40)+SUMPRODUCT((Generation_Entsoe_SFS_2017!$A$3:$A$40='Abgleich Generation'!$A111)*(Generation_Entsoe_SFS_2017!$D$1:$AL$1='Abgleich Generation'!R$77)*Generation_Entsoe_SFS_2017!$D$3:$AL$40)+SUMPRODUCT((Generation_Entsoe_SFS_2017!$A$3:$A$40='Abgleich Generation'!$A111)*(Generation_Entsoe_SFS_2017!$D$1:$AL$1='Abgleich Generation'!R$76)*Generation_Entsoe_SFS_2017!$D$3:$AL$40)</f>
        <v>#VALUE!</v>
      </c>
      <c r="S111" s="26" t="e">
        <f>SUMPRODUCT((Generation_Entsoe_SFS_2017!$A$3:$A$40='Abgleich Generation'!$A111)*(Generation_Entsoe_SFS_2017!$D$1:$AL$1='Abgleich Generation'!S$81)*Generation_Entsoe_SFS_2017!$D$3:$AL$40)+SUMPRODUCT((Generation_Entsoe_SFS_2017!$A$3:$A$40='Abgleich Generation'!$A111)*(Generation_Entsoe_SFS_2017!$D$1:$AL$1='Abgleich Generation'!S$80)*Generation_Entsoe_SFS_2017!$D$3:$AL$40)+SUMPRODUCT((Generation_Entsoe_SFS_2017!$A$3:$A$40='Abgleich Generation'!$A111)*(Generation_Entsoe_SFS_2017!$D$1:$AL$1='Abgleich Generation'!S$79)*Generation_Entsoe_SFS_2017!$D$3:$AL$40)+SUMPRODUCT((Generation_Entsoe_SFS_2017!$A$3:$A$40='Abgleich Generation'!$A111)*(Generation_Entsoe_SFS_2017!$D$1:$AL$1='Abgleich Generation'!S$78)*Generation_Entsoe_SFS_2017!$D$3:$AL$40)+SUMPRODUCT((Generation_Entsoe_SFS_2017!$A$3:$A$40='Abgleich Generation'!$A111)*(Generation_Entsoe_SFS_2017!$D$1:$AL$1='Abgleich Generation'!S$77)*Generation_Entsoe_SFS_2017!$D$3:$AL$40)+SUMPRODUCT((Generation_Entsoe_SFS_2017!$A$3:$A$40='Abgleich Generation'!$A111)*(Generation_Entsoe_SFS_2017!$D$1:$AL$1='Abgleich Generation'!S$76)*Generation_Entsoe_SFS_2017!$D$3:$AL$40)</f>
        <v>#VALUE!</v>
      </c>
      <c r="T111" s="26" t="e">
        <f>SUMPRODUCT((Generation_Entsoe_SFS_2017!$A$3:$A$40='Abgleich Generation'!$A111)*(Generation_Entsoe_SFS_2017!$D$1:$AL$1='Abgleich Generation'!T$81)*Generation_Entsoe_SFS_2017!$D$3:$AL$40)+SUMPRODUCT((Generation_Entsoe_SFS_2017!$A$3:$A$40='Abgleich Generation'!$A111)*(Generation_Entsoe_SFS_2017!$D$1:$AL$1='Abgleich Generation'!T$80)*Generation_Entsoe_SFS_2017!$D$3:$AL$40)+SUMPRODUCT((Generation_Entsoe_SFS_2017!$A$3:$A$40='Abgleich Generation'!$A111)*(Generation_Entsoe_SFS_2017!$D$1:$AL$1='Abgleich Generation'!T$79)*Generation_Entsoe_SFS_2017!$D$3:$AL$40)+SUMPRODUCT((Generation_Entsoe_SFS_2017!$A$3:$A$40='Abgleich Generation'!$A111)*(Generation_Entsoe_SFS_2017!$D$1:$AL$1='Abgleich Generation'!T$78)*Generation_Entsoe_SFS_2017!$D$3:$AL$40)+SUMPRODUCT((Generation_Entsoe_SFS_2017!$A$3:$A$40='Abgleich Generation'!$A111)*(Generation_Entsoe_SFS_2017!$D$1:$AL$1='Abgleich Generation'!T$77)*Generation_Entsoe_SFS_2017!$D$3:$AL$40)+SUMPRODUCT((Generation_Entsoe_SFS_2017!$A$3:$A$40='Abgleich Generation'!$A111)*(Generation_Entsoe_SFS_2017!$D$1:$AL$1='Abgleich Generation'!T$76)*Generation_Entsoe_SFS_2017!$D$3:$AL$40)</f>
        <v>#VALUE!</v>
      </c>
      <c r="U111" s="26" t="e">
        <f>SUMPRODUCT((Generation_Entsoe_SFS_2017!$A$3:$A$40='Abgleich Generation'!$A111)*(Generation_Entsoe_SFS_2017!$D$1:$AL$1='Abgleich Generation'!U$81)*Generation_Entsoe_SFS_2017!$D$3:$AL$40)+SUMPRODUCT((Generation_Entsoe_SFS_2017!$A$3:$A$40='Abgleich Generation'!$A111)*(Generation_Entsoe_SFS_2017!$D$1:$AL$1='Abgleich Generation'!U$80)*Generation_Entsoe_SFS_2017!$D$3:$AL$40)+SUMPRODUCT((Generation_Entsoe_SFS_2017!$A$3:$A$40='Abgleich Generation'!$A111)*(Generation_Entsoe_SFS_2017!$D$1:$AL$1='Abgleich Generation'!U$79)*Generation_Entsoe_SFS_2017!$D$3:$AL$40)+SUMPRODUCT((Generation_Entsoe_SFS_2017!$A$3:$A$40='Abgleich Generation'!$A111)*(Generation_Entsoe_SFS_2017!$D$1:$AL$1='Abgleich Generation'!U$78)*Generation_Entsoe_SFS_2017!$D$3:$AL$40)+SUMPRODUCT((Generation_Entsoe_SFS_2017!$A$3:$A$40='Abgleich Generation'!$A111)*(Generation_Entsoe_SFS_2017!$D$1:$AL$1='Abgleich Generation'!U$77)*Generation_Entsoe_SFS_2017!$D$3:$AL$40)+SUMPRODUCT((Generation_Entsoe_SFS_2017!$A$3:$A$40='Abgleich Generation'!$A111)*(Generation_Entsoe_SFS_2017!$D$1:$AL$1='Abgleich Generation'!U$76)*Generation_Entsoe_SFS_2017!$D$3:$AL$40)</f>
        <v>#VALUE!</v>
      </c>
      <c r="V111" s="27" t="e">
        <f t="shared" si="63"/>
        <v>#VALUE!</v>
      </c>
      <c r="W111" s="28" t="e">
        <f>SUMPRODUCT((Generation_Entsoe_SFS_2017!$A$3:$A$40='Abgleich Generation'!$A111)*(Generation_Entsoe_SFS_2017!$D$1:$AL$1='Abgleich Generation'!W$81)*Generation_Entsoe_SFS_2017!$D$3:$AL$40)+SUMPRODUCT((Generation_Entsoe_SFS_2017!$A$3:$A$40='Abgleich Generation'!$A111)*(Generation_Entsoe_SFS_2017!$D$1:$AL$1='Abgleich Generation'!W$80)*Generation_Entsoe_SFS_2017!$D$3:$AL$40)+SUMPRODUCT((Generation_Entsoe_SFS_2017!$A$3:$A$40='Abgleich Generation'!$A111)*(Generation_Entsoe_SFS_2017!$D$1:$AL$1='Abgleich Generation'!W$79)*Generation_Entsoe_SFS_2017!$D$3:$AL$40)+SUMPRODUCT((Generation_Entsoe_SFS_2017!$A$3:$A$40='Abgleich Generation'!$A111)*(Generation_Entsoe_SFS_2017!$D$1:$AL$1='Abgleich Generation'!W$78)*Generation_Entsoe_SFS_2017!$D$3:$AL$40)+SUMPRODUCT((Generation_Entsoe_SFS_2017!$A$3:$A$40='Abgleich Generation'!$A111)*(Generation_Entsoe_SFS_2017!$D$1:$AL$1='Abgleich Generation'!W$77)*Generation_Entsoe_SFS_2017!$D$3:$AL$40)+SUMPRODUCT((Generation_Entsoe_SFS_2017!$A$3:$A$40='Abgleich Generation'!$A111)*(Generation_Entsoe_SFS_2017!$D$1:$AL$1='Abgleich Generation'!W$76)*Generation_Entsoe_SFS_2017!$D$3:$AL$40)</f>
        <v>#VALUE!</v>
      </c>
      <c r="X111" s="29" t="e">
        <f>SUMPRODUCT((Generation_Entsoe_SFS_2017!$A$3:$A$40='Abgleich Generation'!$A111)*(Generation_Entsoe_SFS_2017!$D$1:$AL$1='Abgleich Generation'!X$81)*Generation_Entsoe_SFS_2017!$D$3:$AL$40)+SUMPRODUCT((Generation_Entsoe_SFS_2017!$A$3:$A$40='Abgleich Generation'!$A111)*(Generation_Entsoe_SFS_2017!$D$1:$AL$1='Abgleich Generation'!X$80)*Generation_Entsoe_SFS_2017!$D$3:$AL$40)+SUMPRODUCT((Generation_Entsoe_SFS_2017!$A$3:$A$40='Abgleich Generation'!$A111)*(Generation_Entsoe_SFS_2017!$D$1:$AL$1='Abgleich Generation'!X$79)*Generation_Entsoe_SFS_2017!$D$3:$AL$40)+SUMPRODUCT((Generation_Entsoe_SFS_2017!$A$3:$A$40='Abgleich Generation'!$A111)*(Generation_Entsoe_SFS_2017!$D$1:$AL$1='Abgleich Generation'!X$78)*Generation_Entsoe_SFS_2017!$D$3:$AL$40)+SUMPRODUCT((Generation_Entsoe_SFS_2017!$A$3:$A$40='Abgleich Generation'!$A111)*(Generation_Entsoe_SFS_2017!$D$1:$AL$1='Abgleich Generation'!X$77)*Generation_Entsoe_SFS_2017!$D$3:$AL$40)+SUMPRODUCT((Generation_Entsoe_SFS_2017!$A$3:$A$40='Abgleich Generation'!$A111)*(Generation_Entsoe_SFS_2017!$D$1:$AL$1='Abgleich Generation'!X$76)*Generation_Entsoe_SFS_2017!$D$3:$AL$40)</f>
        <v>#VALUE!</v>
      </c>
      <c r="Y111" s="29" t="e">
        <f t="shared" si="64"/>
        <v>#VALUE!</v>
      </c>
    </row>
    <row r="112" spans="1:33" x14ac:dyDescent="0.25">
      <c r="A112" s="14" t="s">
        <v>38</v>
      </c>
      <c r="B112" s="57" t="e">
        <f t="shared" si="60"/>
        <v>#VALUE!</v>
      </c>
      <c r="C112" s="58" t="e">
        <f>SUMPRODUCT((Generation_Entsoe_SFS_2017!$A$3:$A$40='Abgleich Generation'!$A112)*(Generation_Entsoe_SFS_2017!$D$1:$AL$1='Abgleich Generation'!C$81)*Generation_Entsoe_SFS_2017!$D$3:$AL$40)+SUMPRODUCT((Generation_Entsoe_SFS_2017!$A$3:$A$40='Abgleich Generation'!$A112)*(Generation_Entsoe_SFS_2017!$D$1:$AL$1='Abgleich Generation'!C$80)*Generation_Entsoe_SFS_2017!$D$3:$AL$40)+SUMPRODUCT((Generation_Entsoe_SFS_2017!$A$3:$A$40='Abgleich Generation'!$A112)*(Generation_Entsoe_SFS_2017!$D$1:$AL$1='Abgleich Generation'!C$79)*Generation_Entsoe_SFS_2017!$D$3:$AL$40)+SUMPRODUCT((Generation_Entsoe_SFS_2017!$A$3:$A$40='Abgleich Generation'!$A112)*(Generation_Entsoe_SFS_2017!$D$1:$AL$1='Abgleich Generation'!C$78)*Generation_Entsoe_SFS_2017!$D$3:$AL$40)</f>
        <v>#VALUE!</v>
      </c>
      <c r="D112" s="58" t="e">
        <f t="shared" si="61"/>
        <v>#VALUE!</v>
      </c>
      <c r="E112" s="58" t="e">
        <f>SUMPRODUCT((Generation_Entsoe_SFS_2017!$A$3:$A$40='Abgleich Generation'!$A112)*(Generation_Entsoe_SFS_2017!$D$1:$AL$1='Abgleich Generation'!E$81)*Generation_Entsoe_SFS_2017!$D$3:$AL$40)+SUMPRODUCT((Generation_Entsoe_SFS_2017!$A$3:$A$40='Abgleich Generation'!$A112)*(Generation_Entsoe_SFS_2017!$D$1:$AL$1='Abgleich Generation'!E$80)*Generation_Entsoe_SFS_2017!$D$3:$AL$40)+SUMPRODUCT((Generation_Entsoe_SFS_2017!$A$3:$A$40='Abgleich Generation'!$A112)*(Generation_Entsoe_SFS_2017!$D$1:$AL$1='Abgleich Generation'!E$79)*Generation_Entsoe_SFS_2017!$D$3:$AL$40)+SUMPRODUCT((Generation_Entsoe_SFS_2017!$A$3:$A$40='Abgleich Generation'!$A112)*(Generation_Entsoe_SFS_2017!$D$1:$AL$1='Abgleich Generation'!E$78)*Generation_Entsoe_SFS_2017!$D$3:$AL$40)</f>
        <v>#VALUE!</v>
      </c>
      <c r="F112" s="58" t="e">
        <f>SUMPRODUCT((Generation_Entsoe_SFS_2017!$A$3:$A$40='Abgleich Generation'!$A112)*(Generation_Entsoe_SFS_2017!$D$1:$AL$1='Abgleich Generation'!F$81)*Generation_Entsoe_SFS_2017!$D$3:$AL$40)+SUMPRODUCT((Generation_Entsoe_SFS_2017!$A$3:$A$40='Abgleich Generation'!$A112)*(Generation_Entsoe_SFS_2017!$D$1:$AL$1='Abgleich Generation'!F$80)*Generation_Entsoe_SFS_2017!$D$3:$AL$40)+SUMPRODUCT((Generation_Entsoe_SFS_2017!$A$3:$A$40='Abgleich Generation'!$A112)*(Generation_Entsoe_SFS_2017!$D$1:$AL$1='Abgleich Generation'!F$79)*Generation_Entsoe_SFS_2017!$D$3:$AL$40)+SUMPRODUCT((Generation_Entsoe_SFS_2017!$A$3:$A$40='Abgleich Generation'!$A112)*(Generation_Entsoe_SFS_2017!$D$1:$AL$1='Abgleich Generation'!F$78)*Generation_Entsoe_SFS_2017!$D$3:$AL$40)</f>
        <v>#VALUE!</v>
      </c>
      <c r="G112" s="58" t="e">
        <f>SUMPRODUCT((Generation_Entsoe_SFS_2017!$A$3:$A$40='Abgleich Generation'!$A112)*(Generation_Entsoe_SFS_2017!$D$1:$AL$1='Abgleich Generation'!G$81)*Generation_Entsoe_SFS_2017!$D$3:$AL$40)+SUMPRODUCT((Generation_Entsoe_SFS_2017!$A$3:$A$40='Abgleich Generation'!$A112)*(Generation_Entsoe_SFS_2017!$D$1:$AL$1='Abgleich Generation'!G$80)*Generation_Entsoe_SFS_2017!$D$3:$AL$40)+SUMPRODUCT((Generation_Entsoe_SFS_2017!$A$3:$A$40='Abgleich Generation'!$A112)*(Generation_Entsoe_SFS_2017!$D$1:$AL$1='Abgleich Generation'!G$79)*Generation_Entsoe_SFS_2017!$D$3:$AL$40)+SUMPRODUCT((Generation_Entsoe_SFS_2017!$A$3:$A$40='Abgleich Generation'!$A112)*(Generation_Entsoe_SFS_2017!$D$1:$AL$1='Abgleich Generation'!G$78)*Generation_Entsoe_SFS_2017!$D$3:$AL$40)</f>
        <v>#VALUE!</v>
      </c>
      <c r="H112" s="58" t="e">
        <f>SUMPRODUCT((Generation_Entsoe_SFS_2017!$A$3:$A$40='Abgleich Generation'!$A112)*(Generation_Entsoe_SFS_2017!$D$1:$AL$1='Abgleich Generation'!H$81)*Generation_Entsoe_SFS_2017!$D$3:$AL$40)+SUMPRODUCT((Generation_Entsoe_SFS_2017!$A$3:$A$40='Abgleich Generation'!$A112)*(Generation_Entsoe_SFS_2017!$D$1:$AL$1='Abgleich Generation'!H$80)*Generation_Entsoe_SFS_2017!$D$3:$AL$40)+SUMPRODUCT((Generation_Entsoe_SFS_2017!$A$3:$A$40='Abgleich Generation'!$A112)*(Generation_Entsoe_SFS_2017!$D$1:$AL$1='Abgleich Generation'!H$79)*Generation_Entsoe_SFS_2017!$D$3:$AL$40)+SUMPRODUCT((Generation_Entsoe_SFS_2017!$A$3:$A$40='Abgleich Generation'!$A112)*(Generation_Entsoe_SFS_2017!$D$1:$AL$1='Abgleich Generation'!H$78)*Generation_Entsoe_SFS_2017!$D$3:$AL$40)</f>
        <v>#VALUE!</v>
      </c>
      <c r="I112" s="58" t="e">
        <f>SUMPRODUCT((Generation_Entsoe_SFS_2017!$A$3:$A$40='Abgleich Generation'!$A112)*(Generation_Entsoe_SFS_2017!$D$1:$AL$1='Abgleich Generation'!I$81)*Generation_Entsoe_SFS_2017!$D$3:$AL$40)+SUMPRODUCT((Generation_Entsoe_SFS_2017!$A$3:$A$40='Abgleich Generation'!$A112)*(Generation_Entsoe_SFS_2017!$D$1:$AL$1='Abgleich Generation'!I$80)*Generation_Entsoe_SFS_2017!$D$3:$AL$40)+SUMPRODUCT((Generation_Entsoe_SFS_2017!$A$3:$A$40='Abgleich Generation'!$A112)*(Generation_Entsoe_SFS_2017!$D$1:$AL$1='Abgleich Generation'!I$79)*Generation_Entsoe_SFS_2017!$D$3:$AL$40)+SUMPRODUCT((Generation_Entsoe_SFS_2017!$A$3:$A$40='Abgleich Generation'!$A112)*(Generation_Entsoe_SFS_2017!$D$1:$AL$1='Abgleich Generation'!I$78)*Generation_Entsoe_SFS_2017!$D$3:$AL$40)</f>
        <v>#VALUE!</v>
      </c>
      <c r="J112" s="58" t="e">
        <f>SUMPRODUCT((Generation_Entsoe_SFS_2017!$A$3:$A$40='Abgleich Generation'!$A112)*(Generation_Entsoe_SFS_2017!$D$1:$AL$1='Abgleich Generation'!J$81)*Generation_Entsoe_SFS_2017!$D$3:$AL$40)+SUMPRODUCT((Generation_Entsoe_SFS_2017!$A$3:$A$40='Abgleich Generation'!$A112)*(Generation_Entsoe_SFS_2017!$D$1:$AL$1='Abgleich Generation'!J$80)*Generation_Entsoe_SFS_2017!$D$3:$AL$40)+SUMPRODUCT((Generation_Entsoe_SFS_2017!$A$3:$A$40='Abgleich Generation'!$A112)*(Generation_Entsoe_SFS_2017!$D$1:$AL$1='Abgleich Generation'!J$79)*Generation_Entsoe_SFS_2017!$D$3:$AL$40)+SUMPRODUCT((Generation_Entsoe_SFS_2017!$A$3:$A$40='Abgleich Generation'!$A112)*(Generation_Entsoe_SFS_2017!$D$1:$AL$1='Abgleich Generation'!J$78)*Generation_Entsoe_SFS_2017!$D$3:$AL$40)</f>
        <v>#VALUE!</v>
      </c>
      <c r="K112" s="59" t="e">
        <f t="shared" si="62"/>
        <v>#VALUE!</v>
      </c>
      <c r="L112" s="58" t="e">
        <f>SUMPRODUCT((Generation_Entsoe_SFS_2017!$A$3:$A$40='Abgleich Generation'!$A112)*(Generation_Entsoe_SFS_2017!$D$1:$AL$1='Abgleich Generation'!L$81)*Generation_Entsoe_SFS_2017!$D$3:$AL$40)+SUMPRODUCT((Generation_Entsoe_SFS_2017!$A$3:$A$40='Abgleich Generation'!$A112)*(Generation_Entsoe_SFS_2017!$D$1:$AL$1='Abgleich Generation'!L$80)*Generation_Entsoe_SFS_2017!$D$3:$AL$40)+SUMPRODUCT((Generation_Entsoe_SFS_2017!$A$3:$A$40='Abgleich Generation'!$A112)*(Generation_Entsoe_SFS_2017!$D$1:$AL$1='Abgleich Generation'!L$79)*Generation_Entsoe_SFS_2017!$D$3:$AL$40)+SUMPRODUCT((Generation_Entsoe_SFS_2017!$A$3:$A$40='Abgleich Generation'!$A112)*(Generation_Entsoe_SFS_2017!$D$1:$AL$1='Abgleich Generation'!L$78)*Generation_Entsoe_SFS_2017!$D$3:$AL$40)+SUMPRODUCT((Generation_Entsoe_SFS_2017!$A$3:$A$40='Abgleich Generation'!$A112)*(Generation_Entsoe_SFS_2017!$D$1:$AL$1='Abgleich Generation'!L$77)*Generation_Entsoe_SFS_2017!$D$3:$AL$40)+SUMPRODUCT((Generation_Entsoe_SFS_2017!$A$3:$A$40='Abgleich Generation'!$A112)*(Generation_Entsoe_SFS_2017!$D$1:$AL$1='Abgleich Generation'!L$76)*Generation_Entsoe_SFS_2017!$D$3:$AL$40)</f>
        <v>#VALUE!</v>
      </c>
      <c r="M112" s="58" t="e">
        <f>SUMPRODUCT((Generation_Entsoe_SFS_2017!$A$3:$A$40='Abgleich Generation'!$A112)*(Generation_Entsoe_SFS_2017!$D$1:$AL$1='Abgleich Generation'!M$81)*Generation_Entsoe_SFS_2017!$D$3:$AL$40)+SUMPRODUCT((Generation_Entsoe_SFS_2017!$A$3:$A$40='Abgleich Generation'!$A112)*(Generation_Entsoe_SFS_2017!$D$1:$AL$1='Abgleich Generation'!M$80)*Generation_Entsoe_SFS_2017!$D$3:$AL$40)+SUMPRODUCT((Generation_Entsoe_SFS_2017!$A$3:$A$40='Abgleich Generation'!$A112)*(Generation_Entsoe_SFS_2017!$D$1:$AL$1='Abgleich Generation'!M$79)*Generation_Entsoe_SFS_2017!$D$3:$AL$40)+SUMPRODUCT((Generation_Entsoe_SFS_2017!$A$3:$A$40='Abgleich Generation'!$A112)*(Generation_Entsoe_SFS_2017!$D$1:$AL$1='Abgleich Generation'!M$78)*Generation_Entsoe_SFS_2017!$D$3:$AL$40)+SUMPRODUCT((Generation_Entsoe_SFS_2017!$A$3:$A$40='Abgleich Generation'!$A112)*(Generation_Entsoe_SFS_2017!$D$1:$AL$1='Abgleich Generation'!M$77)*Generation_Entsoe_SFS_2017!$D$3:$AL$40)+SUMPRODUCT((Generation_Entsoe_SFS_2017!$A$3:$A$40='Abgleich Generation'!$A112)*(Generation_Entsoe_SFS_2017!$D$1:$AL$1='Abgleich Generation'!M$76)*Generation_Entsoe_SFS_2017!$D$3:$AL$40)</f>
        <v>#VALUE!</v>
      </c>
      <c r="N112" s="58" t="e">
        <f>SUMPRODUCT((Generation_Entsoe_SFS_2017!$A$3:$A$40='Abgleich Generation'!$A112)*(Generation_Entsoe_SFS_2017!$D$1:$AL$1='Abgleich Generation'!N$81)*Generation_Entsoe_SFS_2017!$D$3:$AL$40)+SUMPRODUCT((Generation_Entsoe_SFS_2017!$A$3:$A$40='Abgleich Generation'!$A112)*(Generation_Entsoe_SFS_2017!$D$1:$AL$1='Abgleich Generation'!N$80)*Generation_Entsoe_SFS_2017!$D$3:$AL$40)+SUMPRODUCT((Generation_Entsoe_SFS_2017!$A$3:$A$40='Abgleich Generation'!$A112)*(Generation_Entsoe_SFS_2017!$D$1:$AL$1='Abgleich Generation'!N$79)*Generation_Entsoe_SFS_2017!$D$3:$AL$40)+SUMPRODUCT((Generation_Entsoe_SFS_2017!$A$3:$A$40='Abgleich Generation'!$A112)*(Generation_Entsoe_SFS_2017!$D$1:$AL$1='Abgleich Generation'!N$78)*Generation_Entsoe_SFS_2017!$D$3:$AL$40)+SUMPRODUCT((Generation_Entsoe_SFS_2017!$A$3:$A$40='Abgleich Generation'!$A112)*(Generation_Entsoe_SFS_2017!$D$1:$AL$1='Abgleich Generation'!N$77)*Generation_Entsoe_SFS_2017!$D$3:$AL$40)+SUMPRODUCT((Generation_Entsoe_SFS_2017!$A$3:$A$40='Abgleich Generation'!$A112)*(Generation_Entsoe_SFS_2017!$D$1:$AL$1='Abgleich Generation'!N$76)*Generation_Entsoe_SFS_2017!$D$3:$AL$40)</f>
        <v>#VALUE!</v>
      </c>
      <c r="O112" s="58" t="e">
        <f>SUMPRODUCT((Generation_Entsoe_SFS_2017!$A$3:$A$40='Abgleich Generation'!$A112)*(Generation_Entsoe_SFS_2017!$D$1:$AL$1='Abgleich Generation'!O$81)*Generation_Entsoe_SFS_2017!$D$3:$AL$40)+SUMPRODUCT((Generation_Entsoe_SFS_2017!$A$3:$A$40='Abgleich Generation'!$A112)*(Generation_Entsoe_SFS_2017!$D$1:$AL$1='Abgleich Generation'!O$80)*Generation_Entsoe_SFS_2017!$D$3:$AL$40)+SUMPRODUCT((Generation_Entsoe_SFS_2017!$A$3:$A$40='Abgleich Generation'!$A112)*(Generation_Entsoe_SFS_2017!$D$1:$AL$1='Abgleich Generation'!O$79)*Generation_Entsoe_SFS_2017!$D$3:$AL$40)+SUMPRODUCT((Generation_Entsoe_SFS_2017!$A$3:$A$40='Abgleich Generation'!$A112)*(Generation_Entsoe_SFS_2017!$D$1:$AL$1='Abgleich Generation'!O$78)*Generation_Entsoe_SFS_2017!$D$3:$AL$40)+SUMPRODUCT((Generation_Entsoe_SFS_2017!$A$3:$A$40='Abgleich Generation'!$A112)*(Generation_Entsoe_SFS_2017!$D$1:$AL$1='Abgleich Generation'!O$77)*Generation_Entsoe_SFS_2017!$D$3:$AL$40)+SUMPRODUCT((Generation_Entsoe_SFS_2017!$A$3:$A$40='Abgleich Generation'!$A112)*(Generation_Entsoe_SFS_2017!$D$1:$AL$1='Abgleich Generation'!O$76)*Generation_Entsoe_SFS_2017!$D$3:$AL$40)</f>
        <v>#VALUE!</v>
      </c>
      <c r="P112" s="58" t="e">
        <f>SUMPRODUCT((Generation_Entsoe_SFS_2017!$A$3:$A$40='Abgleich Generation'!$A112)*(Generation_Entsoe_SFS_2017!$D$1:$AL$1='Abgleich Generation'!P$81)*Generation_Entsoe_SFS_2017!$D$3:$AL$40)+SUMPRODUCT((Generation_Entsoe_SFS_2017!$A$3:$A$40='Abgleich Generation'!$A112)*(Generation_Entsoe_SFS_2017!$D$1:$AL$1='Abgleich Generation'!P$80)*Generation_Entsoe_SFS_2017!$D$3:$AL$40)+SUMPRODUCT((Generation_Entsoe_SFS_2017!$A$3:$A$40='Abgleich Generation'!$A112)*(Generation_Entsoe_SFS_2017!$D$1:$AL$1='Abgleich Generation'!P$79)*Generation_Entsoe_SFS_2017!$D$3:$AL$40)+SUMPRODUCT((Generation_Entsoe_SFS_2017!$A$3:$A$40='Abgleich Generation'!$A112)*(Generation_Entsoe_SFS_2017!$D$1:$AL$1='Abgleich Generation'!P$78)*Generation_Entsoe_SFS_2017!$D$3:$AL$40)+SUMPRODUCT((Generation_Entsoe_SFS_2017!$A$3:$A$40='Abgleich Generation'!$A112)*(Generation_Entsoe_SFS_2017!$D$1:$AL$1='Abgleich Generation'!P$77)*Generation_Entsoe_SFS_2017!$D$3:$AL$40)+SUMPRODUCT((Generation_Entsoe_SFS_2017!$A$3:$A$40='Abgleich Generation'!$A112)*(Generation_Entsoe_SFS_2017!$D$1:$AL$1='Abgleich Generation'!P$76)*Generation_Entsoe_SFS_2017!$D$3:$AL$40)</f>
        <v>#VALUE!</v>
      </c>
      <c r="Q112" s="58" t="e">
        <f>SUMPRODUCT((Generation_Entsoe_SFS_2017!$A$3:$A$40='Abgleich Generation'!$A112)*(Generation_Entsoe_SFS_2017!$D$1:$AL$1='Abgleich Generation'!Q$81)*Generation_Entsoe_SFS_2017!$D$3:$AL$40)+SUMPRODUCT((Generation_Entsoe_SFS_2017!$A$3:$A$40='Abgleich Generation'!$A112)*(Generation_Entsoe_SFS_2017!$D$1:$AL$1='Abgleich Generation'!Q$80)*Generation_Entsoe_SFS_2017!$D$3:$AL$40)+SUMPRODUCT((Generation_Entsoe_SFS_2017!$A$3:$A$40='Abgleich Generation'!$A112)*(Generation_Entsoe_SFS_2017!$D$1:$AL$1='Abgleich Generation'!Q$79)*Generation_Entsoe_SFS_2017!$D$3:$AL$40)+SUMPRODUCT((Generation_Entsoe_SFS_2017!$A$3:$A$40='Abgleich Generation'!$A112)*(Generation_Entsoe_SFS_2017!$D$1:$AL$1='Abgleich Generation'!Q$78)*Generation_Entsoe_SFS_2017!$D$3:$AL$40)+SUMPRODUCT((Generation_Entsoe_SFS_2017!$A$3:$A$40='Abgleich Generation'!$A112)*(Generation_Entsoe_SFS_2017!$D$1:$AL$1='Abgleich Generation'!Q$77)*Generation_Entsoe_SFS_2017!$D$3:$AL$40)+SUMPRODUCT((Generation_Entsoe_SFS_2017!$A$3:$A$40='Abgleich Generation'!$A112)*(Generation_Entsoe_SFS_2017!$D$1:$AL$1='Abgleich Generation'!Q$76)*Generation_Entsoe_SFS_2017!$D$3:$AL$40)</f>
        <v>#VALUE!</v>
      </c>
      <c r="R112" s="58" t="e">
        <f>SUMPRODUCT((Generation_Entsoe_SFS_2017!$A$3:$A$40='Abgleich Generation'!$A112)*(Generation_Entsoe_SFS_2017!$D$1:$AL$1='Abgleich Generation'!R$81)*Generation_Entsoe_SFS_2017!$D$3:$AL$40)+SUMPRODUCT((Generation_Entsoe_SFS_2017!$A$3:$A$40='Abgleich Generation'!$A112)*(Generation_Entsoe_SFS_2017!$D$1:$AL$1='Abgleich Generation'!R$80)*Generation_Entsoe_SFS_2017!$D$3:$AL$40)+SUMPRODUCT((Generation_Entsoe_SFS_2017!$A$3:$A$40='Abgleich Generation'!$A112)*(Generation_Entsoe_SFS_2017!$D$1:$AL$1='Abgleich Generation'!R$79)*Generation_Entsoe_SFS_2017!$D$3:$AL$40)+SUMPRODUCT((Generation_Entsoe_SFS_2017!$A$3:$A$40='Abgleich Generation'!$A112)*(Generation_Entsoe_SFS_2017!$D$1:$AL$1='Abgleich Generation'!R$78)*Generation_Entsoe_SFS_2017!$D$3:$AL$40)+SUMPRODUCT((Generation_Entsoe_SFS_2017!$A$3:$A$40='Abgleich Generation'!$A112)*(Generation_Entsoe_SFS_2017!$D$1:$AL$1='Abgleich Generation'!R$77)*Generation_Entsoe_SFS_2017!$D$3:$AL$40)+SUMPRODUCT((Generation_Entsoe_SFS_2017!$A$3:$A$40='Abgleich Generation'!$A112)*(Generation_Entsoe_SFS_2017!$D$1:$AL$1='Abgleich Generation'!R$76)*Generation_Entsoe_SFS_2017!$D$3:$AL$40)</f>
        <v>#VALUE!</v>
      </c>
      <c r="S112" s="58" t="e">
        <f>SUMPRODUCT((Generation_Entsoe_SFS_2017!$A$3:$A$40='Abgleich Generation'!$A112)*(Generation_Entsoe_SFS_2017!$D$1:$AL$1='Abgleich Generation'!S$81)*Generation_Entsoe_SFS_2017!$D$3:$AL$40)+SUMPRODUCT((Generation_Entsoe_SFS_2017!$A$3:$A$40='Abgleich Generation'!$A112)*(Generation_Entsoe_SFS_2017!$D$1:$AL$1='Abgleich Generation'!S$80)*Generation_Entsoe_SFS_2017!$D$3:$AL$40)+SUMPRODUCT((Generation_Entsoe_SFS_2017!$A$3:$A$40='Abgleich Generation'!$A112)*(Generation_Entsoe_SFS_2017!$D$1:$AL$1='Abgleich Generation'!S$79)*Generation_Entsoe_SFS_2017!$D$3:$AL$40)+SUMPRODUCT((Generation_Entsoe_SFS_2017!$A$3:$A$40='Abgleich Generation'!$A112)*(Generation_Entsoe_SFS_2017!$D$1:$AL$1='Abgleich Generation'!S$78)*Generation_Entsoe_SFS_2017!$D$3:$AL$40)+SUMPRODUCT((Generation_Entsoe_SFS_2017!$A$3:$A$40='Abgleich Generation'!$A112)*(Generation_Entsoe_SFS_2017!$D$1:$AL$1='Abgleich Generation'!S$77)*Generation_Entsoe_SFS_2017!$D$3:$AL$40)+SUMPRODUCT((Generation_Entsoe_SFS_2017!$A$3:$A$40='Abgleich Generation'!$A112)*(Generation_Entsoe_SFS_2017!$D$1:$AL$1='Abgleich Generation'!S$76)*Generation_Entsoe_SFS_2017!$D$3:$AL$40)</f>
        <v>#VALUE!</v>
      </c>
      <c r="T112" s="58" t="e">
        <f>SUMPRODUCT((Generation_Entsoe_SFS_2017!$A$3:$A$40='Abgleich Generation'!$A112)*(Generation_Entsoe_SFS_2017!$D$1:$AL$1='Abgleich Generation'!T$81)*Generation_Entsoe_SFS_2017!$D$3:$AL$40)+SUMPRODUCT((Generation_Entsoe_SFS_2017!$A$3:$A$40='Abgleich Generation'!$A112)*(Generation_Entsoe_SFS_2017!$D$1:$AL$1='Abgleich Generation'!T$80)*Generation_Entsoe_SFS_2017!$D$3:$AL$40)+SUMPRODUCT((Generation_Entsoe_SFS_2017!$A$3:$A$40='Abgleich Generation'!$A112)*(Generation_Entsoe_SFS_2017!$D$1:$AL$1='Abgleich Generation'!T$79)*Generation_Entsoe_SFS_2017!$D$3:$AL$40)+SUMPRODUCT((Generation_Entsoe_SFS_2017!$A$3:$A$40='Abgleich Generation'!$A112)*(Generation_Entsoe_SFS_2017!$D$1:$AL$1='Abgleich Generation'!T$78)*Generation_Entsoe_SFS_2017!$D$3:$AL$40)+SUMPRODUCT((Generation_Entsoe_SFS_2017!$A$3:$A$40='Abgleich Generation'!$A112)*(Generation_Entsoe_SFS_2017!$D$1:$AL$1='Abgleich Generation'!T$77)*Generation_Entsoe_SFS_2017!$D$3:$AL$40)+SUMPRODUCT((Generation_Entsoe_SFS_2017!$A$3:$A$40='Abgleich Generation'!$A112)*(Generation_Entsoe_SFS_2017!$D$1:$AL$1='Abgleich Generation'!T$76)*Generation_Entsoe_SFS_2017!$D$3:$AL$40)</f>
        <v>#VALUE!</v>
      </c>
      <c r="U112" s="58" t="e">
        <f>SUMPRODUCT((Generation_Entsoe_SFS_2017!$A$3:$A$40='Abgleich Generation'!$A112)*(Generation_Entsoe_SFS_2017!$D$1:$AL$1='Abgleich Generation'!U$81)*Generation_Entsoe_SFS_2017!$D$3:$AL$40)+SUMPRODUCT((Generation_Entsoe_SFS_2017!$A$3:$A$40='Abgleich Generation'!$A112)*(Generation_Entsoe_SFS_2017!$D$1:$AL$1='Abgleich Generation'!U$80)*Generation_Entsoe_SFS_2017!$D$3:$AL$40)+SUMPRODUCT((Generation_Entsoe_SFS_2017!$A$3:$A$40='Abgleich Generation'!$A112)*(Generation_Entsoe_SFS_2017!$D$1:$AL$1='Abgleich Generation'!U$79)*Generation_Entsoe_SFS_2017!$D$3:$AL$40)+SUMPRODUCT((Generation_Entsoe_SFS_2017!$A$3:$A$40='Abgleich Generation'!$A112)*(Generation_Entsoe_SFS_2017!$D$1:$AL$1='Abgleich Generation'!U$78)*Generation_Entsoe_SFS_2017!$D$3:$AL$40)+SUMPRODUCT((Generation_Entsoe_SFS_2017!$A$3:$A$40='Abgleich Generation'!$A112)*(Generation_Entsoe_SFS_2017!$D$1:$AL$1='Abgleich Generation'!U$77)*Generation_Entsoe_SFS_2017!$D$3:$AL$40)+SUMPRODUCT((Generation_Entsoe_SFS_2017!$A$3:$A$40='Abgleich Generation'!$A112)*(Generation_Entsoe_SFS_2017!$D$1:$AL$1='Abgleich Generation'!U$76)*Generation_Entsoe_SFS_2017!$D$3:$AL$40)</f>
        <v>#VALUE!</v>
      </c>
      <c r="V112" s="59" t="e">
        <f t="shared" si="63"/>
        <v>#VALUE!</v>
      </c>
      <c r="W112" s="60" t="e">
        <f>SUMPRODUCT((Generation_Entsoe_SFS_2017!$A$3:$A$40='Abgleich Generation'!$A112)*(Generation_Entsoe_SFS_2017!$D$1:$AL$1='Abgleich Generation'!W$81)*Generation_Entsoe_SFS_2017!$D$3:$AL$40)+SUMPRODUCT((Generation_Entsoe_SFS_2017!$A$3:$A$40='Abgleich Generation'!$A112)*(Generation_Entsoe_SFS_2017!$D$1:$AL$1='Abgleich Generation'!W$80)*Generation_Entsoe_SFS_2017!$D$3:$AL$40)+SUMPRODUCT((Generation_Entsoe_SFS_2017!$A$3:$A$40='Abgleich Generation'!$A112)*(Generation_Entsoe_SFS_2017!$D$1:$AL$1='Abgleich Generation'!W$79)*Generation_Entsoe_SFS_2017!$D$3:$AL$40)+SUMPRODUCT((Generation_Entsoe_SFS_2017!$A$3:$A$40='Abgleich Generation'!$A112)*(Generation_Entsoe_SFS_2017!$D$1:$AL$1='Abgleich Generation'!W$78)*Generation_Entsoe_SFS_2017!$D$3:$AL$40)+SUMPRODUCT((Generation_Entsoe_SFS_2017!$A$3:$A$40='Abgleich Generation'!$A112)*(Generation_Entsoe_SFS_2017!$D$1:$AL$1='Abgleich Generation'!W$77)*Generation_Entsoe_SFS_2017!$D$3:$AL$40)+SUMPRODUCT((Generation_Entsoe_SFS_2017!$A$3:$A$40='Abgleich Generation'!$A112)*(Generation_Entsoe_SFS_2017!$D$1:$AL$1='Abgleich Generation'!W$76)*Generation_Entsoe_SFS_2017!$D$3:$AL$40)</f>
        <v>#VALUE!</v>
      </c>
      <c r="X112" s="61" t="e">
        <f>SUMPRODUCT((Generation_Entsoe_SFS_2017!$A$3:$A$40='Abgleich Generation'!$A112)*(Generation_Entsoe_SFS_2017!$D$1:$AL$1='Abgleich Generation'!X$81)*Generation_Entsoe_SFS_2017!$D$3:$AL$40)+SUMPRODUCT((Generation_Entsoe_SFS_2017!$A$3:$A$40='Abgleich Generation'!$A112)*(Generation_Entsoe_SFS_2017!$D$1:$AL$1='Abgleich Generation'!X$80)*Generation_Entsoe_SFS_2017!$D$3:$AL$40)+SUMPRODUCT((Generation_Entsoe_SFS_2017!$A$3:$A$40='Abgleich Generation'!$A112)*(Generation_Entsoe_SFS_2017!$D$1:$AL$1='Abgleich Generation'!X$79)*Generation_Entsoe_SFS_2017!$D$3:$AL$40)+SUMPRODUCT((Generation_Entsoe_SFS_2017!$A$3:$A$40='Abgleich Generation'!$A112)*(Generation_Entsoe_SFS_2017!$D$1:$AL$1='Abgleich Generation'!X$78)*Generation_Entsoe_SFS_2017!$D$3:$AL$40)+SUMPRODUCT((Generation_Entsoe_SFS_2017!$A$3:$A$40='Abgleich Generation'!$A112)*(Generation_Entsoe_SFS_2017!$D$1:$AL$1='Abgleich Generation'!X$77)*Generation_Entsoe_SFS_2017!$D$3:$AL$40)+SUMPRODUCT((Generation_Entsoe_SFS_2017!$A$3:$A$40='Abgleich Generation'!$A112)*(Generation_Entsoe_SFS_2017!$D$1:$AL$1='Abgleich Generation'!X$76)*Generation_Entsoe_SFS_2017!$D$3:$AL$40)</f>
        <v>#VALUE!</v>
      </c>
      <c r="Y112" s="61" t="e">
        <f t="shared" si="64"/>
        <v>#VALUE!</v>
      </c>
    </row>
    <row r="113" spans="1:25" x14ac:dyDescent="0.25">
      <c r="A113" s="14" t="s">
        <v>39</v>
      </c>
      <c r="B113" s="25" t="e">
        <f t="shared" si="60"/>
        <v>#VALUE!</v>
      </c>
      <c r="C113" s="26" t="e">
        <f>SUMPRODUCT((Generation_Entsoe_SFS_2017!$A$3:$A$40='Abgleich Generation'!$A113)*(Generation_Entsoe_SFS_2017!$D$1:$AL$1='Abgleich Generation'!C$81)*Generation_Entsoe_SFS_2017!$D$3:$AL$40)+SUMPRODUCT((Generation_Entsoe_SFS_2017!$A$3:$A$40='Abgleich Generation'!$A113)*(Generation_Entsoe_SFS_2017!$D$1:$AL$1='Abgleich Generation'!C$80)*Generation_Entsoe_SFS_2017!$D$3:$AL$40)+SUMPRODUCT((Generation_Entsoe_SFS_2017!$A$3:$A$40='Abgleich Generation'!$A113)*(Generation_Entsoe_SFS_2017!$D$1:$AL$1='Abgleich Generation'!C$79)*Generation_Entsoe_SFS_2017!$D$3:$AL$40)+SUMPRODUCT((Generation_Entsoe_SFS_2017!$A$3:$A$40='Abgleich Generation'!$A113)*(Generation_Entsoe_SFS_2017!$D$1:$AL$1='Abgleich Generation'!C$78)*Generation_Entsoe_SFS_2017!$D$3:$AL$40)</f>
        <v>#VALUE!</v>
      </c>
      <c r="D113" s="26" t="e">
        <f t="shared" si="61"/>
        <v>#VALUE!</v>
      </c>
      <c r="E113" s="26" t="e">
        <f>SUMPRODUCT((Generation_Entsoe_SFS_2017!$A$3:$A$40='Abgleich Generation'!$A113)*(Generation_Entsoe_SFS_2017!$D$1:$AL$1='Abgleich Generation'!E$81)*Generation_Entsoe_SFS_2017!$D$3:$AL$40)+SUMPRODUCT((Generation_Entsoe_SFS_2017!$A$3:$A$40='Abgleich Generation'!$A113)*(Generation_Entsoe_SFS_2017!$D$1:$AL$1='Abgleich Generation'!E$80)*Generation_Entsoe_SFS_2017!$D$3:$AL$40)+SUMPRODUCT((Generation_Entsoe_SFS_2017!$A$3:$A$40='Abgleich Generation'!$A113)*(Generation_Entsoe_SFS_2017!$D$1:$AL$1='Abgleich Generation'!E$79)*Generation_Entsoe_SFS_2017!$D$3:$AL$40)+SUMPRODUCT((Generation_Entsoe_SFS_2017!$A$3:$A$40='Abgleich Generation'!$A113)*(Generation_Entsoe_SFS_2017!$D$1:$AL$1='Abgleich Generation'!E$78)*Generation_Entsoe_SFS_2017!$D$3:$AL$40)</f>
        <v>#VALUE!</v>
      </c>
      <c r="F113" s="26" t="e">
        <f>SUMPRODUCT((Generation_Entsoe_SFS_2017!$A$3:$A$40='Abgleich Generation'!$A113)*(Generation_Entsoe_SFS_2017!$D$1:$AL$1='Abgleich Generation'!F$81)*Generation_Entsoe_SFS_2017!$D$3:$AL$40)+SUMPRODUCT((Generation_Entsoe_SFS_2017!$A$3:$A$40='Abgleich Generation'!$A113)*(Generation_Entsoe_SFS_2017!$D$1:$AL$1='Abgleich Generation'!F$80)*Generation_Entsoe_SFS_2017!$D$3:$AL$40)+SUMPRODUCT((Generation_Entsoe_SFS_2017!$A$3:$A$40='Abgleich Generation'!$A113)*(Generation_Entsoe_SFS_2017!$D$1:$AL$1='Abgleich Generation'!F$79)*Generation_Entsoe_SFS_2017!$D$3:$AL$40)+SUMPRODUCT((Generation_Entsoe_SFS_2017!$A$3:$A$40='Abgleich Generation'!$A113)*(Generation_Entsoe_SFS_2017!$D$1:$AL$1='Abgleich Generation'!F$78)*Generation_Entsoe_SFS_2017!$D$3:$AL$40)</f>
        <v>#VALUE!</v>
      </c>
      <c r="G113" s="26" t="e">
        <f>SUMPRODUCT((Generation_Entsoe_SFS_2017!$A$3:$A$40='Abgleich Generation'!$A113)*(Generation_Entsoe_SFS_2017!$D$1:$AL$1='Abgleich Generation'!G$81)*Generation_Entsoe_SFS_2017!$D$3:$AL$40)+SUMPRODUCT((Generation_Entsoe_SFS_2017!$A$3:$A$40='Abgleich Generation'!$A113)*(Generation_Entsoe_SFS_2017!$D$1:$AL$1='Abgleich Generation'!G$80)*Generation_Entsoe_SFS_2017!$D$3:$AL$40)+SUMPRODUCT((Generation_Entsoe_SFS_2017!$A$3:$A$40='Abgleich Generation'!$A113)*(Generation_Entsoe_SFS_2017!$D$1:$AL$1='Abgleich Generation'!G$79)*Generation_Entsoe_SFS_2017!$D$3:$AL$40)+SUMPRODUCT((Generation_Entsoe_SFS_2017!$A$3:$A$40='Abgleich Generation'!$A113)*(Generation_Entsoe_SFS_2017!$D$1:$AL$1='Abgleich Generation'!G$78)*Generation_Entsoe_SFS_2017!$D$3:$AL$40)</f>
        <v>#VALUE!</v>
      </c>
      <c r="H113" s="26" t="e">
        <f>SUMPRODUCT((Generation_Entsoe_SFS_2017!$A$3:$A$40='Abgleich Generation'!$A113)*(Generation_Entsoe_SFS_2017!$D$1:$AL$1='Abgleich Generation'!H$81)*Generation_Entsoe_SFS_2017!$D$3:$AL$40)+SUMPRODUCT((Generation_Entsoe_SFS_2017!$A$3:$A$40='Abgleich Generation'!$A113)*(Generation_Entsoe_SFS_2017!$D$1:$AL$1='Abgleich Generation'!H$80)*Generation_Entsoe_SFS_2017!$D$3:$AL$40)+SUMPRODUCT((Generation_Entsoe_SFS_2017!$A$3:$A$40='Abgleich Generation'!$A113)*(Generation_Entsoe_SFS_2017!$D$1:$AL$1='Abgleich Generation'!H$79)*Generation_Entsoe_SFS_2017!$D$3:$AL$40)+SUMPRODUCT((Generation_Entsoe_SFS_2017!$A$3:$A$40='Abgleich Generation'!$A113)*(Generation_Entsoe_SFS_2017!$D$1:$AL$1='Abgleich Generation'!H$78)*Generation_Entsoe_SFS_2017!$D$3:$AL$40)</f>
        <v>#VALUE!</v>
      </c>
      <c r="I113" s="26" t="e">
        <f>SUMPRODUCT((Generation_Entsoe_SFS_2017!$A$3:$A$40='Abgleich Generation'!$A113)*(Generation_Entsoe_SFS_2017!$D$1:$AL$1='Abgleich Generation'!I$81)*Generation_Entsoe_SFS_2017!$D$3:$AL$40)+SUMPRODUCT((Generation_Entsoe_SFS_2017!$A$3:$A$40='Abgleich Generation'!$A113)*(Generation_Entsoe_SFS_2017!$D$1:$AL$1='Abgleich Generation'!I$80)*Generation_Entsoe_SFS_2017!$D$3:$AL$40)+SUMPRODUCT((Generation_Entsoe_SFS_2017!$A$3:$A$40='Abgleich Generation'!$A113)*(Generation_Entsoe_SFS_2017!$D$1:$AL$1='Abgleich Generation'!I$79)*Generation_Entsoe_SFS_2017!$D$3:$AL$40)+SUMPRODUCT((Generation_Entsoe_SFS_2017!$A$3:$A$40='Abgleich Generation'!$A113)*(Generation_Entsoe_SFS_2017!$D$1:$AL$1='Abgleich Generation'!I$78)*Generation_Entsoe_SFS_2017!$D$3:$AL$40)</f>
        <v>#VALUE!</v>
      </c>
      <c r="J113" s="26" t="e">
        <f>SUMPRODUCT((Generation_Entsoe_SFS_2017!$A$3:$A$40='Abgleich Generation'!$A113)*(Generation_Entsoe_SFS_2017!$D$1:$AL$1='Abgleich Generation'!J$81)*Generation_Entsoe_SFS_2017!$D$3:$AL$40)+SUMPRODUCT((Generation_Entsoe_SFS_2017!$A$3:$A$40='Abgleich Generation'!$A113)*(Generation_Entsoe_SFS_2017!$D$1:$AL$1='Abgleich Generation'!J$80)*Generation_Entsoe_SFS_2017!$D$3:$AL$40)+SUMPRODUCT((Generation_Entsoe_SFS_2017!$A$3:$A$40='Abgleich Generation'!$A113)*(Generation_Entsoe_SFS_2017!$D$1:$AL$1='Abgleich Generation'!J$79)*Generation_Entsoe_SFS_2017!$D$3:$AL$40)+SUMPRODUCT((Generation_Entsoe_SFS_2017!$A$3:$A$40='Abgleich Generation'!$A113)*(Generation_Entsoe_SFS_2017!$D$1:$AL$1='Abgleich Generation'!J$78)*Generation_Entsoe_SFS_2017!$D$3:$AL$40)</f>
        <v>#VALUE!</v>
      </c>
      <c r="K113" s="27" t="e">
        <f t="shared" si="62"/>
        <v>#VALUE!</v>
      </c>
      <c r="L113" s="26" t="e">
        <f>SUMPRODUCT((Generation_Entsoe_SFS_2017!$A$3:$A$40='Abgleich Generation'!$A113)*(Generation_Entsoe_SFS_2017!$D$1:$AL$1='Abgleich Generation'!L$81)*Generation_Entsoe_SFS_2017!$D$3:$AL$40)+SUMPRODUCT((Generation_Entsoe_SFS_2017!$A$3:$A$40='Abgleich Generation'!$A113)*(Generation_Entsoe_SFS_2017!$D$1:$AL$1='Abgleich Generation'!L$80)*Generation_Entsoe_SFS_2017!$D$3:$AL$40)+SUMPRODUCT((Generation_Entsoe_SFS_2017!$A$3:$A$40='Abgleich Generation'!$A113)*(Generation_Entsoe_SFS_2017!$D$1:$AL$1='Abgleich Generation'!L$79)*Generation_Entsoe_SFS_2017!$D$3:$AL$40)+SUMPRODUCT((Generation_Entsoe_SFS_2017!$A$3:$A$40='Abgleich Generation'!$A113)*(Generation_Entsoe_SFS_2017!$D$1:$AL$1='Abgleich Generation'!L$78)*Generation_Entsoe_SFS_2017!$D$3:$AL$40)+SUMPRODUCT((Generation_Entsoe_SFS_2017!$A$3:$A$40='Abgleich Generation'!$A113)*(Generation_Entsoe_SFS_2017!$D$1:$AL$1='Abgleich Generation'!L$77)*Generation_Entsoe_SFS_2017!$D$3:$AL$40)+SUMPRODUCT((Generation_Entsoe_SFS_2017!$A$3:$A$40='Abgleich Generation'!$A113)*(Generation_Entsoe_SFS_2017!$D$1:$AL$1='Abgleich Generation'!L$76)*Generation_Entsoe_SFS_2017!$D$3:$AL$40)</f>
        <v>#VALUE!</v>
      </c>
      <c r="M113" s="26" t="e">
        <f>SUMPRODUCT((Generation_Entsoe_SFS_2017!$A$3:$A$40='Abgleich Generation'!$A113)*(Generation_Entsoe_SFS_2017!$D$1:$AL$1='Abgleich Generation'!M$81)*Generation_Entsoe_SFS_2017!$D$3:$AL$40)+SUMPRODUCT((Generation_Entsoe_SFS_2017!$A$3:$A$40='Abgleich Generation'!$A113)*(Generation_Entsoe_SFS_2017!$D$1:$AL$1='Abgleich Generation'!M$80)*Generation_Entsoe_SFS_2017!$D$3:$AL$40)+SUMPRODUCT((Generation_Entsoe_SFS_2017!$A$3:$A$40='Abgleich Generation'!$A113)*(Generation_Entsoe_SFS_2017!$D$1:$AL$1='Abgleich Generation'!M$79)*Generation_Entsoe_SFS_2017!$D$3:$AL$40)+SUMPRODUCT((Generation_Entsoe_SFS_2017!$A$3:$A$40='Abgleich Generation'!$A113)*(Generation_Entsoe_SFS_2017!$D$1:$AL$1='Abgleich Generation'!M$78)*Generation_Entsoe_SFS_2017!$D$3:$AL$40)+SUMPRODUCT((Generation_Entsoe_SFS_2017!$A$3:$A$40='Abgleich Generation'!$A113)*(Generation_Entsoe_SFS_2017!$D$1:$AL$1='Abgleich Generation'!M$77)*Generation_Entsoe_SFS_2017!$D$3:$AL$40)+SUMPRODUCT((Generation_Entsoe_SFS_2017!$A$3:$A$40='Abgleich Generation'!$A113)*(Generation_Entsoe_SFS_2017!$D$1:$AL$1='Abgleich Generation'!M$76)*Generation_Entsoe_SFS_2017!$D$3:$AL$40)</f>
        <v>#VALUE!</v>
      </c>
      <c r="N113" s="26" t="e">
        <f>SUMPRODUCT((Generation_Entsoe_SFS_2017!$A$3:$A$40='Abgleich Generation'!$A113)*(Generation_Entsoe_SFS_2017!$D$1:$AL$1='Abgleich Generation'!N$81)*Generation_Entsoe_SFS_2017!$D$3:$AL$40)+SUMPRODUCT((Generation_Entsoe_SFS_2017!$A$3:$A$40='Abgleich Generation'!$A113)*(Generation_Entsoe_SFS_2017!$D$1:$AL$1='Abgleich Generation'!N$80)*Generation_Entsoe_SFS_2017!$D$3:$AL$40)+SUMPRODUCT((Generation_Entsoe_SFS_2017!$A$3:$A$40='Abgleich Generation'!$A113)*(Generation_Entsoe_SFS_2017!$D$1:$AL$1='Abgleich Generation'!N$79)*Generation_Entsoe_SFS_2017!$D$3:$AL$40)+SUMPRODUCT((Generation_Entsoe_SFS_2017!$A$3:$A$40='Abgleich Generation'!$A113)*(Generation_Entsoe_SFS_2017!$D$1:$AL$1='Abgleich Generation'!N$78)*Generation_Entsoe_SFS_2017!$D$3:$AL$40)+SUMPRODUCT((Generation_Entsoe_SFS_2017!$A$3:$A$40='Abgleich Generation'!$A113)*(Generation_Entsoe_SFS_2017!$D$1:$AL$1='Abgleich Generation'!N$77)*Generation_Entsoe_SFS_2017!$D$3:$AL$40)+SUMPRODUCT((Generation_Entsoe_SFS_2017!$A$3:$A$40='Abgleich Generation'!$A113)*(Generation_Entsoe_SFS_2017!$D$1:$AL$1='Abgleich Generation'!N$76)*Generation_Entsoe_SFS_2017!$D$3:$AL$40)</f>
        <v>#VALUE!</v>
      </c>
      <c r="O113" s="26" t="e">
        <f>SUMPRODUCT((Generation_Entsoe_SFS_2017!$A$3:$A$40='Abgleich Generation'!$A113)*(Generation_Entsoe_SFS_2017!$D$1:$AL$1='Abgleich Generation'!O$81)*Generation_Entsoe_SFS_2017!$D$3:$AL$40)+SUMPRODUCT((Generation_Entsoe_SFS_2017!$A$3:$A$40='Abgleich Generation'!$A113)*(Generation_Entsoe_SFS_2017!$D$1:$AL$1='Abgleich Generation'!O$80)*Generation_Entsoe_SFS_2017!$D$3:$AL$40)+SUMPRODUCT((Generation_Entsoe_SFS_2017!$A$3:$A$40='Abgleich Generation'!$A113)*(Generation_Entsoe_SFS_2017!$D$1:$AL$1='Abgleich Generation'!O$79)*Generation_Entsoe_SFS_2017!$D$3:$AL$40)+SUMPRODUCT((Generation_Entsoe_SFS_2017!$A$3:$A$40='Abgleich Generation'!$A113)*(Generation_Entsoe_SFS_2017!$D$1:$AL$1='Abgleich Generation'!O$78)*Generation_Entsoe_SFS_2017!$D$3:$AL$40)+SUMPRODUCT((Generation_Entsoe_SFS_2017!$A$3:$A$40='Abgleich Generation'!$A113)*(Generation_Entsoe_SFS_2017!$D$1:$AL$1='Abgleich Generation'!O$77)*Generation_Entsoe_SFS_2017!$D$3:$AL$40)+SUMPRODUCT((Generation_Entsoe_SFS_2017!$A$3:$A$40='Abgleich Generation'!$A113)*(Generation_Entsoe_SFS_2017!$D$1:$AL$1='Abgleich Generation'!O$76)*Generation_Entsoe_SFS_2017!$D$3:$AL$40)</f>
        <v>#VALUE!</v>
      </c>
      <c r="P113" s="26" t="e">
        <f>SUMPRODUCT((Generation_Entsoe_SFS_2017!$A$3:$A$40='Abgleich Generation'!$A113)*(Generation_Entsoe_SFS_2017!$D$1:$AL$1='Abgleich Generation'!P$81)*Generation_Entsoe_SFS_2017!$D$3:$AL$40)+SUMPRODUCT((Generation_Entsoe_SFS_2017!$A$3:$A$40='Abgleich Generation'!$A113)*(Generation_Entsoe_SFS_2017!$D$1:$AL$1='Abgleich Generation'!P$80)*Generation_Entsoe_SFS_2017!$D$3:$AL$40)+SUMPRODUCT((Generation_Entsoe_SFS_2017!$A$3:$A$40='Abgleich Generation'!$A113)*(Generation_Entsoe_SFS_2017!$D$1:$AL$1='Abgleich Generation'!P$79)*Generation_Entsoe_SFS_2017!$D$3:$AL$40)+SUMPRODUCT((Generation_Entsoe_SFS_2017!$A$3:$A$40='Abgleich Generation'!$A113)*(Generation_Entsoe_SFS_2017!$D$1:$AL$1='Abgleich Generation'!P$78)*Generation_Entsoe_SFS_2017!$D$3:$AL$40)+SUMPRODUCT((Generation_Entsoe_SFS_2017!$A$3:$A$40='Abgleich Generation'!$A113)*(Generation_Entsoe_SFS_2017!$D$1:$AL$1='Abgleich Generation'!P$77)*Generation_Entsoe_SFS_2017!$D$3:$AL$40)+SUMPRODUCT((Generation_Entsoe_SFS_2017!$A$3:$A$40='Abgleich Generation'!$A113)*(Generation_Entsoe_SFS_2017!$D$1:$AL$1='Abgleich Generation'!P$76)*Generation_Entsoe_SFS_2017!$D$3:$AL$40)</f>
        <v>#VALUE!</v>
      </c>
      <c r="Q113" s="26" t="e">
        <f>SUMPRODUCT((Generation_Entsoe_SFS_2017!$A$3:$A$40='Abgleich Generation'!$A113)*(Generation_Entsoe_SFS_2017!$D$1:$AL$1='Abgleich Generation'!Q$81)*Generation_Entsoe_SFS_2017!$D$3:$AL$40)+SUMPRODUCT((Generation_Entsoe_SFS_2017!$A$3:$A$40='Abgleich Generation'!$A113)*(Generation_Entsoe_SFS_2017!$D$1:$AL$1='Abgleich Generation'!Q$80)*Generation_Entsoe_SFS_2017!$D$3:$AL$40)+SUMPRODUCT((Generation_Entsoe_SFS_2017!$A$3:$A$40='Abgleich Generation'!$A113)*(Generation_Entsoe_SFS_2017!$D$1:$AL$1='Abgleich Generation'!Q$79)*Generation_Entsoe_SFS_2017!$D$3:$AL$40)+SUMPRODUCT((Generation_Entsoe_SFS_2017!$A$3:$A$40='Abgleich Generation'!$A113)*(Generation_Entsoe_SFS_2017!$D$1:$AL$1='Abgleich Generation'!Q$78)*Generation_Entsoe_SFS_2017!$D$3:$AL$40)+SUMPRODUCT((Generation_Entsoe_SFS_2017!$A$3:$A$40='Abgleich Generation'!$A113)*(Generation_Entsoe_SFS_2017!$D$1:$AL$1='Abgleich Generation'!Q$77)*Generation_Entsoe_SFS_2017!$D$3:$AL$40)+SUMPRODUCT((Generation_Entsoe_SFS_2017!$A$3:$A$40='Abgleich Generation'!$A113)*(Generation_Entsoe_SFS_2017!$D$1:$AL$1='Abgleich Generation'!Q$76)*Generation_Entsoe_SFS_2017!$D$3:$AL$40)</f>
        <v>#VALUE!</v>
      </c>
      <c r="R113" s="26" t="e">
        <f>SUMPRODUCT((Generation_Entsoe_SFS_2017!$A$3:$A$40='Abgleich Generation'!$A113)*(Generation_Entsoe_SFS_2017!$D$1:$AL$1='Abgleich Generation'!R$81)*Generation_Entsoe_SFS_2017!$D$3:$AL$40)+SUMPRODUCT((Generation_Entsoe_SFS_2017!$A$3:$A$40='Abgleich Generation'!$A113)*(Generation_Entsoe_SFS_2017!$D$1:$AL$1='Abgleich Generation'!R$80)*Generation_Entsoe_SFS_2017!$D$3:$AL$40)+SUMPRODUCT((Generation_Entsoe_SFS_2017!$A$3:$A$40='Abgleich Generation'!$A113)*(Generation_Entsoe_SFS_2017!$D$1:$AL$1='Abgleich Generation'!R$79)*Generation_Entsoe_SFS_2017!$D$3:$AL$40)+SUMPRODUCT((Generation_Entsoe_SFS_2017!$A$3:$A$40='Abgleich Generation'!$A113)*(Generation_Entsoe_SFS_2017!$D$1:$AL$1='Abgleich Generation'!R$78)*Generation_Entsoe_SFS_2017!$D$3:$AL$40)+SUMPRODUCT((Generation_Entsoe_SFS_2017!$A$3:$A$40='Abgleich Generation'!$A113)*(Generation_Entsoe_SFS_2017!$D$1:$AL$1='Abgleich Generation'!R$77)*Generation_Entsoe_SFS_2017!$D$3:$AL$40)+SUMPRODUCT((Generation_Entsoe_SFS_2017!$A$3:$A$40='Abgleich Generation'!$A113)*(Generation_Entsoe_SFS_2017!$D$1:$AL$1='Abgleich Generation'!R$76)*Generation_Entsoe_SFS_2017!$D$3:$AL$40)</f>
        <v>#VALUE!</v>
      </c>
      <c r="S113" s="26" t="e">
        <f>SUMPRODUCT((Generation_Entsoe_SFS_2017!$A$3:$A$40='Abgleich Generation'!$A113)*(Generation_Entsoe_SFS_2017!$D$1:$AL$1='Abgleich Generation'!S$81)*Generation_Entsoe_SFS_2017!$D$3:$AL$40)+SUMPRODUCT((Generation_Entsoe_SFS_2017!$A$3:$A$40='Abgleich Generation'!$A113)*(Generation_Entsoe_SFS_2017!$D$1:$AL$1='Abgleich Generation'!S$80)*Generation_Entsoe_SFS_2017!$D$3:$AL$40)+SUMPRODUCT((Generation_Entsoe_SFS_2017!$A$3:$A$40='Abgleich Generation'!$A113)*(Generation_Entsoe_SFS_2017!$D$1:$AL$1='Abgleich Generation'!S$79)*Generation_Entsoe_SFS_2017!$D$3:$AL$40)+SUMPRODUCT((Generation_Entsoe_SFS_2017!$A$3:$A$40='Abgleich Generation'!$A113)*(Generation_Entsoe_SFS_2017!$D$1:$AL$1='Abgleich Generation'!S$78)*Generation_Entsoe_SFS_2017!$D$3:$AL$40)+SUMPRODUCT((Generation_Entsoe_SFS_2017!$A$3:$A$40='Abgleich Generation'!$A113)*(Generation_Entsoe_SFS_2017!$D$1:$AL$1='Abgleich Generation'!S$77)*Generation_Entsoe_SFS_2017!$D$3:$AL$40)+SUMPRODUCT((Generation_Entsoe_SFS_2017!$A$3:$A$40='Abgleich Generation'!$A113)*(Generation_Entsoe_SFS_2017!$D$1:$AL$1='Abgleich Generation'!S$76)*Generation_Entsoe_SFS_2017!$D$3:$AL$40)</f>
        <v>#VALUE!</v>
      </c>
      <c r="T113" s="26" t="e">
        <f>SUMPRODUCT((Generation_Entsoe_SFS_2017!$A$3:$A$40='Abgleich Generation'!$A113)*(Generation_Entsoe_SFS_2017!$D$1:$AL$1='Abgleich Generation'!T$81)*Generation_Entsoe_SFS_2017!$D$3:$AL$40)+SUMPRODUCT((Generation_Entsoe_SFS_2017!$A$3:$A$40='Abgleich Generation'!$A113)*(Generation_Entsoe_SFS_2017!$D$1:$AL$1='Abgleich Generation'!T$80)*Generation_Entsoe_SFS_2017!$D$3:$AL$40)+SUMPRODUCT((Generation_Entsoe_SFS_2017!$A$3:$A$40='Abgleich Generation'!$A113)*(Generation_Entsoe_SFS_2017!$D$1:$AL$1='Abgleich Generation'!T$79)*Generation_Entsoe_SFS_2017!$D$3:$AL$40)+SUMPRODUCT((Generation_Entsoe_SFS_2017!$A$3:$A$40='Abgleich Generation'!$A113)*(Generation_Entsoe_SFS_2017!$D$1:$AL$1='Abgleich Generation'!T$78)*Generation_Entsoe_SFS_2017!$D$3:$AL$40)+SUMPRODUCT((Generation_Entsoe_SFS_2017!$A$3:$A$40='Abgleich Generation'!$A113)*(Generation_Entsoe_SFS_2017!$D$1:$AL$1='Abgleich Generation'!T$77)*Generation_Entsoe_SFS_2017!$D$3:$AL$40)+SUMPRODUCT((Generation_Entsoe_SFS_2017!$A$3:$A$40='Abgleich Generation'!$A113)*(Generation_Entsoe_SFS_2017!$D$1:$AL$1='Abgleich Generation'!T$76)*Generation_Entsoe_SFS_2017!$D$3:$AL$40)</f>
        <v>#VALUE!</v>
      </c>
      <c r="U113" s="26" t="e">
        <f>SUMPRODUCT((Generation_Entsoe_SFS_2017!$A$3:$A$40='Abgleich Generation'!$A113)*(Generation_Entsoe_SFS_2017!$D$1:$AL$1='Abgleich Generation'!U$81)*Generation_Entsoe_SFS_2017!$D$3:$AL$40)+SUMPRODUCT((Generation_Entsoe_SFS_2017!$A$3:$A$40='Abgleich Generation'!$A113)*(Generation_Entsoe_SFS_2017!$D$1:$AL$1='Abgleich Generation'!U$80)*Generation_Entsoe_SFS_2017!$D$3:$AL$40)+SUMPRODUCT((Generation_Entsoe_SFS_2017!$A$3:$A$40='Abgleich Generation'!$A113)*(Generation_Entsoe_SFS_2017!$D$1:$AL$1='Abgleich Generation'!U$79)*Generation_Entsoe_SFS_2017!$D$3:$AL$40)+SUMPRODUCT((Generation_Entsoe_SFS_2017!$A$3:$A$40='Abgleich Generation'!$A113)*(Generation_Entsoe_SFS_2017!$D$1:$AL$1='Abgleich Generation'!U$78)*Generation_Entsoe_SFS_2017!$D$3:$AL$40)+SUMPRODUCT((Generation_Entsoe_SFS_2017!$A$3:$A$40='Abgleich Generation'!$A113)*(Generation_Entsoe_SFS_2017!$D$1:$AL$1='Abgleich Generation'!U$77)*Generation_Entsoe_SFS_2017!$D$3:$AL$40)+SUMPRODUCT((Generation_Entsoe_SFS_2017!$A$3:$A$40='Abgleich Generation'!$A113)*(Generation_Entsoe_SFS_2017!$D$1:$AL$1='Abgleich Generation'!U$76)*Generation_Entsoe_SFS_2017!$D$3:$AL$40)</f>
        <v>#VALUE!</v>
      </c>
      <c r="V113" s="27" t="e">
        <f t="shared" si="63"/>
        <v>#VALUE!</v>
      </c>
      <c r="W113" s="28" t="e">
        <f>SUMPRODUCT((Generation_Entsoe_SFS_2017!$A$3:$A$40='Abgleich Generation'!$A113)*(Generation_Entsoe_SFS_2017!$D$1:$AL$1='Abgleich Generation'!W$81)*Generation_Entsoe_SFS_2017!$D$3:$AL$40)+SUMPRODUCT((Generation_Entsoe_SFS_2017!$A$3:$A$40='Abgleich Generation'!$A113)*(Generation_Entsoe_SFS_2017!$D$1:$AL$1='Abgleich Generation'!W$80)*Generation_Entsoe_SFS_2017!$D$3:$AL$40)+SUMPRODUCT((Generation_Entsoe_SFS_2017!$A$3:$A$40='Abgleich Generation'!$A113)*(Generation_Entsoe_SFS_2017!$D$1:$AL$1='Abgleich Generation'!W$79)*Generation_Entsoe_SFS_2017!$D$3:$AL$40)+SUMPRODUCT((Generation_Entsoe_SFS_2017!$A$3:$A$40='Abgleich Generation'!$A113)*(Generation_Entsoe_SFS_2017!$D$1:$AL$1='Abgleich Generation'!W$78)*Generation_Entsoe_SFS_2017!$D$3:$AL$40)+SUMPRODUCT((Generation_Entsoe_SFS_2017!$A$3:$A$40='Abgleich Generation'!$A113)*(Generation_Entsoe_SFS_2017!$D$1:$AL$1='Abgleich Generation'!W$77)*Generation_Entsoe_SFS_2017!$D$3:$AL$40)+SUMPRODUCT((Generation_Entsoe_SFS_2017!$A$3:$A$40='Abgleich Generation'!$A113)*(Generation_Entsoe_SFS_2017!$D$1:$AL$1='Abgleich Generation'!W$76)*Generation_Entsoe_SFS_2017!$D$3:$AL$40)</f>
        <v>#VALUE!</v>
      </c>
      <c r="X113" s="29" t="e">
        <f>SUMPRODUCT((Generation_Entsoe_SFS_2017!$A$3:$A$40='Abgleich Generation'!$A113)*(Generation_Entsoe_SFS_2017!$D$1:$AL$1='Abgleich Generation'!X$81)*Generation_Entsoe_SFS_2017!$D$3:$AL$40)+SUMPRODUCT((Generation_Entsoe_SFS_2017!$A$3:$A$40='Abgleich Generation'!$A113)*(Generation_Entsoe_SFS_2017!$D$1:$AL$1='Abgleich Generation'!X$80)*Generation_Entsoe_SFS_2017!$D$3:$AL$40)+SUMPRODUCT((Generation_Entsoe_SFS_2017!$A$3:$A$40='Abgleich Generation'!$A113)*(Generation_Entsoe_SFS_2017!$D$1:$AL$1='Abgleich Generation'!X$79)*Generation_Entsoe_SFS_2017!$D$3:$AL$40)+SUMPRODUCT((Generation_Entsoe_SFS_2017!$A$3:$A$40='Abgleich Generation'!$A113)*(Generation_Entsoe_SFS_2017!$D$1:$AL$1='Abgleich Generation'!X$78)*Generation_Entsoe_SFS_2017!$D$3:$AL$40)+SUMPRODUCT((Generation_Entsoe_SFS_2017!$A$3:$A$40='Abgleich Generation'!$A113)*(Generation_Entsoe_SFS_2017!$D$1:$AL$1='Abgleich Generation'!X$77)*Generation_Entsoe_SFS_2017!$D$3:$AL$40)+SUMPRODUCT((Generation_Entsoe_SFS_2017!$A$3:$A$40='Abgleich Generation'!$A113)*(Generation_Entsoe_SFS_2017!$D$1:$AL$1='Abgleich Generation'!X$76)*Generation_Entsoe_SFS_2017!$D$3:$AL$40)</f>
        <v>#VALUE!</v>
      </c>
      <c r="Y113" s="29" t="e">
        <f t="shared" si="64"/>
        <v>#VALUE!</v>
      </c>
    </row>
  </sheetData>
  <conditionalFormatting sqref="AB5:AB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5:AV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2:AS113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baseColWidth="10" defaultRowHeight="15" x14ac:dyDescent="0.25"/>
  <cols>
    <col min="1" max="1" width="5.85546875" customWidth="1"/>
    <col min="2" max="22" width="4.5703125" customWidth="1"/>
    <col min="24" max="45" width="4.5703125" customWidth="1"/>
  </cols>
  <sheetData>
    <row r="2" spans="1:45" x14ac:dyDescent="0.25">
      <c r="A2" s="50" t="s">
        <v>153</v>
      </c>
    </row>
    <row r="3" spans="1:45" ht="73.5" customHeight="1" x14ac:dyDescent="0.25">
      <c r="A3" s="12" t="s">
        <v>0</v>
      </c>
      <c r="B3" s="20" t="s">
        <v>56</v>
      </c>
      <c r="C3" s="21" t="s">
        <v>57</v>
      </c>
      <c r="D3" s="21" t="s">
        <v>58</v>
      </c>
      <c r="E3" s="2" t="s">
        <v>1</v>
      </c>
      <c r="F3" s="2" t="s">
        <v>2</v>
      </c>
      <c r="G3" s="2" t="s">
        <v>3</v>
      </c>
      <c r="H3" s="24" t="s">
        <v>132</v>
      </c>
      <c r="I3" s="2" t="s">
        <v>5</v>
      </c>
      <c r="J3" s="2" t="s">
        <v>4</v>
      </c>
      <c r="K3" s="18" t="s">
        <v>41</v>
      </c>
      <c r="L3" s="22" t="s">
        <v>133</v>
      </c>
      <c r="M3" s="22" t="s">
        <v>134</v>
      </c>
      <c r="N3" s="19" t="s">
        <v>42</v>
      </c>
      <c r="O3" s="19" t="s">
        <v>43</v>
      </c>
      <c r="P3" s="19" t="s">
        <v>44</v>
      </c>
      <c r="Q3" s="19" t="s">
        <v>45</v>
      </c>
      <c r="R3" s="19" t="s">
        <v>46</v>
      </c>
      <c r="S3" s="19" t="s">
        <v>47</v>
      </c>
      <c r="T3" s="19" t="s">
        <v>48</v>
      </c>
      <c r="U3" s="19" t="s">
        <v>54</v>
      </c>
      <c r="V3" s="15" t="s">
        <v>155</v>
      </c>
      <c r="X3" s="12" t="s">
        <v>0</v>
      </c>
      <c r="Y3" s="20" t="s">
        <v>56</v>
      </c>
      <c r="Z3" s="21" t="s">
        <v>57</v>
      </c>
      <c r="AA3" s="21" t="s">
        <v>58</v>
      </c>
      <c r="AB3" s="2" t="s">
        <v>1</v>
      </c>
      <c r="AC3" s="2" t="s">
        <v>2</v>
      </c>
      <c r="AD3" s="2" t="s">
        <v>3</v>
      </c>
      <c r="AE3" s="24" t="s">
        <v>132</v>
      </c>
      <c r="AF3" s="2" t="s">
        <v>5</v>
      </c>
      <c r="AG3" s="2" t="s">
        <v>4</v>
      </c>
      <c r="AH3" s="18" t="s">
        <v>41</v>
      </c>
      <c r="AI3" s="22" t="s">
        <v>133</v>
      </c>
      <c r="AJ3" s="22" t="s">
        <v>134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54</v>
      </c>
      <c r="AS3" s="15" t="s">
        <v>155</v>
      </c>
    </row>
    <row r="4" spans="1:45" x14ac:dyDescent="0.25">
      <c r="A4" s="13"/>
      <c r="B4" s="3" t="s">
        <v>154</v>
      </c>
      <c r="C4" s="4" t="s">
        <v>154</v>
      </c>
      <c r="D4" s="5" t="s">
        <v>154</v>
      </c>
      <c r="E4" s="5" t="s">
        <v>154</v>
      </c>
      <c r="F4" s="4" t="s">
        <v>154</v>
      </c>
      <c r="G4" s="5" t="s">
        <v>154</v>
      </c>
      <c r="H4" s="4"/>
      <c r="I4" s="4" t="s">
        <v>154</v>
      </c>
      <c r="J4" s="5" t="s">
        <v>154</v>
      </c>
      <c r="K4" s="6" t="s">
        <v>154</v>
      </c>
      <c r="L4" s="4" t="s">
        <v>154</v>
      </c>
      <c r="M4" s="5" t="s">
        <v>154</v>
      </c>
      <c r="N4" s="7" t="s">
        <v>154</v>
      </c>
      <c r="O4" s="8" t="s">
        <v>154</v>
      </c>
      <c r="P4" s="8" t="s">
        <v>154</v>
      </c>
      <c r="Q4" s="7" t="s">
        <v>154</v>
      </c>
      <c r="R4" s="8" t="s">
        <v>154</v>
      </c>
      <c r="S4" s="8" t="s">
        <v>154</v>
      </c>
      <c r="T4" s="8" t="s">
        <v>154</v>
      </c>
      <c r="U4" s="8" t="s">
        <v>154</v>
      </c>
      <c r="V4" s="9" t="s">
        <v>154</v>
      </c>
      <c r="X4" s="13"/>
      <c r="Y4" s="3" t="s">
        <v>154</v>
      </c>
      <c r="Z4" s="4" t="s">
        <v>154</v>
      </c>
      <c r="AA4" s="5" t="s">
        <v>154</v>
      </c>
      <c r="AB4" s="5" t="s">
        <v>154</v>
      </c>
      <c r="AC4" s="4" t="s">
        <v>154</v>
      </c>
      <c r="AD4" s="5" t="s">
        <v>154</v>
      </c>
      <c r="AE4" s="4"/>
      <c r="AF4" s="4" t="s">
        <v>154</v>
      </c>
      <c r="AG4" s="5" t="s">
        <v>154</v>
      </c>
      <c r="AH4" s="6" t="s">
        <v>154</v>
      </c>
      <c r="AI4" s="4" t="s">
        <v>154</v>
      </c>
      <c r="AJ4" s="5" t="s">
        <v>154</v>
      </c>
      <c r="AK4" s="7" t="s">
        <v>154</v>
      </c>
      <c r="AL4" s="8" t="s">
        <v>154</v>
      </c>
      <c r="AM4" s="8" t="s">
        <v>154</v>
      </c>
      <c r="AN4" s="7" t="s">
        <v>154</v>
      </c>
      <c r="AO4" s="8" t="s">
        <v>154</v>
      </c>
      <c r="AP4" s="8" t="s">
        <v>154</v>
      </c>
      <c r="AQ4" s="8" t="s">
        <v>154</v>
      </c>
      <c r="AR4" s="8" t="s">
        <v>154</v>
      </c>
      <c r="AS4" s="9" t="s">
        <v>154</v>
      </c>
    </row>
    <row r="5" spans="1:45" x14ac:dyDescent="0.25">
      <c r="A5" s="14" t="s">
        <v>10</v>
      </c>
      <c r="B5" s="57" t="e">
        <f t="shared" ref="B5:V5" si="0">B84-B43</f>
        <v>#VALUE!</v>
      </c>
      <c r="C5" s="58" t="e">
        <f t="shared" si="0"/>
        <v>#VALUE!</v>
      </c>
      <c r="D5" s="58" t="e">
        <f t="shared" si="0"/>
        <v>#VALUE!</v>
      </c>
      <c r="E5" s="58" t="e">
        <f t="shared" si="0"/>
        <v>#VALUE!</v>
      </c>
      <c r="F5" s="58" t="e">
        <f t="shared" si="0"/>
        <v>#VALUE!</v>
      </c>
      <c r="G5" s="58" t="e">
        <f t="shared" si="0"/>
        <v>#VALUE!</v>
      </c>
      <c r="H5" s="58" t="e">
        <f t="shared" si="0"/>
        <v>#VALUE!</v>
      </c>
      <c r="I5" s="58" t="e">
        <f t="shared" si="0"/>
        <v>#VALUE!</v>
      </c>
      <c r="J5" s="58" t="e">
        <f t="shared" si="0"/>
        <v>#VALUE!</v>
      </c>
      <c r="K5" s="59" t="e">
        <f t="shared" si="0"/>
        <v>#VALUE!</v>
      </c>
      <c r="L5" s="58" t="e">
        <f t="shared" si="0"/>
        <v>#VALUE!</v>
      </c>
      <c r="M5" s="58" t="e">
        <f t="shared" si="0"/>
        <v>#VALUE!</v>
      </c>
      <c r="N5" s="58" t="e">
        <f t="shared" si="0"/>
        <v>#VALUE!</v>
      </c>
      <c r="O5" s="58" t="e">
        <f t="shared" si="0"/>
        <v>#VALUE!</v>
      </c>
      <c r="P5" s="58" t="e">
        <f t="shared" si="0"/>
        <v>#VALUE!</v>
      </c>
      <c r="Q5" s="58" t="e">
        <f t="shared" si="0"/>
        <v>#VALUE!</v>
      </c>
      <c r="R5" s="58" t="e">
        <f t="shared" si="0"/>
        <v>#VALUE!</v>
      </c>
      <c r="S5" s="58" t="e">
        <f t="shared" si="0"/>
        <v>#VALUE!</v>
      </c>
      <c r="T5" s="58" t="e">
        <f t="shared" si="0"/>
        <v>#VALUE!</v>
      </c>
      <c r="U5" s="58" t="e">
        <f t="shared" si="0"/>
        <v>#VALUE!</v>
      </c>
      <c r="V5" s="59" t="e">
        <f t="shared" si="0"/>
        <v>#VALUE!</v>
      </c>
      <c r="X5" s="14" t="s">
        <v>10</v>
      </c>
      <c r="Y5" s="56" t="e">
        <f>B5/$B84</f>
        <v>#VALUE!</v>
      </c>
      <c r="Z5" s="55" t="e">
        <f t="shared" ref="Z5:AG5" si="1">C5/$B84</f>
        <v>#VALUE!</v>
      </c>
      <c r="AA5" s="55" t="e">
        <f t="shared" si="1"/>
        <v>#VALUE!</v>
      </c>
      <c r="AB5" s="55" t="e">
        <f t="shared" si="1"/>
        <v>#VALUE!</v>
      </c>
      <c r="AC5" s="55" t="e">
        <f t="shared" si="1"/>
        <v>#VALUE!</v>
      </c>
      <c r="AD5" s="55" t="e">
        <f t="shared" si="1"/>
        <v>#VALUE!</v>
      </c>
      <c r="AE5" s="55" t="e">
        <f t="shared" si="1"/>
        <v>#VALUE!</v>
      </c>
      <c r="AF5" s="55" t="e">
        <f t="shared" si="1"/>
        <v>#VALUE!</v>
      </c>
      <c r="AG5" s="55" t="e">
        <f t="shared" si="1"/>
        <v>#VALUE!</v>
      </c>
      <c r="AH5" s="54" t="e">
        <f>K5/$K84</f>
        <v>#VALUE!</v>
      </c>
      <c r="AI5" s="55" t="e">
        <f t="shared" ref="AI5:AR20" si="2">L5/$K84</f>
        <v>#VALUE!</v>
      </c>
      <c r="AJ5" s="55" t="e">
        <f t="shared" si="2"/>
        <v>#VALUE!</v>
      </c>
      <c r="AK5" s="55" t="e">
        <f t="shared" si="2"/>
        <v>#VALUE!</v>
      </c>
      <c r="AL5" s="55" t="e">
        <f t="shared" si="2"/>
        <v>#VALUE!</v>
      </c>
      <c r="AM5" s="55" t="e">
        <f t="shared" si="2"/>
        <v>#VALUE!</v>
      </c>
      <c r="AN5" s="55" t="e">
        <f t="shared" si="2"/>
        <v>#VALUE!</v>
      </c>
      <c r="AO5" s="55" t="e">
        <f t="shared" si="2"/>
        <v>#VALUE!</v>
      </c>
      <c r="AP5" s="55" t="e">
        <f t="shared" si="2"/>
        <v>#VALUE!</v>
      </c>
      <c r="AQ5" s="55" t="e">
        <f t="shared" si="2"/>
        <v>#VALUE!</v>
      </c>
      <c r="AR5" s="55" t="e">
        <f t="shared" si="2"/>
        <v>#VALUE!</v>
      </c>
      <c r="AS5" s="54" t="e">
        <f t="shared" ref="AS5:AS34" si="3">V5/$V84</f>
        <v>#VALUE!</v>
      </c>
    </row>
    <row r="6" spans="1:45" x14ac:dyDescent="0.25">
      <c r="A6" s="14" t="s">
        <v>11</v>
      </c>
      <c r="B6" s="25" t="e">
        <f t="shared" ref="B6:V6" si="4">B85-B44</f>
        <v>#VALUE!</v>
      </c>
      <c r="C6" s="26" t="e">
        <f t="shared" si="4"/>
        <v>#VALUE!</v>
      </c>
      <c r="D6" s="26" t="e">
        <f t="shared" si="4"/>
        <v>#VALUE!</v>
      </c>
      <c r="E6" s="26" t="e">
        <f t="shared" si="4"/>
        <v>#VALUE!</v>
      </c>
      <c r="F6" s="26" t="e">
        <f t="shared" si="4"/>
        <v>#VALUE!</v>
      </c>
      <c r="G6" s="26" t="e">
        <f t="shared" si="4"/>
        <v>#VALUE!</v>
      </c>
      <c r="H6" s="26" t="e">
        <f t="shared" si="4"/>
        <v>#VALUE!</v>
      </c>
      <c r="I6" s="26" t="e">
        <f t="shared" si="4"/>
        <v>#VALUE!</v>
      </c>
      <c r="J6" s="26" t="e">
        <f t="shared" si="4"/>
        <v>#VALUE!</v>
      </c>
      <c r="K6" s="27" t="e">
        <f t="shared" si="4"/>
        <v>#VALUE!</v>
      </c>
      <c r="L6" s="26" t="e">
        <f t="shared" si="4"/>
        <v>#VALUE!</v>
      </c>
      <c r="M6" s="26" t="e">
        <f t="shared" si="4"/>
        <v>#VALUE!</v>
      </c>
      <c r="N6" s="26" t="e">
        <f t="shared" si="4"/>
        <v>#VALUE!</v>
      </c>
      <c r="O6" s="26" t="e">
        <f t="shared" si="4"/>
        <v>#VALUE!</v>
      </c>
      <c r="P6" s="26" t="e">
        <f t="shared" si="4"/>
        <v>#VALUE!</v>
      </c>
      <c r="Q6" s="26" t="e">
        <f t="shared" si="4"/>
        <v>#VALUE!</v>
      </c>
      <c r="R6" s="26" t="e">
        <f t="shared" si="4"/>
        <v>#VALUE!</v>
      </c>
      <c r="S6" s="26" t="e">
        <f t="shared" si="4"/>
        <v>#VALUE!</v>
      </c>
      <c r="T6" s="26" t="e">
        <f t="shared" si="4"/>
        <v>#VALUE!</v>
      </c>
      <c r="U6" s="26" t="e">
        <f t="shared" si="4"/>
        <v>#VALUE!</v>
      </c>
      <c r="V6" s="27" t="e">
        <f t="shared" si="4"/>
        <v>#VALUE!</v>
      </c>
      <c r="X6" s="14" t="s">
        <v>11</v>
      </c>
      <c r="Y6" s="56" t="e">
        <f t="shared" ref="Y6:AG6" si="5">B6/$B85</f>
        <v>#VALUE!</v>
      </c>
      <c r="Z6" s="55" t="e">
        <f t="shared" si="5"/>
        <v>#VALUE!</v>
      </c>
      <c r="AA6" s="55" t="e">
        <f t="shared" si="5"/>
        <v>#VALUE!</v>
      </c>
      <c r="AB6" s="55" t="e">
        <f t="shared" si="5"/>
        <v>#VALUE!</v>
      </c>
      <c r="AC6" s="55" t="e">
        <f t="shared" si="5"/>
        <v>#VALUE!</v>
      </c>
      <c r="AD6" s="55" t="e">
        <f t="shared" si="5"/>
        <v>#VALUE!</v>
      </c>
      <c r="AE6" s="55" t="e">
        <f t="shared" si="5"/>
        <v>#VALUE!</v>
      </c>
      <c r="AF6" s="55" t="e">
        <f t="shared" si="5"/>
        <v>#VALUE!</v>
      </c>
      <c r="AG6" s="55" t="e">
        <f t="shared" si="5"/>
        <v>#VALUE!</v>
      </c>
      <c r="AH6" s="54" t="e">
        <f t="shared" ref="AH6:AH34" si="6">K6/$K85</f>
        <v>#VALUE!</v>
      </c>
      <c r="AI6" s="55" t="e">
        <f t="shared" si="2"/>
        <v>#VALUE!</v>
      </c>
      <c r="AJ6" s="55" t="e">
        <f t="shared" si="2"/>
        <v>#VALUE!</v>
      </c>
      <c r="AK6" s="55" t="e">
        <f t="shared" si="2"/>
        <v>#VALUE!</v>
      </c>
      <c r="AL6" s="55" t="e">
        <f t="shared" si="2"/>
        <v>#VALUE!</v>
      </c>
      <c r="AM6" s="55" t="e">
        <f t="shared" si="2"/>
        <v>#VALUE!</v>
      </c>
      <c r="AN6" s="55" t="e">
        <f t="shared" si="2"/>
        <v>#VALUE!</v>
      </c>
      <c r="AO6" s="55" t="e">
        <f t="shared" si="2"/>
        <v>#VALUE!</v>
      </c>
      <c r="AP6" s="55" t="e">
        <f t="shared" si="2"/>
        <v>#VALUE!</v>
      </c>
      <c r="AQ6" s="55" t="e">
        <f t="shared" si="2"/>
        <v>#VALUE!</v>
      </c>
      <c r="AR6" s="55" t="e">
        <f t="shared" si="2"/>
        <v>#VALUE!</v>
      </c>
      <c r="AS6" s="54" t="e">
        <f t="shared" si="3"/>
        <v>#VALUE!</v>
      </c>
    </row>
    <row r="7" spans="1:45" x14ac:dyDescent="0.25">
      <c r="A7" s="14" t="s">
        <v>12</v>
      </c>
      <c r="B7" s="57" t="e">
        <f t="shared" ref="B7:V7" si="7">B86-B45</f>
        <v>#VALUE!</v>
      </c>
      <c r="C7" s="58" t="e">
        <f t="shared" si="7"/>
        <v>#VALUE!</v>
      </c>
      <c r="D7" s="58" t="e">
        <f t="shared" si="7"/>
        <v>#VALUE!</v>
      </c>
      <c r="E7" s="58" t="e">
        <f t="shared" si="7"/>
        <v>#VALUE!</v>
      </c>
      <c r="F7" s="58" t="e">
        <f t="shared" si="7"/>
        <v>#VALUE!</v>
      </c>
      <c r="G7" s="58" t="e">
        <f t="shared" si="7"/>
        <v>#VALUE!</v>
      </c>
      <c r="H7" s="58" t="e">
        <f t="shared" si="7"/>
        <v>#VALUE!</v>
      </c>
      <c r="I7" s="58" t="e">
        <f t="shared" si="7"/>
        <v>#VALUE!</v>
      </c>
      <c r="J7" s="58" t="e">
        <f t="shared" si="7"/>
        <v>#VALUE!</v>
      </c>
      <c r="K7" s="59" t="e">
        <f t="shared" si="7"/>
        <v>#VALUE!</v>
      </c>
      <c r="L7" s="58" t="e">
        <f t="shared" si="7"/>
        <v>#VALUE!</v>
      </c>
      <c r="M7" s="58" t="e">
        <f t="shared" si="7"/>
        <v>#VALUE!</v>
      </c>
      <c r="N7" s="58" t="e">
        <f t="shared" si="7"/>
        <v>#VALUE!</v>
      </c>
      <c r="O7" s="58" t="e">
        <f t="shared" si="7"/>
        <v>#VALUE!</v>
      </c>
      <c r="P7" s="58" t="e">
        <f t="shared" si="7"/>
        <v>#VALUE!</v>
      </c>
      <c r="Q7" s="58" t="e">
        <f t="shared" si="7"/>
        <v>#VALUE!</v>
      </c>
      <c r="R7" s="58" t="e">
        <f t="shared" si="7"/>
        <v>#VALUE!</v>
      </c>
      <c r="S7" s="58" t="e">
        <f t="shared" si="7"/>
        <v>#VALUE!</v>
      </c>
      <c r="T7" s="58" t="e">
        <f t="shared" si="7"/>
        <v>#VALUE!</v>
      </c>
      <c r="U7" s="58" t="e">
        <f t="shared" si="7"/>
        <v>#VALUE!</v>
      </c>
      <c r="V7" s="59" t="e">
        <f t="shared" si="7"/>
        <v>#VALUE!</v>
      </c>
      <c r="X7" s="14" t="s">
        <v>12</v>
      </c>
      <c r="Y7" s="56" t="e">
        <f t="shared" ref="Y7:AG7" si="8">B7/$B86</f>
        <v>#VALUE!</v>
      </c>
      <c r="Z7" s="55" t="e">
        <f t="shared" si="8"/>
        <v>#VALUE!</v>
      </c>
      <c r="AA7" s="55" t="e">
        <f t="shared" si="8"/>
        <v>#VALUE!</v>
      </c>
      <c r="AB7" s="55" t="e">
        <f t="shared" si="8"/>
        <v>#VALUE!</v>
      </c>
      <c r="AC7" s="55" t="e">
        <f t="shared" si="8"/>
        <v>#VALUE!</v>
      </c>
      <c r="AD7" s="55" t="e">
        <f t="shared" si="8"/>
        <v>#VALUE!</v>
      </c>
      <c r="AE7" s="55" t="e">
        <f t="shared" si="8"/>
        <v>#VALUE!</v>
      </c>
      <c r="AF7" s="55" t="e">
        <f t="shared" si="8"/>
        <v>#VALUE!</v>
      </c>
      <c r="AG7" s="55" t="e">
        <f t="shared" si="8"/>
        <v>#VALUE!</v>
      </c>
      <c r="AH7" s="54" t="e">
        <f t="shared" si="6"/>
        <v>#VALUE!</v>
      </c>
      <c r="AI7" s="55" t="e">
        <f t="shared" si="2"/>
        <v>#VALUE!</v>
      </c>
      <c r="AJ7" s="55" t="e">
        <f t="shared" si="2"/>
        <v>#VALUE!</v>
      </c>
      <c r="AK7" s="55" t="e">
        <f t="shared" si="2"/>
        <v>#VALUE!</v>
      </c>
      <c r="AL7" s="55" t="e">
        <f t="shared" si="2"/>
        <v>#VALUE!</v>
      </c>
      <c r="AM7" s="55" t="e">
        <f t="shared" si="2"/>
        <v>#VALUE!</v>
      </c>
      <c r="AN7" s="55" t="e">
        <f t="shared" si="2"/>
        <v>#VALUE!</v>
      </c>
      <c r="AO7" s="55" t="e">
        <f t="shared" si="2"/>
        <v>#VALUE!</v>
      </c>
      <c r="AP7" s="55" t="e">
        <f t="shared" si="2"/>
        <v>#VALUE!</v>
      </c>
      <c r="AQ7" s="55" t="e">
        <f t="shared" si="2"/>
        <v>#VALUE!</v>
      </c>
      <c r="AR7" s="55" t="e">
        <f t="shared" si="2"/>
        <v>#VALUE!</v>
      </c>
      <c r="AS7" s="54" t="e">
        <f t="shared" si="3"/>
        <v>#VALUE!</v>
      </c>
    </row>
    <row r="8" spans="1:45" x14ac:dyDescent="0.25">
      <c r="A8" s="14" t="s">
        <v>13</v>
      </c>
      <c r="B8" s="25" t="e">
        <f t="shared" ref="B8:V8" si="9">B87-B46</f>
        <v>#VALUE!</v>
      </c>
      <c r="C8" s="26" t="e">
        <f t="shared" si="9"/>
        <v>#VALUE!</v>
      </c>
      <c r="D8" s="26" t="e">
        <f t="shared" si="9"/>
        <v>#VALUE!</v>
      </c>
      <c r="E8" s="26" t="e">
        <f t="shared" si="9"/>
        <v>#VALUE!</v>
      </c>
      <c r="F8" s="26" t="e">
        <f t="shared" si="9"/>
        <v>#VALUE!</v>
      </c>
      <c r="G8" s="26" t="e">
        <f t="shared" si="9"/>
        <v>#VALUE!</v>
      </c>
      <c r="H8" s="26" t="e">
        <f t="shared" si="9"/>
        <v>#VALUE!</v>
      </c>
      <c r="I8" s="26" t="e">
        <f t="shared" si="9"/>
        <v>#VALUE!</v>
      </c>
      <c r="J8" s="26" t="e">
        <f t="shared" si="9"/>
        <v>#VALUE!</v>
      </c>
      <c r="K8" s="27" t="e">
        <f t="shared" si="9"/>
        <v>#VALUE!</v>
      </c>
      <c r="L8" s="26" t="e">
        <f t="shared" si="9"/>
        <v>#VALUE!</v>
      </c>
      <c r="M8" s="26" t="e">
        <f t="shared" si="9"/>
        <v>#VALUE!</v>
      </c>
      <c r="N8" s="26" t="e">
        <f t="shared" si="9"/>
        <v>#VALUE!</v>
      </c>
      <c r="O8" s="26" t="e">
        <f t="shared" si="9"/>
        <v>#VALUE!</v>
      </c>
      <c r="P8" s="26" t="e">
        <f t="shared" si="9"/>
        <v>#VALUE!</v>
      </c>
      <c r="Q8" s="26" t="e">
        <f t="shared" si="9"/>
        <v>#VALUE!</v>
      </c>
      <c r="R8" s="26" t="e">
        <f t="shared" si="9"/>
        <v>#VALUE!</v>
      </c>
      <c r="S8" s="26" t="e">
        <f t="shared" si="9"/>
        <v>#VALUE!</v>
      </c>
      <c r="T8" s="26" t="e">
        <f t="shared" si="9"/>
        <v>#VALUE!</v>
      </c>
      <c r="U8" s="26" t="e">
        <f t="shared" si="9"/>
        <v>#VALUE!</v>
      </c>
      <c r="V8" s="27" t="e">
        <f t="shared" si="9"/>
        <v>#VALUE!</v>
      </c>
      <c r="X8" s="14" t="s">
        <v>13</v>
      </c>
      <c r="Y8" s="56" t="e">
        <f t="shared" ref="Y8:AG8" si="10">B8/$B87</f>
        <v>#VALUE!</v>
      </c>
      <c r="Z8" s="55" t="e">
        <f t="shared" si="10"/>
        <v>#VALUE!</v>
      </c>
      <c r="AA8" s="55" t="e">
        <f t="shared" si="10"/>
        <v>#VALUE!</v>
      </c>
      <c r="AB8" s="55" t="e">
        <f t="shared" si="10"/>
        <v>#VALUE!</v>
      </c>
      <c r="AC8" s="55" t="e">
        <f t="shared" si="10"/>
        <v>#VALUE!</v>
      </c>
      <c r="AD8" s="55" t="e">
        <f t="shared" si="10"/>
        <v>#VALUE!</v>
      </c>
      <c r="AE8" s="55" t="e">
        <f t="shared" si="10"/>
        <v>#VALUE!</v>
      </c>
      <c r="AF8" s="55" t="e">
        <f t="shared" si="10"/>
        <v>#VALUE!</v>
      </c>
      <c r="AG8" s="55" t="e">
        <f t="shared" si="10"/>
        <v>#VALUE!</v>
      </c>
      <c r="AH8" s="54" t="e">
        <f t="shared" si="6"/>
        <v>#VALUE!</v>
      </c>
      <c r="AI8" s="55" t="e">
        <f t="shared" si="2"/>
        <v>#VALUE!</v>
      </c>
      <c r="AJ8" s="55" t="e">
        <f t="shared" si="2"/>
        <v>#VALUE!</v>
      </c>
      <c r="AK8" s="55" t="e">
        <f t="shared" si="2"/>
        <v>#VALUE!</v>
      </c>
      <c r="AL8" s="55" t="e">
        <f t="shared" si="2"/>
        <v>#VALUE!</v>
      </c>
      <c r="AM8" s="55" t="e">
        <f t="shared" si="2"/>
        <v>#VALUE!</v>
      </c>
      <c r="AN8" s="55" t="e">
        <f t="shared" si="2"/>
        <v>#VALUE!</v>
      </c>
      <c r="AO8" s="55" t="e">
        <f t="shared" si="2"/>
        <v>#VALUE!</v>
      </c>
      <c r="AP8" s="55" t="e">
        <f t="shared" si="2"/>
        <v>#VALUE!</v>
      </c>
      <c r="AQ8" s="55" t="e">
        <f t="shared" si="2"/>
        <v>#VALUE!</v>
      </c>
      <c r="AR8" s="55" t="e">
        <f t="shared" si="2"/>
        <v>#VALUE!</v>
      </c>
      <c r="AS8" s="54" t="e">
        <f t="shared" si="3"/>
        <v>#VALUE!</v>
      </c>
    </row>
    <row r="9" spans="1:45" x14ac:dyDescent="0.25">
      <c r="A9" s="14" t="s">
        <v>14</v>
      </c>
      <c r="B9" s="57" t="e">
        <f t="shared" ref="B9:V9" si="11">B88-B47</f>
        <v>#VALUE!</v>
      </c>
      <c r="C9" s="58" t="e">
        <f t="shared" si="11"/>
        <v>#VALUE!</v>
      </c>
      <c r="D9" s="58" t="e">
        <f t="shared" si="11"/>
        <v>#VALUE!</v>
      </c>
      <c r="E9" s="58" t="e">
        <f t="shared" si="11"/>
        <v>#VALUE!</v>
      </c>
      <c r="F9" s="58" t="e">
        <f t="shared" si="11"/>
        <v>#VALUE!</v>
      </c>
      <c r="G9" s="58" t="e">
        <f t="shared" si="11"/>
        <v>#VALUE!</v>
      </c>
      <c r="H9" s="58" t="e">
        <f t="shared" si="11"/>
        <v>#VALUE!</v>
      </c>
      <c r="I9" s="58" t="e">
        <f t="shared" si="11"/>
        <v>#VALUE!</v>
      </c>
      <c r="J9" s="58" t="e">
        <f t="shared" si="11"/>
        <v>#VALUE!</v>
      </c>
      <c r="K9" s="59" t="e">
        <f t="shared" si="11"/>
        <v>#VALUE!</v>
      </c>
      <c r="L9" s="58" t="e">
        <f t="shared" si="11"/>
        <v>#VALUE!</v>
      </c>
      <c r="M9" s="58" t="e">
        <f t="shared" si="11"/>
        <v>#VALUE!</v>
      </c>
      <c r="N9" s="58" t="e">
        <f t="shared" si="11"/>
        <v>#VALUE!</v>
      </c>
      <c r="O9" s="58" t="e">
        <f t="shared" si="11"/>
        <v>#VALUE!</v>
      </c>
      <c r="P9" s="58" t="e">
        <f t="shared" si="11"/>
        <v>#VALUE!</v>
      </c>
      <c r="Q9" s="58" t="e">
        <f t="shared" si="11"/>
        <v>#VALUE!</v>
      </c>
      <c r="R9" s="58" t="e">
        <f t="shared" si="11"/>
        <v>#VALUE!</v>
      </c>
      <c r="S9" s="58" t="e">
        <f t="shared" si="11"/>
        <v>#VALUE!</v>
      </c>
      <c r="T9" s="58" t="e">
        <f t="shared" si="11"/>
        <v>#VALUE!</v>
      </c>
      <c r="U9" s="58" t="e">
        <f t="shared" si="11"/>
        <v>#VALUE!</v>
      </c>
      <c r="V9" s="59" t="e">
        <f t="shared" si="11"/>
        <v>#VALUE!</v>
      </c>
      <c r="X9" s="14" t="s">
        <v>14</v>
      </c>
      <c r="Y9" s="56" t="e">
        <f t="shared" ref="Y9:AG9" si="12">B9/$B88</f>
        <v>#VALUE!</v>
      </c>
      <c r="Z9" s="55" t="e">
        <f t="shared" si="12"/>
        <v>#VALUE!</v>
      </c>
      <c r="AA9" s="55" t="e">
        <f t="shared" si="12"/>
        <v>#VALUE!</v>
      </c>
      <c r="AB9" s="55" t="e">
        <f t="shared" si="12"/>
        <v>#VALUE!</v>
      </c>
      <c r="AC9" s="55" t="e">
        <f t="shared" si="12"/>
        <v>#VALUE!</v>
      </c>
      <c r="AD9" s="55" t="e">
        <f t="shared" si="12"/>
        <v>#VALUE!</v>
      </c>
      <c r="AE9" s="55" t="e">
        <f t="shared" si="12"/>
        <v>#VALUE!</v>
      </c>
      <c r="AF9" s="55" t="e">
        <f t="shared" si="12"/>
        <v>#VALUE!</v>
      </c>
      <c r="AG9" s="55" t="e">
        <f t="shared" si="12"/>
        <v>#VALUE!</v>
      </c>
      <c r="AH9" s="54" t="e">
        <f t="shared" si="6"/>
        <v>#VALUE!</v>
      </c>
      <c r="AI9" s="55" t="e">
        <f t="shared" si="2"/>
        <v>#VALUE!</v>
      </c>
      <c r="AJ9" s="55" t="e">
        <f t="shared" si="2"/>
        <v>#VALUE!</v>
      </c>
      <c r="AK9" s="55" t="e">
        <f t="shared" si="2"/>
        <v>#VALUE!</v>
      </c>
      <c r="AL9" s="55" t="e">
        <f t="shared" si="2"/>
        <v>#VALUE!</v>
      </c>
      <c r="AM9" s="55" t="e">
        <f t="shared" si="2"/>
        <v>#VALUE!</v>
      </c>
      <c r="AN9" s="55" t="e">
        <f t="shared" si="2"/>
        <v>#VALUE!</v>
      </c>
      <c r="AO9" s="55" t="e">
        <f t="shared" si="2"/>
        <v>#VALUE!</v>
      </c>
      <c r="AP9" s="55" t="e">
        <f t="shared" si="2"/>
        <v>#VALUE!</v>
      </c>
      <c r="AQ9" s="55" t="e">
        <f t="shared" si="2"/>
        <v>#VALUE!</v>
      </c>
      <c r="AR9" s="55" t="e">
        <f t="shared" si="2"/>
        <v>#VALUE!</v>
      </c>
      <c r="AS9" s="54" t="e">
        <f t="shared" si="3"/>
        <v>#VALUE!</v>
      </c>
    </row>
    <row r="10" spans="1:45" x14ac:dyDescent="0.25">
      <c r="A10" s="14" t="s">
        <v>15</v>
      </c>
      <c r="B10" s="25" t="e">
        <f t="shared" ref="B10:V10" si="13">B89-B48</f>
        <v>#VALUE!</v>
      </c>
      <c r="C10" s="26" t="e">
        <f t="shared" si="13"/>
        <v>#VALUE!</v>
      </c>
      <c r="D10" s="26" t="e">
        <f t="shared" si="13"/>
        <v>#VALUE!</v>
      </c>
      <c r="E10" s="26" t="e">
        <f t="shared" si="13"/>
        <v>#VALUE!</v>
      </c>
      <c r="F10" s="26" t="e">
        <f t="shared" si="13"/>
        <v>#VALUE!</v>
      </c>
      <c r="G10" s="26" t="e">
        <f t="shared" si="13"/>
        <v>#VALUE!</v>
      </c>
      <c r="H10" s="26" t="e">
        <f t="shared" si="13"/>
        <v>#VALUE!</v>
      </c>
      <c r="I10" s="26" t="e">
        <f t="shared" si="13"/>
        <v>#VALUE!</v>
      </c>
      <c r="J10" s="26" t="e">
        <f t="shared" si="13"/>
        <v>#VALUE!</v>
      </c>
      <c r="K10" s="27" t="e">
        <f t="shared" si="13"/>
        <v>#VALUE!</v>
      </c>
      <c r="L10" s="26" t="e">
        <f t="shared" si="13"/>
        <v>#VALUE!</v>
      </c>
      <c r="M10" s="26" t="e">
        <f t="shared" si="13"/>
        <v>#VALUE!</v>
      </c>
      <c r="N10" s="26" t="e">
        <f t="shared" si="13"/>
        <v>#VALUE!</v>
      </c>
      <c r="O10" s="26" t="e">
        <f t="shared" si="13"/>
        <v>#VALUE!</v>
      </c>
      <c r="P10" s="26" t="e">
        <f t="shared" si="13"/>
        <v>#VALUE!</v>
      </c>
      <c r="Q10" s="26" t="e">
        <f t="shared" si="13"/>
        <v>#VALUE!</v>
      </c>
      <c r="R10" s="26" t="e">
        <f t="shared" si="13"/>
        <v>#VALUE!</v>
      </c>
      <c r="S10" s="26" t="e">
        <f t="shared" si="13"/>
        <v>#VALUE!</v>
      </c>
      <c r="T10" s="26" t="e">
        <f t="shared" si="13"/>
        <v>#VALUE!</v>
      </c>
      <c r="U10" s="26" t="e">
        <f t="shared" si="13"/>
        <v>#VALUE!</v>
      </c>
      <c r="V10" s="27" t="e">
        <f t="shared" si="13"/>
        <v>#VALUE!</v>
      </c>
      <c r="X10" s="14" t="s">
        <v>15</v>
      </c>
      <c r="Y10" s="56" t="e">
        <f t="shared" ref="Y10:AG10" si="14">B10/$B89</f>
        <v>#VALUE!</v>
      </c>
      <c r="Z10" s="55" t="e">
        <f t="shared" si="14"/>
        <v>#VALUE!</v>
      </c>
      <c r="AA10" s="55" t="e">
        <f t="shared" si="14"/>
        <v>#VALUE!</v>
      </c>
      <c r="AB10" s="55" t="e">
        <f t="shared" si="14"/>
        <v>#VALUE!</v>
      </c>
      <c r="AC10" s="55" t="e">
        <f t="shared" si="14"/>
        <v>#VALUE!</v>
      </c>
      <c r="AD10" s="55" t="e">
        <f t="shared" si="14"/>
        <v>#VALUE!</v>
      </c>
      <c r="AE10" s="55" t="e">
        <f t="shared" si="14"/>
        <v>#VALUE!</v>
      </c>
      <c r="AF10" s="55" t="e">
        <f t="shared" si="14"/>
        <v>#VALUE!</v>
      </c>
      <c r="AG10" s="55" t="e">
        <f t="shared" si="14"/>
        <v>#VALUE!</v>
      </c>
      <c r="AH10" s="54" t="e">
        <f t="shared" si="6"/>
        <v>#VALUE!</v>
      </c>
      <c r="AI10" s="55" t="e">
        <f t="shared" si="2"/>
        <v>#VALUE!</v>
      </c>
      <c r="AJ10" s="55" t="e">
        <f t="shared" si="2"/>
        <v>#VALUE!</v>
      </c>
      <c r="AK10" s="55" t="e">
        <f t="shared" si="2"/>
        <v>#VALUE!</v>
      </c>
      <c r="AL10" s="55" t="e">
        <f t="shared" si="2"/>
        <v>#VALUE!</v>
      </c>
      <c r="AM10" s="55" t="e">
        <f t="shared" si="2"/>
        <v>#VALUE!</v>
      </c>
      <c r="AN10" s="55" t="e">
        <f t="shared" si="2"/>
        <v>#VALUE!</v>
      </c>
      <c r="AO10" s="55" t="e">
        <f t="shared" si="2"/>
        <v>#VALUE!</v>
      </c>
      <c r="AP10" s="55" t="e">
        <f t="shared" si="2"/>
        <v>#VALUE!</v>
      </c>
      <c r="AQ10" s="55" t="e">
        <f t="shared" si="2"/>
        <v>#VALUE!</v>
      </c>
      <c r="AR10" s="55" t="e">
        <f t="shared" si="2"/>
        <v>#VALUE!</v>
      </c>
      <c r="AS10" s="54" t="e">
        <f t="shared" si="3"/>
        <v>#VALUE!</v>
      </c>
    </row>
    <row r="11" spans="1:45" x14ac:dyDescent="0.25">
      <c r="A11" s="14" t="s">
        <v>16</v>
      </c>
      <c r="B11" s="57" t="e">
        <f t="shared" ref="B11:V11" si="15">B90-B49</f>
        <v>#VALUE!</v>
      </c>
      <c r="C11" s="58" t="e">
        <f t="shared" si="15"/>
        <v>#VALUE!</v>
      </c>
      <c r="D11" s="58" t="e">
        <f t="shared" si="15"/>
        <v>#VALUE!</v>
      </c>
      <c r="E11" s="58" t="e">
        <f t="shared" si="15"/>
        <v>#VALUE!</v>
      </c>
      <c r="F11" s="58" t="e">
        <f t="shared" si="15"/>
        <v>#VALUE!</v>
      </c>
      <c r="G11" s="58" t="e">
        <f t="shared" si="15"/>
        <v>#VALUE!</v>
      </c>
      <c r="H11" s="58" t="e">
        <f t="shared" si="15"/>
        <v>#VALUE!</v>
      </c>
      <c r="I11" s="58" t="e">
        <f t="shared" si="15"/>
        <v>#VALUE!</v>
      </c>
      <c r="J11" s="58" t="e">
        <f t="shared" si="15"/>
        <v>#VALUE!</v>
      </c>
      <c r="K11" s="59" t="e">
        <f t="shared" si="15"/>
        <v>#VALUE!</v>
      </c>
      <c r="L11" s="58" t="e">
        <f t="shared" si="15"/>
        <v>#VALUE!</v>
      </c>
      <c r="M11" s="58" t="e">
        <f t="shared" si="15"/>
        <v>#VALUE!</v>
      </c>
      <c r="N11" s="58" t="e">
        <f t="shared" si="15"/>
        <v>#VALUE!</v>
      </c>
      <c r="O11" s="58" t="e">
        <f t="shared" si="15"/>
        <v>#VALUE!</v>
      </c>
      <c r="P11" s="58" t="e">
        <f t="shared" si="15"/>
        <v>#VALUE!</v>
      </c>
      <c r="Q11" s="58" t="e">
        <f t="shared" si="15"/>
        <v>#VALUE!</v>
      </c>
      <c r="R11" s="58" t="e">
        <f t="shared" si="15"/>
        <v>#VALUE!</v>
      </c>
      <c r="S11" s="58" t="e">
        <f t="shared" si="15"/>
        <v>#VALUE!</v>
      </c>
      <c r="T11" s="58" t="e">
        <f t="shared" si="15"/>
        <v>#VALUE!</v>
      </c>
      <c r="U11" s="58" t="e">
        <f t="shared" si="15"/>
        <v>#VALUE!</v>
      </c>
      <c r="V11" s="59" t="e">
        <f t="shared" si="15"/>
        <v>#VALUE!</v>
      </c>
      <c r="X11" s="14" t="s">
        <v>16</v>
      </c>
      <c r="Y11" s="56" t="e">
        <f t="shared" ref="Y11:AG11" si="16">B11/$B90</f>
        <v>#VALUE!</v>
      </c>
      <c r="Z11" s="55" t="e">
        <f t="shared" si="16"/>
        <v>#VALUE!</v>
      </c>
      <c r="AA11" s="55" t="e">
        <f t="shared" si="16"/>
        <v>#VALUE!</v>
      </c>
      <c r="AB11" s="55" t="e">
        <f t="shared" si="16"/>
        <v>#VALUE!</v>
      </c>
      <c r="AC11" s="55" t="e">
        <f t="shared" si="16"/>
        <v>#VALUE!</v>
      </c>
      <c r="AD11" s="55" t="e">
        <f t="shared" si="16"/>
        <v>#VALUE!</v>
      </c>
      <c r="AE11" s="55" t="e">
        <f t="shared" si="16"/>
        <v>#VALUE!</v>
      </c>
      <c r="AF11" s="55" t="e">
        <f t="shared" si="16"/>
        <v>#VALUE!</v>
      </c>
      <c r="AG11" s="55" t="e">
        <f t="shared" si="16"/>
        <v>#VALUE!</v>
      </c>
      <c r="AH11" s="54" t="e">
        <f t="shared" si="6"/>
        <v>#VALUE!</v>
      </c>
      <c r="AI11" s="55" t="e">
        <f t="shared" si="2"/>
        <v>#VALUE!</v>
      </c>
      <c r="AJ11" s="55" t="e">
        <f t="shared" si="2"/>
        <v>#VALUE!</v>
      </c>
      <c r="AK11" s="55" t="e">
        <f t="shared" si="2"/>
        <v>#VALUE!</v>
      </c>
      <c r="AL11" s="55" t="e">
        <f t="shared" si="2"/>
        <v>#VALUE!</v>
      </c>
      <c r="AM11" s="55" t="e">
        <f t="shared" si="2"/>
        <v>#VALUE!</v>
      </c>
      <c r="AN11" s="55" t="e">
        <f t="shared" si="2"/>
        <v>#VALUE!</v>
      </c>
      <c r="AO11" s="55" t="e">
        <f t="shared" si="2"/>
        <v>#VALUE!</v>
      </c>
      <c r="AP11" s="55" t="e">
        <f t="shared" si="2"/>
        <v>#VALUE!</v>
      </c>
      <c r="AQ11" s="55" t="e">
        <f t="shared" si="2"/>
        <v>#VALUE!</v>
      </c>
      <c r="AR11" s="55" t="e">
        <f t="shared" si="2"/>
        <v>#VALUE!</v>
      </c>
      <c r="AS11" s="54" t="e">
        <f t="shared" si="3"/>
        <v>#VALUE!</v>
      </c>
    </row>
    <row r="12" spans="1:45" x14ac:dyDescent="0.25">
      <c r="A12" s="14" t="s">
        <v>17</v>
      </c>
      <c r="B12" s="25" t="e">
        <f t="shared" ref="B12:V12" si="17">B91-B50</f>
        <v>#VALUE!</v>
      </c>
      <c r="C12" s="26" t="e">
        <f t="shared" si="17"/>
        <v>#VALUE!</v>
      </c>
      <c r="D12" s="26" t="e">
        <f t="shared" si="17"/>
        <v>#VALUE!</v>
      </c>
      <c r="E12" s="26" t="e">
        <f t="shared" si="17"/>
        <v>#VALUE!</v>
      </c>
      <c r="F12" s="26" t="e">
        <f t="shared" si="17"/>
        <v>#VALUE!</v>
      </c>
      <c r="G12" s="26" t="e">
        <f t="shared" si="17"/>
        <v>#VALUE!</v>
      </c>
      <c r="H12" s="26" t="e">
        <f t="shared" si="17"/>
        <v>#VALUE!</v>
      </c>
      <c r="I12" s="26" t="e">
        <f t="shared" si="17"/>
        <v>#VALUE!</v>
      </c>
      <c r="J12" s="26" t="e">
        <f t="shared" si="17"/>
        <v>#VALUE!</v>
      </c>
      <c r="K12" s="27" t="e">
        <f t="shared" si="17"/>
        <v>#VALUE!</v>
      </c>
      <c r="L12" s="26" t="e">
        <f t="shared" si="17"/>
        <v>#VALUE!</v>
      </c>
      <c r="M12" s="26" t="e">
        <f t="shared" si="17"/>
        <v>#VALUE!</v>
      </c>
      <c r="N12" s="26" t="e">
        <f t="shared" si="17"/>
        <v>#VALUE!</v>
      </c>
      <c r="O12" s="26" t="e">
        <f t="shared" si="17"/>
        <v>#VALUE!</v>
      </c>
      <c r="P12" s="26" t="e">
        <f t="shared" si="17"/>
        <v>#VALUE!</v>
      </c>
      <c r="Q12" s="26" t="e">
        <f t="shared" si="17"/>
        <v>#VALUE!</v>
      </c>
      <c r="R12" s="26" t="e">
        <f t="shared" si="17"/>
        <v>#VALUE!</v>
      </c>
      <c r="S12" s="26" t="e">
        <f t="shared" si="17"/>
        <v>#VALUE!</v>
      </c>
      <c r="T12" s="26" t="e">
        <f t="shared" si="17"/>
        <v>#VALUE!</v>
      </c>
      <c r="U12" s="26" t="e">
        <f t="shared" si="17"/>
        <v>#VALUE!</v>
      </c>
      <c r="V12" s="27" t="e">
        <f t="shared" si="17"/>
        <v>#VALUE!</v>
      </c>
      <c r="X12" s="14" t="s">
        <v>17</v>
      </c>
      <c r="Y12" s="56" t="e">
        <f t="shared" ref="Y12:AG12" si="18">B12/$B91</f>
        <v>#VALUE!</v>
      </c>
      <c r="Z12" s="55" t="e">
        <f t="shared" si="18"/>
        <v>#VALUE!</v>
      </c>
      <c r="AA12" s="55" t="e">
        <f t="shared" si="18"/>
        <v>#VALUE!</v>
      </c>
      <c r="AB12" s="55" t="e">
        <f t="shared" si="18"/>
        <v>#VALUE!</v>
      </c>
      <c r="AC12" s="55" t="e">
        <f t="shared" si="18"/>
        <v>#VALUE!</v>
      </c>
      <c r="AD12" s="55" t="e">
        <f t="shared" si="18"/>
        <v>#VALUE!</v>
      </c>
      <c r="AE12" s="55" t="e">
        <f t="shared" si="18"/>
        <v>#VALUE!</v>
      </c>
      <c r="AF12" s="55" t="e">
        <f t="shared" si="18"/>
        <v>#VALUE!</v>
      </c>
      <c r="AG12" s="55" t="e">
        <f t="shared" si="18"/>
        <v>#VALUE!</v>
      </c>
      <c r="AH12" s="54" t="e">
        <f t="shared" si="6"/>
        <v>#VALUE!</v>
      </c>
      <c r="AI12" s="55" t="e">
        <f t="shared" si="2"/>
        <v>#VALUE!</v>
      </c>
      <c r="AJ12" s="55" t="e">
        <f t="shared" si="2"/>
        <v>#VALUE!</v>
      </c>
      <c r="AK12" s="55" t="e">
        <f t="shared" si="2"/>
        <v>#VALUE!</v>
      </c>
      <c r="AL12" s="55" t="e">
        <f t="shared" si="2"/>
        <v>#VALUE!</v>
      </c>
      <c r="AM12" s="55" t="e">
        <f t="shared" si="2"/>
        <v>#VALUE!</v>
      </c>
      <c r="AN12" s="55" t="e">
        <f t="shared" si="2"/>
        <v>#VALUE!</v>
      </c>
      <c r="AO12" s="55" t="e">
        <f t="shared" si="2"/>
        <v>#VALUE!</v>
      </c>
      <c r="AP12" s="55" t="e">
        <f t="shared" si="2"/>
        <v>#VALUE!</v>
      </c>
      <c r="AQ12" s="55" t="e">
        <f t="shared" si="2"/>
        <v>#VALUE!</v>
      </c>
      <c r="AR12" s="55" t="e">
        <f t="shared" si="2"/>
        <v>#VALUE!</v>
      </c>
      <c r="AS12" s="54" t="e">
        <f t="shared" si="3"/>
        <v>#VALUE!</v>
      </c>
    </row>
    <row r="13" spans="1:45" x14ac:dyDescent="0.25">
      <c r="A13" s="14" t="s">
        <v>18</v>
      </c>
      <c r="B13" s="57" t="e">
        <f t="shared" ref="B13:V13" si="19">B92-B51</f>
        <v>#VALUE!</v>
      </c>
      <c r="C13" s="58" t="e">
        <f t="shared" si="19"/>
        <v>#VALUE!</v>
      </c>
      <c r="D13" s="58" t="e">
        <f t="shared" si="19"/>
        <v>#VALUE!</v>
      </c>
      <c r="E13" s="58" t="e">
        <f t="shared" si="19"/>
        <v>#VALUE!</v>
      </c>
      <c r="F13" s="58" t="e">
        <f t="shared" si="19"/>
        <v>#VALUE!</v>
      </c>
      <c r="G13" s="58" t="e">
        <f t="shared" si="19"/>
        <v>#VALUE!</v>
      </c>
      <c r="H13" s="58" t="e">
        <f t="shared" si="19"/>
        <v>#VALUE!</v>
      </c>
      <c r="I13" s="58" t="e">
        <f t="shared" si="19"/>
        <v>#VALUE!</v>
      </c>
      <c r="J13" s="58" t="e">
        <f t="shared" si="19"/>
        <v>#VALUE!</v>
      </c>
      <c r="K13" s="59" t="e">
        <f t="shared" si="19"/>
        <v>#VALUE!</v>
      </c>
      <c r="L13" s="58" t="e">
        <f t="shared" si="19"/>
        <v>#VALUE!</v>
      </c>
      <c r="M13" s="58" t="e">
        <f t="shared" si="19"/>
        <v>#VALUE!</v>
      </c>
      <c r="N13" s="58" t="e">
        <f t="shared" si="19"/>
        <v>#VALUE!</v>
      </c>
      <c r="O13" s="58" t="e">
        <f t="shared" si="19"/>
        <v>#VALUE!</v>
      </c>
      <c r="P13" s="58" t="e">
        <f t="shared" si="19"/>
        <v>#VALUE!</v>
      </c>
      <c r="Q13" s="58" t="e">
        <f t="shared" si="19"/>
        <v>#VALUE!</v>
      </c>
      <c r="R13" s="58" t="e">
        <f t="shared" si="19"/>
        <v>#VALUE!</v>
      </c>
      <c r="S13" s="58" t="e">
        <f t="shared" si="19"/>
        <v>#VALUE!</v>
      </c>
      <c r="T13" s="58" t="e">
        <f t="shared" si="19"/>
        <v>#VALUE!</v>
      </c>
      <c r="U13" s="58" t="e">
        <f t="shared" si="19"/>
        <v>#VALUE!</v>
      </c>
      <c r="V13" s="59" t="e">
        <f t="shared" si="19"/>
        <v>#VALUE!</v>
      </c>
      <c r="X13" s="14" t="s">
        <v>18</v>
      </c>
      <c r="Y13" s="56" t="e">
        <f t="shared" ref="Y13:AG13" si="20">B13/$B92</f>
        <v>#VALUE!</v>
      </c>
      <c r="Z13" s="55" t="e">
        <f t="shared" si="20"/>
        <v>#VALUE!</v>
      </c>
      <c r="AA13" s="55" t="e">
        <f t="shared" si="20"/>
        <v>#VALUE!</v>
      </c>
      <c r="AB13" s="55" t="e">
        <f t="shared" si="20"/>
        <v>#VALUE!</v>
      </c>
      <c r="AC13" s="55" t="e">
        <f t="shared" si="20"/>
        <v>#VALUE!</v>
      </c>
      <c r="AD13" s="55" t="e">
        <f t="shared" si="20"/>
        <v>#VALUE!</v>
      </c>
      <c r="AE13" s="55" t="e">
        <f t="shared" si="20"/>
        <v>#VALUE!</v>
      </c>
      <c r="AF13" s="55" t="e">
        <f t="shared" si="20"/>
        <v>#VALUE!</v>
      </c>
      <c r="AG13" s="55" t="e">
        <f t="shared" si="20"/>
        <v>#VALUE!</v>
      </c>
      <c r="AH13" s="54" t="e">
        <f t="shared" si="6"/>
        <v>#VALUE!</v>
      </c>
      <c r="AI13" s="55" t="e">
        <f t="shared" si="2"/>
        <v>#VALUE!</v>
      </c>
      <c r="AJ13" s="55" t="e">
        <f t="shared" si="2"/>
        <v>#VALUE!</v>
      </c>
      <c r="AK13" s="55" t="e">
        <f t="shared" si="2"/>
        <v>#VALUE!</v>
      </c>
      <c r="AL13" s="55" t="e">
        <f t="shared" si="2"/>
        <v>#VALUE!</v>
      </c>
      <c r="AM13" s="55" t="e">
        <f t="shared" si="2"/>
        <v>#VALUE!</v>
      </c>
      <c r="AN13" s="55" t="e">
        <f t="shared" si="2"/>
        <v>#VALUE!</v>
      </c>
      <c r="AO13" s="55" t="e">
        <f t="shared" si="2"/>
        <v>#VALUE!</v>
      </c>
      <c r="AP13" s="55" t="e">
        <f t="shared" si="2"/>
        <v>#VALUE!</v>
      </c>
      <c r="AQ13" s="55" t="e">
        <f t="shared" si="2"/>
        <v>#VALUE!</v>
      </c>
      <c r="AR13" s="55" t="e">
        <f t="shared" si="2"/>
        <v>#VALUE!</v>
      </c>
      <c r="AS13" s="54" t="e">
        <f t="shared" si="3"/>
        <v>#VALUE!</v>
      </c>
    </row>
    <row r="14" spans="1:45" x14ac:dyDescent="0.25">
      <c r="A14" s="14" t="s">
        <v>19</v>
      </c>
      <c r="B14" s="25" t="e">
        <f t="shared" ref="B14:V14" si="21">B93-B52</f>
        <v>#VALUE!</v>
      </c>
      <c r="C14" s="26" t="e">
        <f t="shared" si="21"/>
        <v>#VALUE!</v>
      </c>
      <c r="D14" s="26" t="e">
        <f t="shared" si="21"/>
        <v>#VALUE!</v>
      </c>
      <c r="E14" s="26" t="e">
        <f t="shared" si="21"/>
        <v>#VALUE!</v>
      </c>
      <c r="F14" s="26" t="e">
        <f t="shared" si="21"/>
        <v>#VALUE!</v>
      </c>
      <c r="G14" s="26" t="e">
        <f t="shared" si="21"/>
        <v>#VALUE!</v>
      </c>
      <c r="H14" s="26" t="e">
        <f t="shared" si="21"/>
        <v>#VALUE!</v>
      </c>
      <c r="I14" s="26" t="e">
        <f t="shared" si="21"/>
        <v>#VALUE!</v>
      </c>
      <c r="J14" s="26" t="e">
        <f t="shared" si="21"/>
        <v>#VALUE!</v>
      </c>
      <c r="K14" s="27" t="e">
        <f t="shared" si="21"/>
        <v>#VALUE!</v>
      </c>
      <c r="L14" s="26" t="e">
        <f t="shared" si="21"/>
        <v>#VALUE!</v>
      </c>
      <c r="M14" s="26" t="e">
        <f t="shared" si="21"/>
        <v>#VALUE!</v>
      </c>
      <c r="N14" s="26" t="e">
        <f t="shared" si="21"/>
        <v>#VALUE!</v>
      </c>
      <c r="O14" s="26" t="e">
        <f t="shared" si="21"/>
        <v>#VALUE!</v>
      </c>
      <c r="P14" s="26" t="e">
        <f t="shared" si="21"/>
        <v>#VALUE!</v>
      </c>
      <c r="Q14" s="26" t="e">
        <f t="shared" si="21"/>
        <v>#VALUE!</v>
      </c>
      <c r="R14" s="26" t="e">
        <f t="shared" si="21"/>
        <v>#VALUE!</v>
      </c>
      <c r="S14" s="26" t="e">
        <f t="shared" si="21"/>
        <v>#VALUE!</v>
      </c>
      <c r="T14" s="26" t="e">
        <f t="shared" si="21"/>
        <v>#VALUE!</v>
      </c>
      <c r="U14" s="26" t="e">
        <f t="shared" si="21"/>
        <v>#VALUE!</v>
      </c>
      <c r="V14" s="27" t="e">
        <f t="shared" si="21"/>
        <v>#VALUE!</v>
      </c>
      <c r="X14" s="14" t="s">
        <v>19</v>
      </c>
      <c r="Y14" s="56" t="e">
        <f t="shared" ref="Y14:AG14" si="22">B14/$B93</f>
        <v>#VALUE!</v>
      </c>
      <c r="Z14" s="55" t="e">
        <f t="shared" si="22"/>
        <v>#VALUE!</v>
      </c>
      <c r="AA14" s="55" t="e">
        <f t="shared" si="22"/>
        <v>#VALUE!</v>
      </c>
      <c r="AB14" s="55" t="e">
        <f t="shared" si="22"/>
        <v>#VALUE!</v>
      </c>
      <c r="AC14" s="55" t="e">
        <f t="shared" si="22"/>
        <v>#VALUE!</v>
      </c>
      <c r="AD14" s="55" t="e">
        <f t="shared" si="22"/>
        <v>#VALUE!</v>
      </c>
      <c r="AE14" s="55" t="e">
        <f t="shared" si="22"/>
        <v>#VALUE!</v>
      </c>
      <c r="AF14" s="55" t="e">
        <f t="shared" si="22"/>
        <v>#VALUE!</v>
      </c>
      <c r="AG14" s="55" t="e">
        <f t="shared" si="22"/>
        <v>#VALUE!</v>
      </c>
      <c r="AH14" s="54" t="e">
        <f t="shared" si="6"/>
        <v>#VALUE!</v>
      </c>
      <c r="AI14" s="55" t="e">
        <f t="shared" si="2"/>
        <v>#VALUE!</v>
      </c>
      <c r="AJ14" s="55" t="e">
        <f t="shared" si="2"/>
        <v>#VALUE!</v>
      </c>
      <c r="AK14" s="55" t="e">
        <f t="shared" si="2"/>
        <v>#VALUE!</v>
      </c>
      <c r="AL14" s="55" t="e">
        <f t="shared" si="2"/>
        <v>#VALUE!</v>
      </c>
      <c r="AM14" s="55" t="e">
        <f t="shared" si="2"/>
        <v>#VALUE!</v>
      </c>
      <c r="AN14" s="55" t="e">
        <f t="shared" si="2"/>
        <v>#VALUE!</v>
      </c>
      <c r="AO14" s="55" t="e">
        <f t="shared" si="2"/>
        <v>#VALUE!</v>
      </c>
      <c r="AP14" s="55" t="e">
        <f t="shared" si="2"/>
        <v>#VALUE!</v>
      </c>
      <c r="AQ14" s="55" t="e">
        <f t="shared" si="2"/>
        <v>#VALUE!</v>
      </c>
      <c r="AR14" s="55" t="e">
        <f t="shared" si="2"/>
        <v>#VALUE!</v>
      </c>
      <c r="AS14" s="54" t="e">
        <f t="shared" si="3"/>
        <v>#VALUE!</v>
      </c>
    </row>
    <row r="15" spans="1:45" x14ac:dyDescent="0.25">
      <c r="A15" s="14" t="s">
        <v>20</v>
      </c>
      <c r="B15" s="57" t="e">
        <f t="shared" ref="B15:V15" si="23">B94-B53</f>
        <v>#VALUE!</v>
      </c>
      <c r="C15" s="58" t="e">
        <f t="shared" si="23"/>
        <v>#VALUE!</v>
      </c>
      <c r="D15" s="58" t="e">
        <f t="shared" si="23"/>
        <v>#VALUE!</v>
      </c>
      <c r="E15" s="58" t="e">
        <f t="shared" si="23"/>
        <v>#VALUE!</v>
      </c>
      <c r="F15" s="58" t="e">
        <f t="shared" si="23"/>
        <v>#VALUE!</v>
      </c>
      <c r="G15" s="58" t="e">
        <f t="shared" si="23"/>
        <v>#VALUE!</v>
      </c>
      <c r="H15" s="58" t="e">
        <f t="shared" si="23"/>
        <v>#VALUE!</v>
      </c>
      <c r="I15" s="58" t="e">
        <f t="shared" si="23"/>
        <v>#VALUE!</v>
      </c>
      <c r="J15" s="58" t="e">
        <f t="shared" si="23"/>
        <v>#VALUE!</v>
      </c>
      <c r="K15" s="59" t="e">
        <f t="shared" si="23"/>
        <v>#VALUE!</v>
      </c>
      <c r="L15" s="58" t="e">
        <f t="shared" si="23"/>
        <v>#VALUE!</v>
      </c>
      <c r="M15" s="58" t="e">
        <f t="shared" si="23"/>
        <v>#VALUE!</v>
      </c>
      <c r="N15" s="58" t="e">
        <f t="shared" si="23"/>
        <v>#VALUE!</v>
      </c>
      <c r="O15" s="58" t="e">
        <f t="shared" si="23"/>
        <v>#VALUE!</v>
      </c>
      <c r="P15" s="58" t="e">
        <f t="shared" si="23"/>
        <v>#VALUE!</v>
      </c>
      <c r="Q15" s="58" t="e">
        <f t="shared" si="23"/>
        <v>#VALUE!</v>
      </c>
      <c r="R15" s="58" t="e">
        <f t="shared" si="23"/>
        <v>#VALUE!</v>
      </c>
      <c r="S15" s="58" t="e">
        <f t="shared" si="23"/>
        <v>#VALUE!</v>
      </c>
      <c r="T15" s="58" t="e">
        <f t="shared" si="23"/>
        <v>#VALUE!</v>
      </c>
      <c r="U15" s="58" t="e">
        <f t="shared" si="23"/>
        <v>#VALUE!</v>
      </c>
      <c r="V15" s="59" t="e">
        <f t="shared" si="23"/>
        <v>#VALUE!</v>
      </c>
      <c r="X15" s="14" t="s">
        <v>20</v>
      </c>
      <c r="Y15" s="56" t="e">
        <f t="shared" ref="Y15:AG15" si="24">B15/$B94</f>
        <v>#VALUE!</v>
      </c>
      <c r="Z15" s="55" t="e">
        <f t="shared" si="24"/>
        <v>#VALUE!</v>
      </c>
      <c r="AA15" s="55" t="e">
        <f t="shared" si="24"/>
        <v>#VALUE!</v>
      </c>
      <c r="AB15" s="55" t="e">
        <f t="shared" si="24"/>
        <v>#VALUE!</v>
      </c>
      <c r="AC15" s="55" t="e">
        <f t="shared" si="24"/>
        <v>#VALUE!</v>
      </c>
      <c r="AD15" s="55" t="e">
        <f t="shared" si="24"/>
        <v>#VALUE!</v>
      </c>
      <c r="AE15" s="55" t="e">
        <f t="shared" si="24"/>
        <v>#VALUE!</v>
      </c>
      <c r="AF15" s="55" t="e">
        <f t="shared" si="24"/>
        <v>#VALUE!</v>
      </c>
      <c r="AG15" s="55" t="e">
        <f t="shared" si="24"/>
        <v>#VALUE!</v>
      </c>
      <c r="AH15" s="54" t="e">
        <f t="shared" si="6"/>
        <v>#VALUE!</v>
      </c>
      <c r="AI15" s="55" t="e">
        <f t="shared" si="2"/>
        <v>#VALUE!</v>
      </c>
      <c r="AJ15" s="55" t="e">
        <f t="shared" si="2"/>
        <v>#VALUE!</v>
      </c>
      <c r="AK15" s="55" t="e">
        <f t="shared" si="2"/>
        <v>#VALUE!</v>
      </c>
      <c r="AL15" s="55" t="e">
        <f t="shared" si="2"/>
        <v>#VALUE!</v>
      </c>
      <c r="AM15" s="55" t="e">
        <f t="shared" si="2"/>
        <v>#VALUE!</v>
      </c>
      <c r="AN15" s="55" t="e">
        <f t="shared" si="2"/>
        <v>#VALUE!</v>
      </c>
      <c r="AO15" s="55" t="e">
        <f t="shared" si="2"/>
        <v>#VALUE!</v>
      </c>
      <c r="AP15" s="55" t="e">
        <f t="shared" si="2"/>
        <v>#VALUE!</v>
      </c>
      <c r="AQ15" s="55" t="e">
        <f t="shared" si="2"/>
        <v>#VALUE!</v>
      </c>
      <c r="AR15" s="55" t="e">
        <f t="shared" si="2"/>
        <v>#VALUE!</v>
      </c>
      <c r="AS15" s="54" t="e">
        <f t="shared" si="3"/>
        <v>#VALUE!</v>
      </c>
    </row>
    <row r="16" spans="1:45" x14ac:dyDescent="0.25">
      <c r="A16" s="14" t="s">
        <v>21</v>
      </c>
      <c r="B16" s="25" t="e">
        <f t="shared" ref="B16:V16" si="25">B95-B54</f>
        <v>#VALUE!</v>
      </c>
      <c r="C16" s="26" t="e">
        <f t="shared" si="25"/>
        <v>#VALUE!</v>
      </c>
      <c r="D16" s="26" t="e">
        <f t="shared" si="25"/>
        <v>#VALUE!</v>
      </c>
      <c r="E16" s="26" t="e">
        <f t="shared" si="25"/>
        <v>#VALUE!</v>
      </c>
      <c r="F16" s="26" t="e">
        <f t="shared" si="25"/>
        <v>#VALUE!</v>
      </c>
      <c r="G16" s="26" t="e">
        <f t="shared" si="25"/>
        <v>#VALUE!</v>
      </c>
      <c r="H16" s="26" t="e">
        <f t="shared" si="25"/>
        <v>#VALUE!</v>
      </c>
      <c r="I16" s="26" t="e">
        <f t="shared" si="25"/>
        <v>#VALUE!</v>
      </c>
      <c r="J16" s="26" t="e">
        <f t="shared" si="25"/>
        <v>#VALUE!</v>
      </c>
      <c r="K16" s="27" t="e">
        <f t="shared" si="25"/>
        <v>#VALUE!</v>
      </c>
      <c r="L16" s="26" t="e">
        <f t="shared" si="25"/>
        <v>#VALUE!</v>
      </c>
      <c r="M16" s="26" t="e">
        <f t="shared" si="25"/>
        <v>#VALUE!</v>
      </c>
      <c r="N16" s="26" t="e">
        <f t="shared" si="25"/>
        <v>#VALUE!</v>
      </c>
      <c r="O16" s="26" t="e">
        <f t="shared" si="25"/>
        <v>#VALUE!</v>
      </c>
      <c r="P16" s="26" t="e">
        <f t="shared" si="25"/>
        <v>#VALUE!</v>
      </c>
      <c r="Q16" s="26" t="e">
        <f t="shared" si="25"/>
        <v>#VALUE!</v>
      </c>
      <c r="R16" s="26" t="e">
        <f t="shared" si="25"/>
        <v>#VALUE!</v>
      </c>
      <c r="S16" s="26" t="e">
        <f t="shared" si="25"/>
        <v>#VALUE!</v>
      </c>
      <c r="T16" s="26" t="e">
        <f t="shared" si="25"/>
        <v>#VALUE!</v>
      </c>
      <c r="U16" s="26" t="e">
        <f t="shared" si="25"/>
        <v>#VALUE!</v>
      </c>
      <c r="V16" s="27" t="e">
        <f t="shared" si="25"/>
        <v>#VALUE!</v>
      </c>
      <c r="X16" s="14" t="s">
        <v>21</v>
      </c>
      <c r="Y16" s="56" t="e">
        <f t="shared" ref="Y16:AG16" si="26">B16/$B95</f>
        <v>#VALUE!</v>
      </c>
      <c r="Z16" s="55" t="e">
        <f t="shared" si="26"/>
        <v>#VALUE!</v>
      </c>
      <c r="AA16" s="55" t="e">
        <f t="shared" si="26"/>
        <v>#VALUE!</v>
      </c>
      <c r="AB16" s="55" t="e">
        <f t="shared" si="26"/>
        <v>#VALUE!</v>
      </c>
      <c r="AC16" s="55" t="e">
        <f t="shared" si="26"/>
        <v>#VALUE!</v>
      </c>
      <c r="AD16" s="55" t="e">
        <f t="shared" si="26"/>
        <v>#VALUE!</v>
      </c>
      <c r="AE16" s="55" t="e">
        <f t="shared" si="26"/>
        <v>#VALUE!</v>
      </c>
      <c r="AF16" s="55" t="e">
        <f t="shared" si="26"/>
        <v>#VALUE!</v>
      </c>
      <c r="AG16" s="55" t="e">
        <f t="shared" si="26"/>
        <v>#VALUE!</v>
      </c>
      <c r="AH16" s="54" t="e">
        <f t="shared" si="6"/>
        <v>#VALUE!</v>
      </c>
      <c r="AI16" s="55" t="e">
        <f t="shared" si="2"/>
        <v>#VALUE!</v>
      </c>
      <c r="AJ16" s="55" t="e">
        <f t="shared" si="2"/>
        <v>#VALUE!</v>
      </c>
      <c r="AK16" s="55" t="e">
        <f t="shared" si="2"/>
        <v>#VALUE!</v>
      </c>
      <c r="AL16" s="55" t="e">
        <f t="shared" si="2"/>
        <v>#VALUE!</v>
      </c>
      <c r="AM16" s="55" t="e">
        <f t="shared" si="2"/>
        <v>#VALUE!</v>
      </c>
      <c r="AN16" s="55" t="e">
        <f t="shared" si="2"/>
        <v>#VALUE!</v>
      </c>
      <c r="AO16" s="55" t="e">
        <f t="shared" si="2"/>
        <v>#VALUE!</v>
      </c>
      <c r="AP16" s="55" t="e">
        <f t="shared" si="2"/>
        <v>#VALUE!</v>
      </c>
      <c r="AQ16" s="55" t="e">
        <f t="shared" si="2"/>
        <v>#VALUE!</v>
      </c>
      <c r="AR16" s="55" t="e">
        <f t="shared" si="2"/>
        <v>#VALUE!</v>
      </c>
      <c r="AS16" s="54" t="e">
        <f t="shared" si="3"/>
        <v>#VALUE!</v>
      </c>
    </row>
    <row r="17" spans="1:45" x14ac:dyDescent="0.25">
      <c r="A17" s="14" t="s">
        <v>22</v>
      </c>
      <c r="B17" s="57" t="e">
        <f t="shared" ref="B17:V17" si="27">B96-B55</f>
        <v>#VALUE!</v>
      </c>
      <c r="C17" s="58" t="e">
        <f t="shared" si="27"/>
        <v>#VALUE!</v>
      </c>
      <c r="D17" s="58" t="e">
        <f t="shared" si="27"/>
        <v>#VALUE!</v>
      </c>
      <c r="E17" s="58" t="e">
        <f t="shared" si="27"/>
        <v>#VALUE!</v>
      </c>
      <c r="F17" s="58" t="e">
        <f t="shared" si="27"/>
        <v>#VALUE!</v>
      </c>
      <c r="G17" s="58" t="e">
        <f t="shared" si="27"/>
        <v>#VALUE!</v>
      </c>
      <c r="H17" s="58" t="e">
        <f t="shared" si="27"/>
        <v>#VALUE!</v>
      </c>
      <c r="I17" s="58" t="e">
        <f t="shared" si="27"/>
        <v>#VALUE!</v>
      </c>
      <c r="J17" s="58" t="e">
        <f t="shared" si="27"/>
        <v>#VALUE!</v>
      </c>
      <c r="K17" s="59" t="e">
        <f t="shared" si="27"/>
        <v>#VALUE!</v>
      </c>
      <c r="L17" s="58" t="e">
        <f t="shared" si="27"/>
        <v>#VALUE!</v>
      </c>
      <c r="M17" s="58" t="e">
        <f t="shared" si="27"/>
        <v>#VALUE!</v>
      </c>
      <c r="N17" s="58" t="e">
        <f t="shared" si="27"/>
        <v>#VALUE!</v>
      </c>
      <c r="O17" s="58" t="e">
        <f t="shared" si="27"/>
        <v>#VALUE!</v>
      </c>
      <c r="P17" s="58" t="e">
        <f t="shared" si="27"/>
        <v>#VALUE!</v>
      </c>
      <c r="Q17" s="58" t="e">
        <f t="shared" si="27"/>
        <v>#VALUE!</v>
      </c>
      <c r="R17" s="58" t="e">
        <f t="shared" si="27"/>
        <v>#VALUE!</v>
      </c>
      <c r="S17" s="58" t="e">
        <f t="shared" si="27"/>
        <v>#VALUE!</v>
      </c>
      <c r="T17" s="58" t="e">
        <f t="shared" si="27"/>
        <v>#VALUE!</v>
      </c>
      <c r="U17" s="58" t="e">
        <f t="shared" si="27"/>
        <v>#VALUE!</v>
      </c>
      <c r="V17" s="59" t="e">
        <f t="shared" si="27"/>
        <v>#VALUE!</v>
      </c>
      <c r="X17" s="14" t="s">
        <v>22</v>
      </c>
      <c r="Y17" s="56" t="e">
        <f t="shared" ref="Y17:AG17" si="28">B17/$B96</f>
        <v>#VALUE!</v>
      </c>
      <c r="Z17" s="55" t="e">
        <f t="shared" si="28"/>
        <v>#VALUE!</v>
      </c>
      <c r="AA17" s="55" t="e">
        <f t="shared" si="28"/>
        <v>#VALUE!</v>
      </c>
      <c r="AB17" s="55" t="e">
        <f t="shared" si="28"/>
        <v>#VALUE!</v>
      </c>
      <c r="AC17" s="55" t="e">
        <f t="shared" si="28"/>
        <v>#VALUE!</v>
      </c>
      <c r="AD17" s="55" t="e">
        <f t="shared" si="28"/>
        <v>#VALUE!</v>
      </c>
      <c r="AE17" s="55" t="e">
        <f t="shared" si="28"/>
        <v>#VALUE!</v>
      </c>
      <c r="AF17" s="55" t="e">
        <f t="shared" si="28"/>
        <v>#VALUE!</v>
      </c>
      <c r="AG17" s="55" t="e">
        <f t="shared" si="28"/>
        <v>#VALUE!</v>
      </c>
      <c r="AH17" s="54" t="e">
        <f t="shared" si="6"/>
        <v>#VALUE!</v>
      </c>
      <c r="AI17" s="55" t="e">
        <f t="shared" si="2"/>
        <v>#VALUE!</v>
      </c>
      <c r="AJ17" s="55" t="e">
        <f t="shared" si="2"/>
        <v>#VALUE!</v>
      </c>
      <c r="AK17" s="55" t="e">
        <f t="shared" si="2"/>
        <v>#VALUE!</v>
      </c>
      <c r="AL17" s="55" t="e">
        <f t="shared" si="2"/>
        <v>#VALUE!</v>
      </c>
      <c r="AM17" s="55" t="e">
        <f t="shared" si="2"/>
        <v>#VALUE!</v>
      </c>
      <c r="AN17" s="55" t="e">
        <f t="shared" si="2"/>
        <v>#VALUE!</v>
      </c>
      <c r="AO17" s="55" t="e">
        <f t="shared" si="2"/>
        <v>#VALUE!</v>
      </c>
      <c r="AP17" s="55" t="e">
        <f t="shared" si="2"/>
        <v>#VALUE!</v>
      </c>
      <c r="AQ17" s="55" t="e">
        <f t="shared" si="2"/>
        <v>#VALUE!</v>
      </c>
      <c r="AR17" s="55" t="e">
        <f t="shared" si="2"/>
        <v>#VALUE!</v>
      </c>
      <c r="AS17" s="54" t="e">
        <f t="shared" si="3"/>
        <v>#VALUE!</v>
      </c>
    </row>
    <row r="18" spans="1:45" x14ac:dyDescent="0.25">
      <c r="A18" s="14" t="s">
        <v>23</v>
      </c>
      <c r="B18" s="25" t="e">
        <f t="shared" ref="B18:V18" si="29">B97-B56</f>
        <v>#VALUE!</v>
      </c>
      <c r="C18" s="26" t="e">
        <f t="shared" si="29"/>
        <v>#VALUE!</v>
      </c>
      <c r="D18" s="26" t="e">
        <f t="shared" si="29"/>
        <v>#VALUE!</v>
      </c>
      <c r="E18" s="26" t="e">
        <f t="shared" si="29"/>
        <v>#VALUE!</v>
      </c>
      <c r="F18" s="26" t="e">
        <f t="shared" si="29"/>
        <v>#VALUE!</v>
      </c>
      <c r="G18" s="26" t="e">
        <f t="shared" si="29"/>
        <v>#VALUE!</v>
      </c>
      <c r="H18" s="26" t="e">
        <f t="shared" si="29"/>
        <v>#VALUE!</v>
      </c>
      <c r="I18" s="26" t="e">
        <f t="shared" si="29"/>
        <v>#VALUE!</v>
      </c>
      <c r="J18" s="26" t="e">
        <f t="shared" si="29"/>
        <v>#VALUE!</v>
      </c>
      <c r="K18" s="27" t="e">
        <f t="shared" si="29"/>
        <v>#VALUE!</v>
      </c>
      <c r="L18" s="26" t="e">
        <f t="shared" si="29"/>
        <v>#VALUE!</v>
      </c>
      <c r="M18" s="26" t="e">
        <f t="shared" si="29"/>
        <v>#VALUE!</v>
      </c>
      <c r="N18" s="26" t="e">
        <f t="shared" si="29"/>
        <v>#VALUE!</v>
      </c>
      <c r="O18" s="26" t="e">
        <f t="shared" si="29"/>
        <v>#VALUE!</v>
      </c>
      <c r="P18" s="26" t="e">
        <f t="shared" si="29"/>
        <v>#VALUE!</v>
      </c>
      <c r="Q18" s="26" t="e">
        <f t="shared" si="29"/>
        <v>#VALUE!</v>
      </c>
      <c r="R18" s="26" t="e">
        <f t="shared" si="29"/>
        <v>#VALUE!</v>
      </c>
      <c r="S18" s="26" t="e">
        <f t="shared" si="29"/>
        <v>#VALUE!</v>
      </c>
      <c r="T18" s="26" t="e">
        <f t="shared" si="29"/>
        <v>#VALUE!</v>
      </c>
      <c r="U18" s="26" t="e">
        <f t="shared" si="29"/>
        <v>#VALUE!</v>
      </c>
      <c r="V18" s="27" t="e">
        <f t="shared" si="29"/>
        <v>#VALUE!</v>
      </c>
      <c r="X18" s="14" t="s">
        <v>23</v>
      </c>
      <c r="Y18" s="56" t="e">
        <f t="shared" ref="Y18:AG18" si="30">B18/$B97</f>
        <v>#VALUE!</v>
      </c>
      <c r="Z18" s="55" t="e">
        <f t="shared" si="30"/>
        <v>#VALUE!</v>
      </c>
      <c r="AA18" s="55" t="e">
        <f t="shared" si="30"/>
        <v>#VALUE!</v>
      </c>
      <c r="AB18" s="55" t="e">
        <f t="shared" si="30"/>
        <v>#VALUE!</v>
      </c>
      <c r="AC18" s="55" t="e">
        <f t="shared" si="30"/>
        <v>#VALUE!</v>
      </c>
      <c r="AD18" s="55" t="e">
        <f t="shared" si="30"/>
        <v>#VALUE!</v>
      </c>
      <c r="AE18" s="55" t="e">
        <f t="shared" si="30"/>
        <v>#VALUE!</v>
      </c>
      <c r="AF18" s="55" t="e">
        <f t="shared" si="30"/>
        <v>#VALUE!</v>
      </c>
      <c r="AG18" s="55" t="e">
        <f t="shared" si="30"/>
        <v>#VALUE!</v>
      </c>
      <c r="AH18" s="54" t="e">
        <f t="shared" si="6"/>
        <v>#VALUE!</v>
      </c>
      <c r="AI18" s="55" t="e">
        <f t="shared" si="2"/>
        <v>#VALUE!</v>
      </c>
      <c r="AJ18" s="55" t="e">
        <f t="shared" si="2"/>
        <v>#VALUE!</v>
      </c>
      <c r="AK18" s="55" t="e">
        <f t="shared" si="2"/>
        <v>#VALUE!</v>
      </c>
      <c r="AL18" s="55" t="e">
        <f t="shared" si="2"/>
        <v>#VALUE!</v>
      </c>
      <c r="AM18" s="55" t="e">
        <f t="shared" si="2"/>
        <v>#VALUE!</v>
      </c>
      <c r="AN18" s="55" t="e">
        <f t="shared" si="2"/>
        <v>#VALUE!</v>
      </c>
      <c r="AO18" s="55" t="e">
        <f t="shared" si="2"/>
        <v>#VALUE!</v>
      </c>
      <c r="AP18" s="55" t="e">
        <f t="shared" si="2"/>
        <v>#VALUE!</v>
      </c>
      <c r="AQ18" s="55" t="e">
        <f t="shared" si="2"/>
        <v>#VALUE!</v>
      </c>
      <c r="AR18" s="55" t="e">
        <f t="shared" si="2"/>
        <v>#VALUE!</v>
      </c>
      <c r="AS18" s="54" t="e">
        <f t="shared" si="3"/>
        <v>#VALUE!</v>
      </c>
    </row>
    <row r="19" spans="1:45" x14ac:dyDescent="0.25">
      <c r="A19" s="14" t="s">
        <v>24</v>
      </c>
      <c r="B19" s="57" t="e">
        <f t="shared" ref="B19:V19" si="31">B98-B57</f>
        <v>#VALUE!</v>
      </c>
      <c r="C19" s="58" t="e">
        <f t="shared" si="31"/>
        <v>#VALUE!</v>
      </c>
      <c r="D19" s="58" t="e">
        <f t="shared" si="31"/>
        <v>#VALUE!</v>
      </c>
      <c r="E19" s="58" t="e">
        <f t="shared" si="31"/>
        <v>#VALUE!</v>
      </c>
      <c r="F19" s="58" t="e">
        <f t="shared" si="31"/>
        <v>#VALUE!</v>
      </c>
      <c r="G19" s="58" t="e">
        <f t="shared" si="31"/>
        <v>#VALUE!</v>
      </c>
      <c r="H19" s="58" t="e">
        <f t="shared" si="31"/>
        <v>#VALUE!</v>
      </c>
      <c r="I19" s="58" t="e">
        <f t="shared" si="31"/>
        <v>#VALUE!</v>
      </c>
      <c r="J19" s="58" t="e">
        <f t="shared" si="31"/>
        <v>#VALUE!</v>
      </c>
      <c r="K19" s="59" t="e">
        <f t="shared" si="31"/>
        <v>#VALUE!</v>
      </c>
      <c r="L19" s="58" t="e">
        <f t="shared" si="31"/>
        <v>#VALUE!</v>
      </c>
      <c r="M19" s="58" t="e">
        <f t="shared" si="31"/>
        <v>#VALUE!</v>
      </c>
      <c r="N19" s="58" t="e">
        <f t="shared" si="31"/>
        <v>#VALUE!</v>
      </c>
      <c r="O19" s="58" t="e">
        <f t="shared" si="31"/>
        <v>#VALUE!</v>
      </c>
      <c r="P19" s="58" t="e">
        <f t="shared" si="31"/>
        <v>#VALUE!</v>
      </c>
      <c r="Q19" s="58" t="e">
        <f t="shared" si="31"/>
        <v>#VALUE!</v>
      </c>
      <c r="R19" s="58" t="e">
        <f t="shared" si="31"/>
        <v>#VALUE!</v>
      </c>
      <c r="S19" s="58" t="e">
        <f t="shared" si="31"/>
        <v>#VALUE!</v>
      </c>
      <c r="T19" s="58" t="e">
        <f t="shared" si="31"/>
        <v>#VALUE!</v>
      </c>
      <c r="U19" s="58" t="e">
        <f t="shared" si="31"/>
        <v>#VALUE!</v>
      </c>
      <c r="V19" s="59" t="e">
        <f t="shared" si="31"/>
        <v>#VALUE!</v>
      </c>
      <c r="X19" s="14" t="s">
        <v>24</v>
      </c>
      <c r="Y19" s="56" t="e">
        <f t="shared" ref="Y19:AG19" si="32">B19/$B98</f>
        <v>#VALUE!</v>
      </c>
      <c r="Z19" s="55" t="e">
        <f t="shared" si="32"/>
        <v>#VALUE!</v>
      </c>
      <c r="AA19" s="55" t="e">
        <f t="shared" si="32"/>
        <v>#VALUE!</v>
      </c>
      <c r="AB19" s="55" t="e">
        <f t="shared" si="32"/>
        <v>#VALUE!</v>
      </c>
      <c r="AC19" s="55" t="e">
        <f t="shared" si="32"/>
        <v>#VALUE!</v>
      </c>
      <c r="AD19" s="55" t="e">
        <f t="shared" si="32"/>
        <v>#VALUE!</v>
      </c>
      <c r="AE19" s="55" t="e">
        <f t="shared" si="32"/>
        <v>#VALUE!</v>
      </c>
      <c r="AF19" s="55" t="e">
        <f t="shared" si="32"/>
        <v>#VALUE!</v>
      </c>
      <c r="AG19" s="55" t="e">
        <f t="shared" si="32"/>
        <v>#VALUE!</v>
      </c>
      <c r="AH19" s="54" t="e">
        <f t="shared" si="6"/>
        <v>#VALUE!</v>
      </c>
      <c r="AI19" s="55" t="e">
        <f t="shared" si="2"/>
        <v>#VALUE!</v>
      </c>
      <c r="AJ19" s="55" t="e">
        <f t="shared" si="2"/>
        <v>#VALUE!</v>
      </c>
      <c r="AK19" s="55" t="e">
        <f t="shared" si="2"/>
        <v>#VALUE!</v>
      </c>
      <c r="AL19" s="55" t="e">
        <f t="shared" si="2"/>
        <v>#VALUE!</v>
      </c>
      <c r="AM19" s="55" t="e">
        <f t="shared" si="2"/>
        <v>#VALUE!</v>
      </c>
      <c r="AN19" s="55" t="e">
        <f t="shared" si="2"/>
        <v>#VALUE!</v>
      </c>
      <c r="AO19" s="55" t="e">
        <f t="shared" si="2"/>
        <v>#VALUE!</v>
      </c>
      <c r="AP19" s="55" t="e">
        <f t="shared" si="2"/>
        <v>#VALUE!</v>
      </c>
      <c r="AQ19" s="55" t="e">
        <f t="shared" si="2"/>
        <v>#VALUE!</v>
      </c>
      <c r="AR19" s="55" t="e">
        <f t="shared" si="2"/>
        <v>#VALUE!</v>
      </c>
      <c r="AS19" s="54" t="e">
        <f t="shared" si="3"/>
        <v>#VALUE!</v>
      </c>
    </row>
    <row r="20" spans="1:45" x14ac:dyDescent="0.25">
      <c r="A20" s="14" t="s">
        <v>25</v>
      </c>
      <c r="B20" s="25" t="e">
        <f t="shared" ref="B20:V20" si="33">B99-B58</f>
        <v>#VALUE!</v>
      </c>
      <c r="C20" s="26" t="e">
        <f t="shared" si="33"/>
        <v>#VALUE!</v>
      </c>
      <c r="D20" s="26" t="e">
        <f t="shared" si="33"/>
        <v>#VALUE!</v>
      </c>
      <c r="E20" s="26" t="e">
        <f t="shared" si="33"/>
        <v>#VALUE!</v>
      </c>
      <c r="F20" s="26" t="e">
        <f t="shared" si="33"/>
        <v>#VALUE!</v>
      </c>
      <c r="G20" s="26" t="e">
        <f t="shared" si="33"/>
        <v>#VALUE!</v>
      </c>
      <c r="H20" s="26" t="e">
        <f t="shared" si="33"/>
        <v>#VALUE!</v>
      </c>
      <c r="I20" s="26" t="e">
        <f t="shared" si="33"/>
        <v>#VALUE!</v>
      </c>
      <c r="J20" s="26" t="e">
        <f t="shared" si="33"/>
        <v>#VALUE!</v>
      </c>
      <c r="K20" s="27" t="e">
        <f t="shared" si="33"/>
        <v>#VALUE!</v>
      </c>
      <c r="L20" s="26" t="e">
        <f t="shared" si="33"/>
        <v>#VALUE!</v>
      </c>
      <c r="M20" s="26" t="e">
        <f t="shared" si="33"/>
        <v>#VALUE!</v>
      </c>
      <c r="N20" s="26" t="e">
        <f t="shared" si="33"/>
        <v>#VALUE!</v>
      </c>
      <c r="O20" s="26" t="e">
        <f t="shared" si="33"/>
        <v>#VALUE!</v>
      </c>
      <c r="P20" s="26" t="e">
        <f t="shared" si="33"/>
        <v>#VALUE!</v>
      </c>
      <c r="Q20" s="26" t="e">
        <f t="shared" si="33"/>
        <v>#VALUE!</v>
      </c>
      <c r="R20" s="26" t="e">
        <f t="shared" si="33"/>
        <v>#VALUE!</v>
      </c>
      <c r="S20" s="26" t="e">
        <f t="shared" si="33"/>
        <v>#VALUE!</v>
      </c>
      <c r="T20" s="26" t="e">
        <f t="shared" si="33"/>
        <v>#VALUE!</v>
      </c>
      <c r="U20" s="26" t="e">
        <f t="shared" si="33"/>
        <v>#VALUE!</v>
      </c>
      <c r="V20" s="27" t="e">
        <f t="shared" si="33"/>
        <v>#VALUE!</v>
      </c>
      <c r="X20" s="14" t="s">
        <v>25</v>
      </c>
      <c r="Y20" s="56" t="e">
        <f t="shared" ref="Y20:AG20" si="34">B20/$B99</f>
        <v>#VALUE!</v>
      </c>
      <c r="Z20" s="55" t="e">
        <f t="shared" si="34"/>
        <v>#VALUE!</v>
      </c>
      <c r="AA20" s="55" t="e">
        <f t="shared" si="34"/>
        <v>#VALUE!</v>
      </c>
      <c r="AB20" s="55" t="e">
        <f t="shared" si="34"/>
        <v>#VALUE!</v>
      </c>
      <c r="AC20" s="55" t="e">
        <f t="shared" si="34"/>
        <v>#VALUE!</v>
      </c>
      <c r="AD20" s="55" t="e">
        <f t="shared" si="34"/>
        <v>#VALUE!</v>
      </c>
      <c r="AE20" s="55" t="e">
        <f t="shared" si="34"/>
        <v>#VALUE!</v>
      </c>
      <c r="AF20" s="55" t="e">
        <f t="shared" si="34"/>
        <v>#VALUE!</v>
      </c>
      <c r="AG20" s="55" t="e">
        <f t="shared" si="34"/>
        <v>#VALUE!</v>
      </c>
      <c r="AH20" s="54" t="e">
        <f t="shared" si="6"/>
        <v>#VALUE!</v>
      </c>
      <c r="AI20" s="55" t="e">
        <f t="shared" si="2"/>
        <v>#VALUE!</v>
      </c>
      <c r="AJ20" s="55" t="e">
        <f t="shared" si="2"/>
        <v>#VALUE!</v>
      </c>
      <c r="AK20" s="55" t="e">
        <f t="shared" si="2"/>
        <v>#VALUE!</v>
      </c>
      <c r="AL20" s="55" t="e">
        <f t="shared" si="2"/>
        <v>#VALUE!</v>
      </c>
      <c r="AM20" s="55" t="e">
        <f t="shared" si="2"/>
        <v>#VALUE!</v>
      </c>
      <c r="AN20" s="55" t="e">
        <f t="shared" si="2"/>
        <v>#VALUE!</v>
      </c>
      <c r="AO20" s="55" t="e">
        <f t="shared" si="2"/>
        <v>#VALUE!</v>
      </c>
      <c r="AP20" s="55" t="e">
        <f t="shared" si="2"/>
        <v>#VALUE!</v>
      </c>
      <c r="AQ20" s="55" t="e">
        <f t="shared" si="2"/>
        <v>#VALUE!</v>
      </c>
      <c r="AR20" s="55" t="e">
        <f t="shared" si="2"/>
        <v>#VALUE!</v>
      </c>
      <c r="AS20" s="54" t="e">
        <f t="shared" si="3"/>
        <v>#VALUE!</v>
      </c>
    </row>
    <row r="21" spans="1:45" x14ac:dyDescent="0.25">
      <c r="A21" s="14" t="s">
        <v>26</v>
      </c>
      <c r="B21" s="57" t="e">
        <f t="shared" ref="B21:V21" si="35">B100-B59</f>
        <v>#VALUE!</v>
      </c>
      <c r="C21" s="58" t="e">
        <f t="shared" si="35"/>
        <v>#VALUE!</v>
      </c>
      <c r="D21" s="58" t="e">
        <f t="shared" si="35"/>
        <v>#VALUE!</v>
      </c>
      <c r="E21" s="58" t="e">
        <f t="shared" si="35"/>
        <v>#VALUE!</v>
      </c>
      <c r="F21" s="58" t="e">
        <f t="shared" si="35"/>
        <v>#VALUE!</v>
      </c>
      <c r="G21" s="58" t="e">
        <f t="shared" si="35"/>
        <v>#VALUE!</v>
      </c>
      <c r="H21" s="58" t="e">
        <f t="shared" si="35"/>
        <v>#VALUE!</v>
      </c>
      <c r="I21" s="58" t="e">
        <f t="shared" si="35"/>
        <v>#VALUE!</v>
      </c>
      <c r="J21" s="58" t="e">
        <f t="shared" si="35"/>
        <v>#VALUE!</v>
      </c>
      <c r="K21" s="59" t="e">
        <f t="shared" si="35"/>
        <v>#VALUE!</v>
      </c>
      <c r="L21" s="58" t="e">
        <f t="shared" si="35"/>
        <v>#VALUE!</v>
      </c>
      <c r="M21" s="58" t="e">
        <f t="shared" si="35"/>
        <v>#VALUE!</v>
      </c>
      <c r="N21" s="58" t="e">
        <f t="shared" si="35"/>
        <v>#VALUE!</v>
      </c>
      <c r="O21" s="58" t="e">
        <f t="shared" si="35"/>
        <v>#VALUE!</v>
      </c>
      <c r="P21" s="58" t="e">
        <f t="shared" si="35"/>
        <v>#VALUE!</v>
      </c>
      <c r="Q21" s="58" t="e">
        <f t="shared" si="35"/>
        <v>#VALUE!</v>
      </c>
      <c r="R21" s="58" t="e">
        <f t="shared" si="35"/>
        <v>#VALUE!</v>
      </c>
      <c r="S21" s="58" t="e">
        <f t="shared" si="35"/>
        <v>#VALUE!</v>
      </c>
      <c r="T21" s="58" t="e">
        <f t="shared" si="35"/>
        <v>#VALUE!</v>
      </c>
      <c r="U21" s="58" t="e">
        <f t="shared" si="35"/>
        <v>#VALUE!</v>
      </c>
      <c r="V21" s="59" t="e">
        <f t="shared" si="35"/>
        <v>#VALUE!</v>
      </c>
      <c r="X21" s="14" t="s">
        <v>26</v>
      </c>
      <c r="Y21" s="56" t="e">
        <f t="shared" ref="Y21:AG21" si="36">B21/$B100</f>
        <v>#VALUE!</v>
      </c>
      <c r="Z21" s="55" t="e">
        <f t="shared" si="36"/>
        <v>#VALUE!</v>
      </c>
      <c r="AA21" s="55" t="e">
        <f t="shared" si="36"/>
        <v>#VALUE!</v>
      </c>
      <c r="AB21" s="55" t="e">
        <f t="shared" si="36"/>
        <v>#VALUE!</v>
      </c>
      <c r="AC21" s="55" t="e">
        <f t="shared" si="36"/>
        <v>#VALUE!</v>
      </c>
      <c r="AD21" s="55" t="e">
        <f t="shared" si="36"/>
        <v>#VALUE!</v>
      </c>
      <c r="AE21" s="55" t="e">
        <f t="shared" si="36"/>
        <v>#VALUE!</v>
      </c>
      <c r="AF21" s="55" t="e">
        <f t="shared" si="36"/>
        <v>#VALUE!</v>
      </c>
      <c r="AG21" s="55" t="e">
        <f t="shared" si="36"/>
        <v>#VALUE!</v>
      </c>
      <c r="AH21" s="54" t="e">
        <f t="shared" si="6"/>
        <v>#VALUE!</v>
      </c>
      <c r="AI21" s="55" t="e">
        <f t="shared" ref="AI21:AI34" si="37">L21/$K100</f>
        <v>#VALUE!</v>
      </c>
      <c r="AJ21" s="55" t="e">
        <f t="shared" ref="AJ21:AJ34" si="38">M21/$K100</f>
        <v>#VALUE!</v>
      </c>
      <c r="AK21" s="55" t="e">
        <f t="shared" ref="AK21:AK34" si="39">N21/$K100</f>
        <v>#VALUE!</v>
      </c>
      <c r="AL21" s="55" t="e">
        <f t="shared" ref="AL21:AL34" si="40">O21/$K100</f>
        <v>#VALUE!</v>
      </c>
      <c r="AM21" s="55" t="e">
        <f t="shared" ref="AM21:AM34" si="41">P21/$K100</f>
        <v>#VALUE!</v>
      </c>
      <c r="AN21" s="55" t="e">
        <f t="shared" ref="AN21:AN34" si="42">Q21/$K100</f>
        <v>#VALUE!</v>
      </c>
      <c r="AO21" s="55" t="e">
        <f t="shared" ref="AO21:AO34" si="43">R21/$K100</f>
        <v>#VALUE!</v>
      </c>
      <c r="AP21" s="55" t="e">
        <f t="shared" ref="AP21:AP34" si="44">S21/$K100</f>
        <v>#VALUE!</v>
      </c>
      <c r="AQ21" s="55" t="e">
        <f t="shared" ref="AQ21:AQ34" si="45">T21/$K100</f>
        <v>#VALUE!</v>
      </c>
      <c r="AR21" s="55" t="e">
        <f t="shared" ref="AR21:AR34" si="46">U21/$K100</f>
        <v>#VALUE!</v>
      </c>
      <c r="AS21" s="54" t="e">
        <f t="shared" si="3"/>
        <v>#VALUE!</v>
      </c>
    </row>
    <row r="22" spans="1:45" x14ac:dyDescent="0.25">
      <c r="A22" s="14" t="s">
        <v>27</v>
      </c>
      <c r="B22" s="25" t="e">
        <f t="shared" ref="B22:V22" si="47">B101-B60</f>
        <v>#VALUE!</v>
      </c>
      <c r="C22" s="26" t="e">
        <f t="shared" si="47"/>
        <v>#VALUE!</v>
      </c>
      <c r="D22" s="26" t="e">
        <f t="shared" si="47"/>
        <v>#VALUE!</v>
      </c>
      <c r="E22" s="26" t="e">
        <f t="shared" si="47"/>
        <v>#VALUE!</v>
      </c>
      <c r="F22" s="26" t="e">
        <f t="shared" si="47"/>
        <v>#VALUE!</v>
      </c>
      <c r="G22" s="26" t="e">
        <f t="shared" si="47"/>
        <v>#VALUE!</v>
      </c>
      <c r="H22" s="26" t="e">
        <f t="shared" si="47"/>
        <v>#VALUE!</v>
      </c>
      <c r="I22" s="26" t="e">
        <f t="shared" si="47"/>
        <v>#VALUE!</v>
      </c>
      <c r="J22" s="26" t="e">
        <f t="shared" si="47"/>
        <v>#VALUE!</v>
      </c>
      <c r="K22" s="27" t="e">
        <f t="shared" si="47"/>
        <v>#VALUE!</v>
      </c>
      <c r="L22" s="26" t="e">
        <f t="shared" si="47"/>
        <v>#VALUE!</v>
      </c>
      <c r="M22" s="26" t="e">
        <f t="shared" si="47"/>
        <v>#VALUE!</v>
      </c>
      <c r="N22" s="26" t="e">
        <f t="shared" si="47"/>
        <v>#VALUE!</v>
      </c>
      <c r="O22" s="26" t="e">
        <f t="shared" si="47"/>
        <v>#VALUE!</v>
      </c>
      <c r="P22" s="26" t="e">
        <f t="shared" si="47"/>
        <v>#VALUE!</v>
      </c>
      <c r="Q22" s="26" t="e">
        <f t="shared" si="47"/>
        <v>#VALUE!</v>
      </c>
      <c r="R22" s="26" t="e">
        <f t="shared" si="47"/>
        <v>#VALUE!</v>
      </c>
      <c r="S22" s="26" t="e">
        <f t="shared" si="47"/>
        <v>#VALUE!</v>
      </c>
      <c r="T22" s="26" t="e">
        <f t="shared" si="47"/>
        <v>#VALUE!</v>
      </c>
      <c r="U22" s="26" t="e">
        <f t="shared" si="47"/>
        <v>#VALUE!</v>
      </c>
      <c r="V22" s="27" t="e">
        <f t="shared" si="47"/>
        <v>#VALUE!</v>
      </c>
      <c r="X22" s="14" t="s">
        <v>27</v>
      </c>
      <c r="Y22" s="56" t="e">
        <f t="shared" ref="Y22:AG22" si="48">B22/$B101</f>
        <v>#VALUE!</v>
      </c>
      <c r="Z22" s="55" t="e">
        <f t="shared" si="48"/>
        <v>#VALUE!</v>
      </c>
      <c r="AA22" s="55" t="e">
        <f t="shared" si="48"/>
        <v>#VALUE!</v>
      </c>
      <c r="AB22" s="55" t="e">
        <f t="shared" si="48"/>
        <v>#VALUE!</v>
      </c>
      <c r="AC22" s="55" t="e">
        <f t="shared" si="48"/>
        <v>#VALUE!</v>
      </c>
      <c r="AD22" s="55" t="e">
        <f t="shared" si="48"/>
        <v>#VALUE!</v>
      </c>
      <c r="AE22" s="55" t="e">
        <f t="shared" si="48"/>
        <v>#VALUE!</v>
      </c>
      <c r="AF22" s="55" t="e">
        <f t="shared" si="48"/>
        <v>#VALUE!</v>
      </c>
      <c r="AG22" s="55" t="e">
        <f t="shared" si="48"/>
        <v>#VALUE!</v>
      </c>
      <c r="AH22" s="54" t="e">
        <f t="shared" si="6"/>
        <v>#VALUE!</v>
      </c>
      <c r="AI22" s="55" t="e">
        <f t="shared" si="37"/>
        <v>#VALUE!</v>
      </c>
      <c r="AJ22" s="55" t="e">
        <f t="shared" si="38"/>
        <v>#VALUE!</v>
      </c>
      <c r="AK22" s="55" t="e">
        <f t="shared" si="39"/>
        <v>#VALUE!</v>
      </c>
      <c r="AL22" s="55" t="e">
        <f t="shared" si="40"/>
        <v>#VALUE!</v>
      </c>
      <c r="AM22" s="55" t="e">
        <f t="shared" si="41"/>
        <v>#VALUE!</v>
      </c>
      <c r="AN22" s="55" t="e">
        <f t="shared" si="42"/>
        <v>#VALUE!</v>
      </c>
      <c r="AO22" s="55" t="e">
        <f t="shared" si="43"/>
        <v>#VALUE!</v>
      </c>
      <c r="AP22" s="55" t="e">
        <f t="shared" si="44"/>
        <v>#VALUE!</v>
      </c>
      <c r="AQ22" s="55" t="e">
        <f t="shared" si="45"/>
        <v>#VALUE!</v>
      </c>
      <c r="AR22" s="55" t="e">
        <f t="shared" si="46"/>
        <v>#VALUE!</v>
      </c>
      <c r="AS22" s="54" t="e">
        <f t="shared" si="3"/>
        <v>#VALUE!</v>
      </c>
    </row>
    <row r="23" spans="1:45" x14ac:dyDescent="0.25">
      <c r="A23" s="14" t="s">
        <v>28</v>
      </c>
      <c r="B23" s="57" t="e">
        <f t="shared" ref="B23:V23" si="49">B102-B61</f>
        <v>#VALUE!</v>
      </c>
      <c r="C23" s="58" t="e">
        <f t="shared" si="49"/>
        <v>#VALUE!</v>
      </c>
      <c r="D23" s="58" t="e">
        <f t="shared" si="49"/>
        <v>#VALUE!</v>
      </c>
      <c r="E23" s="58" t="e">
        <f t="shared" si="49"/>
        <v>#VALUE!</v>
      </c>
      <c r="F23" s="58" t="e">
        <f t="shared" si="49"/>
        <v>#VALUE!</v>
      </c>
      <c r="G23" s="58" t="e">
        <f t="shared" si="49"/>
        <v>#VALUE!</v>
      </c>
      <c r="H23" s="58" t="e">
        <f t="shared" si="49"/>
        <v>#VALUE!</v>
      </c>
      <c r="I23" s="58" t="e">
        <f t="shared" si="49"/>
        <v>#VALUE!</v>
      </c>
      <c r="J23" s="58" t="e">
        <f t="shared" si="49"/>
        <v>#VALUE!</v>
      </c>
      <c r="K23" s="59" t="e">
        <f t="shared" si="49"/>
        <v>#VALUE!</v>
      </c>
      <c r="L23" s="58" t="e">
        <f t="shared" si="49"/>
        <v>#VALUE!</v>
      </c>
      <c r="M23" s="58" t="e">
        <f t="shared" si="49"/>
        <v>#VALUE!</v>
      </c>
      <c r="N23" s="58" t="e">
        <f t="shared" si="49"/>
        <v>#VALUE!</v>
      </c>
      <c r="O23" s="58" t="e">
        <f t="shared" si="49"/>
        <v>#VALUE!</v>
      </c>
      <c r="P23" s="58" t="e">
        <f t="shared" si="49"/>
        <v>#VALUE!</v>
      </c>
      <c r="Q23" s="58" t="e">
        <f t="shared" si="49"/>
        <v>#VALUE!</v>
      </c>
      <c r="R23" s="58" t="e">
        <f t="shared" si="49"/>
        <v>#VALUE!</v>
      </c>
      <c r="S23" s="58" t="e">
        <f t="shared" si="49"/>
        <v>#VALUE!</v>
      </c>
      <c r="T23" s="58" t="e">
        <f t="shared" si="49"/>
        <v>#VALUE!</v>
      </c>
      <c r="U23" s="58" t="e">
        <f t="shared" si="49"/>
        <v>#VALUE!</v>
      </c>
      <c r="V23" s="59" t="e">
        <f t="shared" si="49"/>
        <v>#VALUE!</v>
      </c>
      <c r="X23" s="14" t="s">
        <v>28</v>
      </c>
      <c r="Y23" s="56" t="e">
        <f t="shared" ref="Y23:AG23" si="50">B23/$B102</f>
        <v>#VALUE!</v>
      </c>
      <c r="Z23" s="55" t="e">
        <f t="shared" si="50"/>
        <v>#VALUE!</v>
      </c>
      <c r="AA23" s="55" t="e">
        <f t="shared" si="50"/>
        <v>#VALUE!</v>
      </c>
      <c r="AB23" s="55" t="e">
        <f t="shared" si="50"/>
        <v>#VALUE!</v>
      </c>
      <c r="AC23" s="55" t="e">
        <f t="shared" si="50"/>
        <v>#VALUE!</v>
      </c>
      <c r="AD23" s="55" t="e">
        <f t="shared" si="50"/>
        <v>#VALUE!</v>
      </c>
      <c r="AE23" s="55" t="e">
        <f t="shared" si="50"/>
        <v>#VALUE!</v>
      </c>
      <c r="AF23" s="55" t="e">
        <f t="shared" si="50"/>
        <v>#VALUE!</v>
      </c>
      <c r="AG23" s="55" t="e">
        <f t="shared" si="50"/>
        <v>#VALUE!</v>
      </c>
      <c r="AH23" s="54" t="e">
        <f t="shared" si="6"/>
        <v>#VALUE!</v>
      </c>
      <c r="AI23" s="55" t="e">
        <f t="shared" si="37"/>
        <v>#VALUE!</v>
      </c>
      <c r="AJ23" s="55" t="e">
        <f t="shared" si="38"/>
        <v>#VALUE!</v>
      </c>
      <c r="AK23" s="55" t="e">
        <f t="shared" si="39"/>
        <v>#VALUE!</v>
      </c>
      <c r="AL23" s="55" t="e">
        <f t="shared" si="40"/>
        <v>#VALUE!</v>
      </c>
      <c r="AM23" s="55" t="e">
        <f t="shared" si="41"/>
        <v>#VALUE!</v>
      </c>
      <c r="AN23" s="55" t="e">
        <f t="shared" si="42"/>
        <v>#VALUE!</v>
      </c>
      <c r="AO23" s="55" t="e">
        <f t="shared" si="43"/>
        <v>#VALUE!</v>
      </c>
      <c r="AP23" s="55" t="e">
        <f t="shared" si="44"/>
        <v>#VALUE!</v>
      </c>
      <c r="AQ23" s="55" t="e">
        <f t="shared" si="45"/>
        <v>#VALUE!</v>
      </c>
      <c r="AR23" s="55" t="e">
        <f t="shared" si="46"/>
        <v>#VALUE!</v>
      </c>
      <c r="AS23" s="54" t="e">
        <f t="shared" si="3"/>
        <v>#VALUE!</v>
      </c>
    </row>
    <row r="24" spans="1:45" x14ac:dyDescent="0.25">
      <c r="A24" s="14" t="s">
        <v>29</v>
      </c>
      <c r="B24" s="25" t="e">
        <f t="shared" ref="B24:V24" si="51">B103-B62</f>
        <v>#VALUE!</v>
      </c>
      <c r="C24" s="26" t="e">
        <f t="shared" si="51"/>
        <v>#VALUE!</v>
      </c>
      <c r="D24" s="26" t="e">
        <f t="shared" si="51"/>
        <v>#VALUE!</v>
      </c>
      <c r="E24" s="26" t="e">
        <f t="shared" si="51"/>
        <v>#VALUE!</v>
      </c>
      <c r="F24" s="26" t="e">
        <f t="shared" si="51"/>
        <v>#VALUE!</v>
      </c>
      <c r="G24" s="26" t="e">
        <f t="shared" si="51"/>
        <v>#VALUE!</v>
      </c>
      <c r="H24" s="26" t="e">
        <f t="shared" si="51"/>
        <v>#VALUE!</v>
      </c>
      <c r="I24" s="26" t="e">
        <f t="shared" si="51"/>
        <v>#VALUE!</v>
      </c>
      <c r="J24" s="26" t="e">
        <f t="shared" si="51"/>
        <v>#VALUE!</v>
      </c>
      <c r="K24" s="27" t="e">
        <f t="shared" si="51"/>
        <v>#VALUE!</v>
      </c>
      <c r="L24" s="26" t="e">
        <f t="shared" si="51"/>
        <v>#VALUE!</v>
      </c>
      <c r="M24" s="26" t="e">
        <f t="shared" si="51"/>
        <v>#VALUE!</v>
      </c>
      <c r="N24" s="26" t="e">
        <f t="shared" si="51"/>
        <v>#VALUE!</v>
      </c>
      <c r="O24" s="26" t="e">
        <f t="shared" si="51"/>
        <v>#VALUE!</v>
      </c>
      <c r="P24" s="26" t="e">
        <f t="shared" si="51"/>
        <v>#VALUE!</v>
      </c>
      <c r="Q24" s="26" t="e">
        <f t="shared" si="51"/>
        <v>#VALUE!</v>
      </c>
      <c r="R24" s="26" t="e">
        <f t="shared" si="51"/>
        <v>#VALUE!</v>
      </c>
      <c r="S24" s="26" t="e">
        <f t="shared" si="51"/>
        <v>#VALUE!</v>
      </c>
      <c r="T24" s="26" t="e">
        <f t="shared" si="51"/>
        <v>#VALUE!</v>
      </c>
      <c r="U24" s="26" t="e">
        <f t="shared" si="51"/>
        <v>#VALUE!</v>
      </c>
      <c r="V24" s="27" t="e">
        <f t="shared" si="51"/>
        <v>#VALUE!</v>
      </c>
      <c r="X24" s="14" t="s">
        <v>29</v>
      </c>
      <c r="Y24" s="56" t="e">
        <f t="shared" ref="Y24:AG24" si="52">B24/$B103</f>
        <v>#VALUE!</v>
      </c>
      <c r="Z24" s="55" t="e">
        <f t="shared" si="52"/>
        <v>#VALUE!</v>
      </c>
      <c r="AA24" s="55" t="e">
        <f t="shared" si="52"/>
        <v>#VALUE!</v>
      </c>
      <c r="AB24" s="55" t="e">
        <f t="shared" si="52"/>
        <v>#VALUE!</v>
      </c>
      <c r="AC24" s="55" t="e">
        <f t="shared" si="52"/>
        <v>#VALUE!</v>
      </c>
      <c r="AD24" s="55" t="e">
        <f t="shared" si="52"/>
        <v>#VALUE!</v>
      </c>
      <c r="AE24" s="55" t="e">
        <f t="shared" si="52"/>
        <v>#VALUE!</v>
      </c>
      <c r="AF24" s="55" t="e">
        <f t="shared" si="52"/>
        <v>#VALUE!</v>
      </c>
      <c r="AG24" s="55" t="e">
        <f t="shared" si="52"/>
        <v>#VALUE!</v>
      </c>
      <c r="AH24" s="54" t="e">
        <f t="shared" si="6"/>
        <v>#VALUE!</v>
      </c>
      <c r="AI24" s="55" t="e">
        <f t="shared" si="37"/>
        <v>#VALUE!</v>
      </c>
      <c r="AJ24" s="55" t="e">
        <f t="shared" si="38"/>
        <v>#VALUE!</v>
      </c>
      <c r="AK24" s="55" t="e">
        <f t="shared" si="39"/>
        <v>#VALUE!</v>
      </c>
      <c r="AL24" s="55" t="e">
        <f t="shared" si="40"/>
        <v>#VALUE!</v>
      </c>
      <c r="AM24" s="55" t="e">
        <f t="shared" si="41"/>
        <v>#VALUE!</v>
      </c>
      <c r="AN24" s="55" t="e">
        <f t="shared" si="42"/>
        <v>#VALUE!</v>
      </c>
      <c r="AO24" s="55" t="e">
        <f t="shared" si="43"/>
        <v>#VALUE!</v>
      </c>
      <c r="AP24" s="55" t="e">
        <f t="shared" si="44"/>
        <v>#VALUE!</v>
      </c>
      <c r="AQ24" s="55" t="e">
        <f t="shared" si="45"/>
        <v>#VALUE!</v>
      </c>
      <c r="AR24" s="55" t="e">
        <f t="shared" si="46"/>
        <v>#VALUE!</v>
      </c>
      <c r="AS24" s="54" t="e">
        <f t="shared" si="3"/>
        <v>#VALUE!</v>
      </c>
    </row>
    <row r="25" spans="1:45" x14ac:dyDescent="0.25">
      <c r="A25" s="14" t="s">
        <v>30</v>
      </c>
      <c r="B25" s="57" t="e">
        <f t="shared" ref="B25:V25" si="53">B104-B63</f>
        <v>#VALUE!</v>
      </c>
      <c r="C25" s="58" t="e">
        <f t="shared" si="53"/>
        <v>#VALUE!</v>
      </c>
      <c r="D25" s="58" t="e">
        <f t="shared" si="53"/>
        <v>#VALUE!</v>
      </c>
      <c r="E25" s="58" t="e">
        <f t="shared" si="53"/>
        <v>#VALUE!</v>
      </c>
      <c r="F25" s="58" t="e">
        <f t="shared" si="53"/>
        <v>#VALUE!</v>
      </c>
      <c r="G25" s="58" t="e">
        <f t="shared" si="53"/>
        <v>#VALUE!</v>
      </c>
      <c r="H25" s="58" t="e">
        <f t="shared" si="53"/>
        <v>#VALUE!</v>
      </c>
      <c r="I25" s="58" t="e">
        <f t="shared" si="53"/>
        <v>#VALUE!</v>
      </c>
      <c r="J25" s="58" t="e">
        <f t="shared" si="53"/>
        <v>#VALUE!</v>
      </c>
      <c r="K25" s="59" t="e">
        <f t="shared" si="53"/>
        <v>#VALUE!</v>
      </c>
      <c r="L25" s="58" t="e">
        <f t="shared" si="53"/>
        <v>#VALUE!</v>
      </c>
      <c r="M25" s="58" t="e">
        <f t="shared" si="53"/>
        <v>#VALUE!</v>
      </c>
      <c r="N25" s="58" t="e">
        <f t="shared" si="53"/>
        <v>#VALUE!</v>
      </c>
      <c r="O25" s="58" t="e">
        <f t="shared" si="53"/>
        <v>#VALUE!</v>
      </c>
      <c r="P25" s="58" t="e">
        <f t="shared" si="53"/>
        <v>#VALUE!</v>
      </c>
      <c r="Q25" s="58" t="e">
        <f t="shared" si="53"/>
        <v>#VALUE!</v>
      </c>
      <c r="R25" s="58" t="e">
        <f t="shared" si="53"/>
        <v>#VALUE!</v>
      </c>
      <c r="S25" s="58" t="e">
        <f t="shared" si="53"/>
        <v>#VALUE!</v>
      </c>
      <c r="T25" s="58" t="e">
        <f t="shared" si="53"/>
        <v>#VALUE!</v>
      </c>
      <c r="U25" s="58" t="e">
        <f t="shared" si="53"/>
        <v>#VALUE!</v>
      </c>
      <c r="V25" s="59" t="e">
        <f t="shared" si="53"/>
        <v>#VALUE!</v>
      </c>
      <c r="X25" s="14" t="s">
        <v>30</v>
      </c>
      <c r="Y25" s="56" t="e">
        <f t="shared" ref="Y25:AG25" si="54">B25/$B104</f>
        <v>#VALUE!</v>
      </c>
      <c r="Z25" s="55" t="e">
        <f t="shared" si="54"/>
        <v>#VALUE!</v>
      </c>
      <c r="AA25" s="55" t="e">
        <f t="shared" si="54"/>
        <v>#VALUE!</v>
      </c>
      <c r="AB25" s="55" t="e">
        <f t="shared" si="54"/>
        <v>#VALUE!</v>
      </c>
      <c r="AC25" s="55" t="e">
        <f t="shared" si="54"/>
        <v>#VALUE!</v>
      </c>
      <c r="AD25" s="55" t="e">
        <f t="shared" si="54"/>
        <v>#VALUE!</v>
      </c>
      <c r="AE25" s="55" t="e">
        <f t="shared" si="54"/>
        <v>#VALUE!</v>
      </c>
      <c r="AF25" s="55" t="e">
        <f t="shared" si="54"/>
        <v>#VALUE!</v>
      </c>
      <c r="AG25" s="55" t="e">
        <f t="shared" si="54"/>
        <v>#VALUE!</v>
      </c>
      <c r="AH25" s="54" t="e">
        <f t="shared" si="6"/>
        <v>#VALUE!</v>
      </c>
      <c r="AI25" s="55" t="e">
        <f t="shared" si="37"/>
        <v>#VALUE!</v>
      </c>
      <c r="AJ25" s="55" t="e">
        <f t="shared" si="38"/>
        <v>#VALUE!</v>
      </c>
      <c r="AK25" s="55" t="e">
        <f t="shared" si="39"/>
        <v>#VALUE!</v>
      </c>
      <c r="AL25" s="55" t="e">
        <f t="shared" si="40"/>
        <v>#VALUE!</v>
      </c>
      <c r="AM25" s="55" t="e">
        <f t="shared" si="41"/>
        <v>#VALUE!</v>
      </c>
      <c r="AN25" s="55" t="e">
        <f t="shared" si="42"/>
        <v>#VALUE!</v>
      </c>
      <c r="AO25" s="55" t="e">
        <f t="shared" si="43"/>
        <v>#VALUE!</v>
      </c>
      <c r="AP25" s="55" t="e">
        <f t="shared" si="44"/>
        <v>#VALUE!</v>
      </c>
      <c r="AQ25" s="55" t="e">
        <f t="shared" si="45"/>
        <v>#VALUE!</v>
      </c>
      <c r="AR25" s="55" t="e">
        <f t="shared" si="46"/>
        <v>#VALUE!</v>
      </c>
      <c r="AS25" s="54" t="e">
        <f t="shared" si="3"/>
        <v>#VALUE!</v>
      </c>
    </row>
    <row r="26" spans="1:45" x14ac:dyDescent="0.25">
      <c r="A26" s="14" t="s">
        <v>31</v>
      </c>
      <c r="B26" s="25" t="e">
        <f t="shared" ref="B26:V26" si="55">B105-B64</f>
        <v>#VALUE!</v>
      </c>
      <c r="C26" s="26" t="e">
        <f t="shared" si="55"/>
        <v>#VALUE!</v>
      </c>
      <c r="D26" s="26" t="e">
        <f t="shared" si="55"/>
        <v>#VALUE!</v>
      </c>
      <c r="E26" s="26" t="e">
        <f t="shared" si="55"/>
        <v>#VALUE!</v>
      </c>
      <c r="F26" s="26" t="e">
        <f t="shared" si="55"/>
        <v>#VALUE!</v>
      </c>
      <c r="G26" s="26" t="e">
        <f t="shared" si="55"/>
        <v>#VALUE!</v>
      </c>
      <c r="H26" s="26" t="e">
        <f t="shared" si="55"/>
        <v>#VALUE!</v>
      </c>
      <c r="I26" s="26" t="e">
        <f t="shared" si="55"/>
        <v>#VALUE!</v>
      </c>
      <c r="J26" s="26" t="e">
        <f t="shared" si="55"/>
        <v>#VALUE!</v>
      </c>
      <c r="K26" s="27" t="e">
        <f t="shared" si="55"/>
        <v>#VALUE!</v>
      </c>
      <c r="L26" s="26" t="e">
        <f t="shared" si="55"/>
        <v>#VALUE!</v>
      </c>
      <c r="M26" s="26" t="e">
        <f t="shared" si="55"/>
        <v>#VALUE!</v>
      </c>
      <c r="N26" s="26" t="e">
        <f t="shared" si="55"/>
        <v>#VALUE!</v>
      </c>
      <c r="O26" s="26" t="e">
        <f t="shared" si="55"/>
        <v>#VALUE!</v>
      </c>
      <c r="P26" s="26" t="e">
        <f t="shared" si="55"/>
        <v>#VALUE!</v>
      </c>
      <c r="Q26" s="26" t="e">
        <f t="shared" si="55"/>
        <v>#VALUE!</v>
      </c>
      <c r="R26" s="26" t="e">
        <f t="shared" si="55"/>
        <v>#VALUE!</v>
      </c>
      <c r="S26" s="26" t="e">
        <f t="shared" si="55"/>
        <v>#VALUE!</v>
      </c>
      <c r="T26" s="26" t="e">
        <f t="shared" si="55"/>
        <v>#VALUE!</v>
      </c>
      <c r="U26" s="26" t="e">
        <f t="shared" si="55"/>
        <v>#VALUE!</v>
      </c>
      <c r="V26" s="27" t="e">
        <f t="shared" si="55"/>
        <v>#VALUE!</v>
      </c>
      <c r="X26" s="14" t="s">
        <v>31</v>
      </c>
      <c r="Y26" s="56" t="e">
        <f t="shared" ref="Y26:AG26" si="56">B26/$B105</f>
        <v>#VALUE!</v>
      </c>
      <c r="Z26" s="55" t="e">
        <f t="shared" si="56"/>
        <v>#VALUE!</v>
      </c>
      <c r="AA26" s="55" t="e">
        <f t="shared" si="56"/>
        <v>#VALUE!</v>
      </c>
      <c r="AB26" s="55" t="e">
        <f t="shared" si="56"/>
        <v>#VALUE!</v>
      </c>
      <c r="AC26" s="55" t="e">
        <f t="shared" si="56"/>
        <v>#VALUE!</v>
      </c>
      <c r="AD26" s="55" t="e">
        <f t="shared" si="56"/>
        <v>#VALUE!</v>
      </c>
      <c r="AE26" s="55" t="e">
        <f t="shared" si="56"/>
        <v>#VALUE!</v>
      </c>
      <c r="AF26" s="55" t="e">
        <f t="shared" si="56"/>
        <v>#VALUE!</v>
      </c>
      <c r="AG26" s="55" t="e">
        <f t="shared" si="56"/>
        <v>#VALUE!</v>
      </c>
      <c r="AH26" s="54" t="e">
        <f t="shared" si="6"/>
        <v>#VALUE!</v>
      </c>
      <c r="AI26" s="55" t="e">
        <f t="shared" si="37"/>
        <v>#VALUE!</v>
      </c>
      <c r="AJ26" s="55" t="e">
        <f t="shared" si="38"/>
        <v>#VALUE!</v>
      </c>
      <c r="AK26" s="55" t="e">
        <f t="shared" si="39"/>
        <v>#VALUE!</v>
      </c>
      <c r="AL26" s="55" t="e">
        <f t="shared" si="40"/>
        <v>#VALUE!</v>
      </c>
      <c r="AM26" s="55" t="e">
        <f t="shared" si="41"/>
        <v>#VALUE!</v>
      </c>
      <c r="AN26" s="55" t="e">
        <f t="shared" si="42"/>
        <v>#VALUE!</v>
      </c>
      <c r="AO26" s="55" t="e">
        <f t="shared" si="43"/>
        <v>#VALUE!</v>
      </c>
      <c r="AP26" s="55" t="e">
        <f t="shared" si="44"/>
        <v>#VALUE!</v>
      </c>
      <c r="AQ26" s="55" t="e">
        <f t="shared" si="45"/>
        <v>#VALUE!</v>
      </c>
      <c r="AR26" s="55" t="e">
        <f t="shared" si="46"/>
        <v>#VALUE!</v>
      </c>
      <c r="AS26" s="54" t="e">
        <f t="shared" si="3"/>
        <v>#VALUE!</v>
      </c>
    </row>
    <row r="27" spans="1:45" x14ac:dyDescent="0.25">
      <c r="A27" s="14" t="s">
        <v>32</v>
      </c>
      <c r="B27" s="57" t="e">
        <f t="shared" ref="B27:V27" si="57">B106-B65</f>
        <v>#VALUE!</v>
      </c>
      <c r="C27" s="58" t="e">
        <f t="shared" si="57"/>
        <v>#VALUE!</v>
      </c>
      <c r="D27" s="58" t="e">
        <f t="shared" si="57"/>
        <v>#VALUE!</v>
      </c>
      <c r="E27" s="58" t="e">
        <f t="shared" si="57"/>
        <v>#VALUE!</v>
      </c>
      <c r="F27" s="58" t="e">
        <f t="shared" si="57"/>
        <v>#VALUE!</v>
      </c>
      <c r="G27" s="58" t="e">
        <f t="shared" si="57"/>
        <v>#VALUE!</v>
      </c>
      <c r="H27" s="58" t="e">
        <f t="shared" si="57"/>
        <v>#VALUE!</v>
      </c>
      <c r="I27" s="58" t="e">
        <f t="shared" si="57"/>
        <v>#VALUE!</v>
      </c>
      <c r="J27" s="58" t="e">
        <f t="shared" si="57"/>
        <v>#VALUE!</v>
      </c>
      <c r="K27" s="59" t="e">
        <f t="shared" si="57"/>
        <v>#VALUE!</v>
      </c>
      <c r="L27" s="58" t="e">
        <f t="shared" si="57"/>
        <v>#VALUE!</v>
      </c>
      <c r="M27" s="58" t="e">
        <f t="shared" si="57"/>
        <v>#VALUE!</v>
      </c>
      <c r="N27" s="58" t="e">
        <f t="shared" si="57"/>
        <v>#VALUE!</v>
      </c>
      <c r="O27" s="58" t="e">
        <f t="shared" si="57"/>
        <v>#VALUE!</v>
      </c>
      <c r="P27" s="58" t="e">
        <f t="shared" si="57"/>
        <v>#VALUE!</v>
      </c>
      <c r="Q27" s="58" t="e">
        <f t="shared" si="57"/>
        <v>#VALUE!</v>
      </c>
      <c r="R27" s="58" t="e">
        <f t="shared" si="57"/>
        <v>#VALUE!</v>
      </c>
      <c r="S27" s="58" t="e">
        <f t="shared" si="57"/>
        <v>#VALUE!</v>
      </c>
      <c r="T27" s="58" t="e">
        <f t="shared" si="57"/>
        <v>#VALUE!</v>
      </c>
      <c r="U27" s="58" t="e">
        <f t="shared" si="57"/>
        <v>#VALUE!</v>
      </c>
      <c r="V27" s="59" t="e">
        <f t="shared" si="57"/>
        <v>#VALUE!</v>
      </c>
      <c r="X27" s="14" t="s">
        <v>32</v>
      </c>
      <c r="Y27" s="56" t="e">
        <f t="shared" ref="Y27:AG27" si="58">B27/$B106</f>
        <v>#VALUE!</v>
      </c>
      <c r="Z27" s="55" t="e">
        <f t="shared" si="58"/>
        <v>#VALUE!</v>
      </c>
      <c r="AA27" s="55" t="e">
        <f t="shared" si="58"/>
        <v>#VALUE!</v>
      </c>
      <c r="AB27" s="55" t="e">
        <f t="shared" si="58"/>
        <v>#VALUE!</v>
      </c>
      <c r="AC27" s="55" t="e">
        <f t="shared" si="58"/>
        <v>#VALUE!</v>
      </c>
      <c r="AD27" s="55" t="e">
        <f t="shared" si="58"/>
        <v>#VALUE!</v>
      </c>
      <c r="AE27" s="55" t="e">
        <f t="shared" si="58"/>
        <v>#VALUE!</v>
      </c>
      <c r="AF27" s="55" t="e">
        <f t="shared" si="58"/>
        <v>#VALUE!</v>
      </c>
      <c r="AG27" s="55" t="e">
        <f t="shared" si="58"/>
        <v>#VALUE!</v>
      </c>
      <c r="AH27" s="54" t="e">
        <f t="shared" si="6"/>
        <v>#VALUE!</v>
      </c>
      <c r="AI27" s="55" t="e">
        <f t="shared" si="37"/>
        <v>#VALUE!</v>
      </c>
      <c r="AJ27" s="55" t="e">
        <f t="shared" si="38"/>
        <v>#VALUE!</v>
      </c>
      <c r="AK27" s="55" t="e">
        <f t="shared" si="39"/>
        <v>#VALUE!</v>
      </c>
      <c r="AL27" s="55" t="e">
        <f t="shared" si="40"/>
        <v>#VALUE!</v>
      </c>
      <c r="AM27" s="55" t="e">
        <f t="shared" si="41"/>
        <v>#VALUE!</v>
      </c>
      <c r="AN27" s="55" t="e">
        <f t="shared" si="42"/>
        <v>#VALUE!</v>
      </c>
      <c r="AO27" s="55" t="e">
        <f t="shared" si="43"/>
        <v>#VALUE!</v>
      </c>
      <c r="AP27" s="55" t="e">
        <f t="shared" si="44"/>
        <v>#VALUE!</v>
      </c>
      <c r="AQ27" s="55" t="e">
        <f t="shared" si="45"/>
        <v>#VALUE!</v>
      </c>
      <c r="AR27" s="55" t="e">
        <f t="shared" si="46"/>
        <v>#VALUE!</v>
      </c>
      <c r="AS27" s="54" t="e">
        <f t="shared" si="3"/>
        <v>#VALUE!</v>
      </c>
    </row>
    <row r="28" spans="1:45" x14ac:dyDescent="0.25">
      <c r="A28" s="14" t="s">
        <v>33</v>
      </c>
      <c r="B28" s="25" t="e">
        <f t="shared" ref="B28:V28" si="59">B107-B66</f>
        <v>#VALUE!</v>
      </c>
      <c r="C28" s="26" t="e">
        <f t="shared" si="59"/>
        <v>#VALUE!</v>
      </c>
      <c r="D28" s="26" t="e">
        <f t="shared" si="59"/>
        <v>#VALUE!</v>
      </c>
      <c r="E28" s="26" t="e">
        <f t="shared" si="59"/>
        <v>#VALUE!</v>
      </c>
      <c r="F28" s="26" t="e">
        <f t="shared" si="59"/>
        <v>#VALUE!</v>
      </c>
      <c r="G28" s="26" t="e">
        <f t="shared" si="59"/>
        <v>#VALUE!</v>
      </c>
      <c r="H28" s="26" t="e">
        <f t="shared" si="59"/>
        <v>#VALUE!</v>
      </c>
      <c r="I28" s="26" t="e">
        <f t="shared" si="59"/>
        <v>#VALUE!</v>
      </c>
      <c r="J28" s="26" t="e">
        <f t="shared" si="59"/>
        <v>#VALUE!</v>
      </c>
      <c r="K28" s="27" t="e">
        <f t="shared" si="59"/>
        <v>#VALUE!</v>
      </c>
      <c r="L28" s="26" t="e">
        <f t="shared" si="59"/>
        <v>#VALUE!</v>
      </c>
      <c r="M28" s="26" t="e">
        <f t="shared" si="59"/>
        <v>#VALUE!</v>
      </c>
      <c r="N28" s="26" t="e">
        <f t="shared" si="59"/>
        <v>#VALUE!</v>
      </c>
      <c r="O28" s="26" t="e">
        <f t="shared" si="59"/>
        <v>#VALUE!</v>
      </c>
      <c r="P28" s="26" t="e">
        <f t="shared" si="59"/>
        <v>#VALUE!</v>
      </c>
      <c r="Q28" s="26" t="e">
        <f t="shared" si="59"/>
        <v>#VALUE!</v>
      </c>
      <c r="R28" s="26" t="e">
        <f t="shared" si="59"/>
        <v>#VALUE!</v>
      </c>
      <c r="S28" s="26" t="e">
        <f t="shared" si="59"/>
        <v>#VALUE!</v>
      </c>
      <c r="T28" s="26" t="e">
        <f t="shared" si="59"/>
        <v>#VALUE!</v>
      </c>
      <c r="U28" s="26" t="e">
        <f t="shared" si="59"/>
        <v>#VALUE!</v>
      </c>
      <c r="V28" s="27" t="e">
        <f t="shared" si="59"/>
        <v>#VALUE!</v>
      </c>
      <c r="X28" s="14" t="s">
        <v>33</v>
      </c>
      <c r="Y28" s="56" t="e">
        <f t="shared" ref="Y28:AG28" si="60">B28/$B107</f>
        <v>#VALUE!</v>
      </c>
      <c r="Z28" s="55" t="e">
        <f t="shared" si="60"/>
        <v>#VALUE!</v>
      </c>
      <c r="AA28" s="55" t="e">
        <f t="shared" si="60"/>
        <v>#VALUE!</v>
      </c>
      <c r="AB28" s="55" t="e">
        <f t="shared" si="60"/>
        <v>#VALUE!</v>
      </c>
      <c r="AC28" s="55" t="e">
        <f t="shared" si="60"/>
        <v>#VALUE!</v>
      </c>
      <c r="AD28" s="55" t="e">
        <f t="shared" si="60"/>
        <v>#VALUE!</v>
      </c>
      <c r="AE28" s="55" t="e">
        <f t="shared" si="60"/>
        <v>#VALUE!</v>
      </c>
      <c r="AF28" s="55" t="e">
        <f t="shared" si="60"/>
        <v>#VALUE!</v>
      </c>
      <c r="AG28" s="55" t="e">
        <f t="shared" si="60"/>
        <v>#VALUE!</v>
      </c>
      <c r="AH28" s="54" t="e">
        <f t="shared" si="6"/>
        <v>#VALUE!</v>
      </c>
      <c r="AI28" s="55" t="e">
        <f t="shared" si="37"/>
        <v>#VALUE!</v>
      </c>
      <c r="AJ28" s="55" t="e">
        <f t="shared" si="38"/>
        <v>#VALUE!</v>
      </c>
      <c r="AK28" s="55" t="e">
        <f t="shared" si="39"/>
        <v>#VALUE!</v>
      </c>
      <c r="AL28" s="55" t="e">
        <f t="shared" si="40"/>
        <v>#VALUE!</v>
      </c>
      <c r="AM28" s="55" t="e">
        <f t="shared" si="41"/>
        <v>#VALUE!</v>
      </c>
      <c r="AN28" s="55" t="e">
        <f t="shared" si="42"/>
        <v>#VALUE!</v>
      </c>
      <c r="AO28" s="55" t="e">
        <f t="shared" si="43"/>
        <v>#VALUE!</v>
      </c>
      <c r="AP28" s="55" t="e">
        <f t="shared" si="44"/>
        <v>#VALUE!</v>
      </c>
      <c r="AQ28" s="55" t="e">
        <f t="shared" si="45"/>
        <v>#VALUE!</v>
      </c>
      <c r="AR28" s="55" t="e">
        <f t="shared" si="46"/>
        <v>#VALUE!</v>
      </c>
      <c r="AS28" s="54" t="e">
        <f t="shared" si="3"/>
        <v>#VALUE!</v>
      </c>
    </row>
    <row r="29" spans="1:45" x14ac:dyDescent="0.25">
      <c r="A29" s="14" t="s">
        <v>34</v>
      </c>
      <c r="B29" s="57" t="e">
        <f t="shared" ref="B29:V29" si="61">B108-B67</f>
        <v>#VALUE!</v>
      </c>
      <c r="C29" s="58" t="e">
        <f t="shared" si="61"/>
        <v>#VALUE!</v>
      </c>
      <c r="D29" s="58" t="e">
        <f t="shared" si="61"/>
        <v>#VALUE!</v>
      </c>
      <c r="E29" s="58" t="e">
        <f t="shared" si="61"/>
        <v>#VALUE!</v>
      </c>
      <c r="F29" s="58" t="e">
        <f t="shared" si="61"/>
        <v>#VALUE!</v>
      </c>
      <c r="G29" s="58" t="e">
        <f t="shared" si="61"/>
        <v>#VALUE!</v>
      </c>
      <c r="H29" s="58" t="e">
        <f t="shared" si="61"/>
        <v>#VALUE!</v>
      </c>
      <c r="I29" s="58" t="e">
        <f t="shared" si="61"/>
        <v>#VALUE!</v>
      </c>
      <c r="J29" s="58" t="e">
        <f t="shared" si="61"/>
        <v>#VALUE!</v>
      </c>
      <c r="K29" s="59" t="e">
        <f t="shared" si="61"/>
        <v>#VALUE!</v>
      </c>
      <c r="L29" s="58" t="e">
        <f t="shared" si="61"/>
        <v>#VALUE!</v>
      </c>
      <c r="M29" s="58" t="e">
        <f t="shared" si="61"/>
        <v>#VALUE!</v>
      </c>
      <c r="N29" s="58" t="e">
        <f t="shared" si="61"/>
        <v>#VALUE!</v>
      </c>
      <c r="O29" s="58" t="e">
        <f t="shared" si="61"/>
        <v>#VALUE!</v>
      </c>
      <c r="P29" s="58" t="e">
        <f t="shared" si="61"/>
        <v>#VALUE!</v>
      </c>
      <c r="Q29" s="58" t="e">
        <f t="shared" si="61"/>
        <v>#VALUE!</v>
      </c>
      <c r="R29" s="58" t="e">
        <f t="shared" si="61"/>
        <v>#VALUE!</v>
      </c>
      <c r="S29" s="58" t="e">
        <f t="shared" si="61"/>
        <v>#VALUE!</v>
      </c>
      <c r="T29" s="58" t="e">
        <f t="shared" si="61"/>
        <v>#VALUE!</v>
      </c>
      <c r="U29" s="58" t="e">
        <f t="shared" si="61"/>
        <v>#VALUE!</v>
      </c>
      <c r="V29" s="59" t="e">
        <f t="shared" si="61"/>
        <v>#VALUE!</v>
      </c>
      <c r="X29" s="14" t="s">
        <v>34</v>
      </c>
      <c r="Y29" s="56" t="e">
        <f t="shared" ref="Y29:AG29" si="62">B29/$B108</f>
        <v>#VALUE!</v>
      </c>
      <c r="Z29" s="55" t="e">
        <f t="shared" si="62"/>
        <v>#VALUE!</v>
      </c>
      <c r="AA29" s="55" t="e">
        <f t="shared" si="62"/>
        <v>#VALUE!</v>
      </c>
      <c r="AB29" s="55" t="e">
        <f t="shared" si="62"/>
        <v>#VALUE!</v>
      </c>
      <c r="AC29" s="55" t="e">
        <f t="shared" si="62"/>
        <v>#VALUE!</v>
      </c>
      <c r="AD29" s="55" t="e">
        <f t="shared" si="62"/>
        <v>#VALUE!</v>
      </c>
      <c r="AE29" s="55" t="e">
        <f t="shared" si="62"/>
        <v>#VALUE!</v>
      </c>
      <c r="AF29" s="55" t="e">
        <f t="shared" si="62"/>
        <v>#VALUE!</v>
      </c>
      <c r="AG29" s="55" t="e">
        <f t="shared" si="62"/>
        <v>#VALUE!</v>
      </c>
      <c r="AH29" s="54" t="e">
        <f t="shared" si="6"/>
        <v>#VALUE!</v>
      </c>
      <c r="AI29" s="55" t="e">
        <f t="shared" si="37"/>
        <v>#VALUE!</v>
      </c>
      <c r="AJ29" s="55" t="e">
        <f t="shared" si="38"/>
        <v>#VALUE!</v>
      </c>
      <c r="AK29" s="55" t="e">
        <f t="shared" si="39"/>
        <v>#VALUE!</v>
      </c>
      <c r="AL29" s="55" t="e">
        <f t="shared" si="40"/>
        <v>#VALUE!</v>
      </c>
      <c r="AM29" s="55" t="e">
        <f t="shared" si="41"/>
        <v>#VALUE!</v>
      </c>
      <c r="AN29" s="55" t="e">
        <f t="shared" si="42"/>
        <v>#VALUE!</v>
      </c>
      <c r="AO29" s="55" t="e">
        <f t="shared" si="43"/>
        <v>#VALUE!</v>
      </c>
      <c r="AP29" s="55" t="e">
        <f t="shared" si="44"/>
        <v>#VALUE!</v>
      </c>
      <c r="AQ29" s="55" t="e">
        <f t="shared" si="45"/>
        <v>#VALUE!</v>
      </c>
      <c r="AR29" s="55" t="e">
        <f t="shared" si="46"/>
        <v>#VALUE!</v>
      </c>
      <c r="AS29" s="54" t="e">
        <f t="shared" si="3"/>
        <v>#VALUE!</v>
      </c>
    </row>
    <row r="30" spans="1:45" x14ac:dyDescent="0.25">
      <c r="A30" s="14" t="s">
        <v>35</v>
      </c>
      <c r="B30" s="25" t="e">
        <f t="shared" ref="B30:V30" si="63">B109-B68</f>
        <v>#VALUE!</v>
      </c>
      <c r="C30" s="26" t="e">
        <f t="shared" si="63"/>
        <v>#VALUE!</v>
      </c>
      <c r="D30" s="26" t="e">
        <f t="shared" si="63"/>
        <v>#VALUE!</v>
      </c>
      <c r="E30" s="26" t="e">
        <f t="shared" si="63"/>
        <v>#VALUE!</v>
      </c>
      <c r="F30" s="26" t="e">
        <f t="shared" si="63"/>
        <v>#VALUE!</v>
      </c>
      <c r="G30" s="26" t="e">
        <f t="shared" si="63"/>
        <v>#VALUE!</v>
      </c>
      <c r="H30" s="26" t="e">
        <f t="shared" si="63"/>
        <v>#VALUE!</v>
      </c>
      <c r="I30" s="26" t="e">
        <f t="shared" si="63"/>
        <v>#VALUE!</v>
      </c>
      <c r="J30" s="26" t="e">
        <f t="shared" si="63"/>
        <v>#VALUE!</v>
      </c>
      <c r="K30" s="27" t="e">
        <f t="shared" si="63"/>
        <v>#VALUE!</v>
      </c>
      <c r="L30" s="26" t="e">
        <f t="shared" si="63"/>
        <v>#VALUE!</v>
      </c>
      <c r="M30" s="26" t="e">
        <f t="shared" si="63"/>
        <v>#VALUE!</v>
      </c>
      <c r="N30" s="26" t="e">
        <f t="shared" si="63"/>
        <v>#VALUE!</v>
      </c>
      <c r="O30" s="26" t="e">
        <f t="shared" si="63"/>
        <v>#VALUE!</v>
      </c>
      <c r="P30" s="26" t="e">
        <f t="shared" si="63"/>
        <v>#VALUE!</v>
      </c>
      <c r="Q30" s="26" t="e">
        <f t="shared" si="63"/>
        <v>#VALUE!</v>
      </c>
      <c r="R30" s="26" t="e">
        <f t="shared" si="63"/>
        <v>#VALUE!</v>
      </c>
      <c r="S30" s="26" t="e">
        <f t="shared" si="63"/>
        <v>#VALUE!</v>
      </c>
      <c r="T30" s="26" t="e">
        <f t="shared" si="63"/>
        <v>#VALUE!</v>
      </c>
      <c r="U30" s="26" t="e">
        <f t="shared" si="63"/>
        <v>#VALUE!</v>
      </c>
      <c r="V30" s="27" t="e">
        <f t="shared" si="63"/>
        <v>#VALUE!</v>
      </c>
      <c r="X30" s="14" t="s">
        <v>35</v>
      </c>
      <c r="Y30" s="56" t="e">
        <f t="shared" ref="Y30:AG30" si="64">B30/$B109</f>
        <v>#VALUE!</v>
      </c>
      <c r="Z30" s="55" t="e">
        <f t="shared" si="64"/>
        <v>#VALUE!</v>
      </c>
      <c r="AA30" s="55" t="e">
        <f t="shared" si="64"/>
        <v>#VALUE!</v>
      </c>
      <c r="AB30" s="55" t="e">
        <f t="shared" si="64"/>
        <v>#VALUE!</v>
      </c>
      <c r="AC30" s="55" t="e">
        <f t="shared" si="64"/>
        <v>#VALUE!</v>
      </c>
      <c r="AD30" s="55" t="e">
        <f t="shared" si="64"/>
        <v>#VALUE!</v>
      </c>
      <c r="AE30" s="55" t="e">
        <f t="shared" si="64"/>
        <v>#VALUE!</v>
      </c>
      <c r="AF30" s="55" t="e">
        <f t="shared" si="64"/>
        <v>#VALUE!</v>
      </c>
      <c r="AG30" s="55" t="e">
        <f t="shared" si="64"/>
        <v>#VALUE!</v>
      </c>
      <c r="AH30" s="54" t="e">
        <f t="shared" si="6"/>
        <v>#VALUE!</v>
      </c>
      <c r="AI30" s="55" t="e">
        <f t="shared" si="37"/>
        <v>#VALUE!</v>
      </c>
      <c r="AJ30" s="55" t="e">
        <f t="shared" si="38"/>
        <v>#VALUE!</v>
      </c>
      <c r="AK30" s="55" t="e">
        <f t="shared" si="39"/>
        <v>#VALUE!</v>
      </c>
      <c r="AL30" s="55" t="e">
        <f t="shared" si="40"/>
        <v>#VALUE!</v>
      </c>
      <c r="AM30" s="55" t="e">
        <f t="shared" si="41"/>
        <v>#VALUE!</v>
      </c>
      <c r="AN30" s="55" t="e">
        <f t="shared" si="42"/>
        <v>#VALUE!</v>
      </c>
      <c r="AO30" s="55" t="e">
        <f t="shared" si="43"/>
        <v>#VALUE!</v>
      </c>
      <c r="AP30" s="55" t="e">
        <f t="shared" si="44"/>
        <v>#VALUE!</v>
      </c>
      <c r="AQ30" s="55" t="e">
        <f t="shared" si="45"/>
        <v>#VALUE!</v>
      </c>
      <c r="AR30" s="55" t="e">
        <f t="shared" si="46"/>
        <v>#VALUE!</v>
      </c>
      <c r="AS30" s="54" t="e">
        <f t="shared" si="3"/>
        <v>#VALUE!</v>
      </c>
    </row>
    <row r="31" spans="1:45" x14ac:dyDescent="0.25">
      <c r="A31" s="14" t="s">
        <v>36</v>
      </c>
      <c r="B31" s="57" t="e">
        <f t="shared" ref="B31:V31" si="65">B110-B69</f>
        <v>#VALUE!</v>
      </c>
      <c r="C31" s="58" t="e">
        <f t="shared" si="65"/>
        <v>#VALUE!</v>
      </c>
      <c r="D31" s="58" t="e">
        <f t="shared" si="65"/>
        <v>#VALUE!</v>
      </c>
      <c r="E31" s="58" t="e">
        <f t="shared" si="65"/>
        <v>#VALUE!</v>
      </c>
      <c r="F31" s="58" t="e">
        <f t="shared" si="65"/>
        <v>#VALUE!</v>
      </c>
      <c r="G31" s="58" t="e">
        <f t="shared" si="65"/>
        <v>#VALUE!</v>
      </c>
      <c r="H31" s="58" t="e">
        <f t="shared" si="65"/>
        <v>#VALUE!</v>
      </c>
      <c r="I31" s="58" t="e">
        <f t="shared" si="65"/>
        <v>#VALUE!</v>
      </c>
      <c r="J31" s="58" t="e">
        <f t="shared" si="65"/>
        <v>#VALUE!</v>
      </c>
      <c r="K31" s="59" t="e">
        <f t="shared" si="65"/>
        <v>#VALUE!</v>
      </c>
      <c r="L31" s="58" t="e">
        <f t="shared" si="65"/>
        <v>#VALUE!</v>
      </c>
      <c r="M31" s="58" t="e">
        <f t="shared" si="65"/>
        <v>#VALUE!</v>
      </c>
      <c r="N31" s="58" t="e">
        <f t="shared" si="65"/>
        <v>#VALUE!</v>
      </c>
      <c r="O31" s="58" t="e">
        <f t="shared" si="65"/>
        <v>#VALUE!</v>
      </c>
      <c r="P31" s="58" t="e">
        <f t="shared" si="65"/>
        <v>#VALUE!</v>
      </c>
      <c r="Q31" s="58" t="e">
        <f t="shared" si="65"/>
        <v>#VALUE!</v>
      </c>
      <c r="R31" s="58" t="e">
        <f t="shared" si="65"/>
        <v>#VALUE!</v>
      </c>
      <c r="S31" s="58" t="e">
        <f t="shared" si="65"/>
        <v>#VALUE!</v>
      </c>
      <c r="T31" s="58" t="e">
        <f t="shared" si="65"/>
        <v>#VALUE!</v>
      </c>
      <c r="U31" s="58" t="e">
        <f t="shared" si="65"/>
        <v>#VALUE!</v>
      </c>
      <c r="V31" s="59" t="e">
        <f t="shared" si="65"/>
        <v>#VALUE!</v>
      </c>
      <c r="X31" s="14" t="s">
        <v>36</v>
      </c>
      <c r="Y31" s="56" t="e">
        <f t="shared" ref="Y31:AG31" si="66">B31/$B110</f>
        <v>#VALUE!</v>
      </c>
      <c r="Z31" s="55" t="e">
        <f t="shared" si="66"/>
        <v>#VALUE!</v>
      </c>
      <c r="AA31" s="55" t="e">
        <f t="shared" si="66"/>
        <v>#VALUE!</v>
      </c>
      <c r="AB31" s="55" t="e">
        <f t="shared" si="66"/>
        <v>#VALUE!</v>
      </c>
      <c r="AC31" s="55" t="e">
        <f t="shared" si="66"/>
        <v>#VALUE!</v>
      </c>
      <c r="AD31" s="55" t="e">
        <f t="shared" si="66"/>
        <v>#VALUE!</v>
      </c>
      <c r="AE31" s="55" t="e">
        <f t="shared" si="66"/>
        <v>#VALUE!</v>
      </c>
      <c r="AF31" s="55" t="e">
        <f t="shared" si="66"/>
        <v>#VALUE!</v>
      </c>
      <c r="AG31" s="55" t="e">
        <f t="shared" si="66"/>
        <v>#VALUE!</v>
      </c>
      <c r="AH31" s="54" t="e">
        <f t="shared" si="6"/>
        <v>#VALUE!</v>
      </c>
      <c r="AI31" s="55" t="e">
        <f t="shared" si="37"/>
        <v>#VALUE!</v>
      </c>
      <c r="AJ31" s="55" t="e">
        <f t="shared" si="38"/>
        <v>#VALUE!</v>
      </c>
      <c r="AK31" s="55" t="e">
        <f t="shared" si="39"/>
        <v>#VALUE!</v>
      </c>
      <c r="AL31" s="55" t="e">
        <f t="shared" si="40"/>
        <v>#VALUE!</v>
      </c>
      <c r="AM31" s="55" t="e">
        <f t="shared" si="41"/>
        <v>#VALUE!</v>
      </c>
      <c r="AN31" s="55" t="e">
        <f t="shared" si="42"/>
        <v>#VALUE!</v>
      </c>
      <c r="AO31" s="55" t="e">
        <f t="shared" si="43"/>
        <v>#VALUE!</v>
      </c>
      <c r="AP31" s="55" t="e">
        <f t="shared" si="44"/>
        <v>#VALUE!</v>
      </c>
      <c r="AQ31" s="55" t="e">
        <f t="shared" si="45"/>
        <v>#VALUE!</v>
      </c>
      <c r="AR31" s="55" t="e">
        <f t="shared" si="46"/>
        <v>#VALUE!</v>
      </c>
      <c r="AS31" s="54" t="e">
        <f t="shared" si="3"/>
        <v>#VALUE!</v>
      </c>
    </row>
    <row r="32" spans="1:45" x14ac:dyDescent="0.25">
      <c r="A32" s="14" t="s">
        <v>37</v>
      </c>
      <c r="B32" s="25" t="e">
        <f t="shared" ref="B32:V32" si="67">B111-B70</f>
        <v>#VALUE!</v>
      </c>
      <c r="C32" s="26" t="e">
        <f t="shared" si="67"/>
        <v>#VALUE!</v>
      </c>
      <c r="D32" s="26" t="e">
        <f t="shared" si="67"/>
        <v>#VALUE!</v>
      </c>
      <c r="E32" s="26" t="e">
        <f t="shared" si="67"/>
        <v>#VALUE!</v>
      </c>
      <c r="F32" s="26" t="e">
        <f t="shared" si="67"/>
        <v>#VALUE!</v>
      </c>
      <c r="G32" s="26" t="e">
        <f t="shared" si="67"/>
        <v>#VALUE!</v>
      </c>
      <c r="H32" s="26" t="e">
        <f t="shared" si="67"/>
        <v>#VALUE!</v>
      </c>
      <c r="I32" s="26" t="e">
        <f t="shared" si="67"/>
        <v>#VALUE!</v>
      </c>
      <c r="J32" s="26" t="e">
        <f t="shared" si="67"/>
        <v>#VALUE!</v>
      </c>
      <c r="K32" s="27" t="e">
        <f t="shared" si="67"/>
        <v>#VALUE!</v>
      </c>
      <c r="L32" s="26" t="e">
        <f t="shared" si="67"/>
        <v>#VALUE!</v>
      </c>
      <c r="M32" s="26" t="e">
        <f t="shared" si="67"/>
        <v>#VALUE!</v>
      </c>
      <c r="N32" s="26" t="e">
        <f t="shared" si="67"/>
        <v>#VALUE!</v>
      </c>
      <c r="O32" s="26" t="e">
        <f t="shared" si="67"/>
        <v>#VALUE!</v>
      </c>
      <c r="P32" s="26" t="e">
        <f t="shared" si="67"/>
        <v>#VALUE!</v>
      </c>
      <c r="Q32" s="26" t="e">
        <f t="shared" si="67"/>
        <v>#VALUE!</v>
      </c>
      <c r="R32" s="26" t="e">
        <f t="shared" si="67"/>
        <v>#VALUE!</v>
      </c>
      <c r="S32" s="26" t="e">
        <f t="shared" si="67"/>
        <v>#VALUE!</v>
      </c>
      <c r="T32" s="26" t="e">
        <f t="shared" si="67"/>
        <v>#VALUE!</v>
      </c>
      <c r="U32" s="26" t="e">
        <f t="shared" si="67"/>
        <v>#VALUE!</v>
      </c>
      <c r="V32" s="27" t="e">
        <f t="shared" si="67"/>
        <v>#VALUE!</v>
      </c>
      <c r="X32" s="14" t="s">
        <v>37</v>
      </c>
      <c r="Y32" s="56" t="e">
        <f t="shared" ref="Y32:AG32" si="68">B32/$B111</f>
        <v>#VALUE!</v>
      </c>
      <c r="Z32" s="55" t="e">
        <f t="shared" si="68"/>
        <v>#VALUE!</v>
      </c>
      <c r="AA32" s="55" t="e">
        <f t="shared" si="68"/>
        <v>#VALUE!</v>
      </c>
      <c r="AB32" s="55" t="e">
        <f t="shared" si="68"/>
        <v>#VALUE!</v>
      </c>
      <c r="AC32" s="55" t="e">
        <f t="shared" si="68"/>
        <v>#VALUE!</v>
      </c>
      <c r="AD32" s="55" t="e">
        <f t="shared" si="68"/>
        <v>#VALUE!</v>
      </c>
      <c r="AE32" s="55" t="e">
        <f t="shared" si="68"/>
        <v>#VALUE!</v>
      </c>
      <c r="AF32" s="55" t="e">
        <f t="shared" si="68"/>
        <v>#VALUE!</v>
      </c>
      <c r="AG32" s="55" t="e">
        <f t="shared" si="68"/>
        <v>#VALUE!</v>
      </c>
      <c r="AH32" s="54" t="e">
        <f t="shared" si="6"/>
        <v>#VALUE!</v>
      </c>
      <c r="AI32" s="55" t="e">
        <f t="shared" si="37"/>
        <v>#VALUE!</v>
      </c>
      <c r="AJ32" s="55" t="e">
        <f t="shared" si="38"/>
        <v>#VALUE!</v>
      </c>
      <c r="AK32" s="55" t="e">
        <f t="shared" si="39"/>
        <v>#VALUE!</v>
      </c>
      <c r="AL32" s="55" t="e">
        <f t="shared" si="40"/>
        <v>#VALUE!</v>
      </c>
      <c r="AM32" s="55" t="e">
        <f t="shared" si="41"/>
        <v>#VALUE!</v>
      </c>
      <c r="AN32" s="55" t="e">
        <f t="shared" si="42"/>
        <v>#VALUE!</v>
      </c>
      <c r="AO32" s="55" t="e">
        <f t="shared" si="43"/>
        <v>#VALUE!</v>
      </c>
      <c r="AP32" s="55" t="e">
        <f t="shared" si="44"/>
        <v>#VALUE!</v>
      </c>
      <c r="AQ32" s="55" t="e">
        <f t="shared" si="45"/>
        <v>#VALUE!</v>
      </c>
      <c r="AR32" s="55" t="e">
        <f t="shared" si="46"/>
        <v>#VALUE!</v>
      </c>
      <c r="AS32" s="54" t="e">
        <f t="shared" si="3"/>
        <v>#VALUE!</v>
      </c>
    </row>
    <row r="33" spans="1:45" x14ac:dyDescent="0.25">
      <c r="A33" s="14" t="s">
        <v>38</v>
      </c>
      <c r="B33" s="57" t="e">
        <f t="shared" ref="B33:V33" si="69">B112-B71</f>
        <v>#VALUE!</v>
      </c>
      <c r="C33" s="58" t="e">
        <f t="shared" si="69"/>
        <v>#VALUE!</v>
      </c>
      <c r="D33" s="58" t="e">
        <f t="shared" si="69"/>
        <v>#VALUE!</v>
      </c>
      <c r="E33" s="58" t="e">
        <f t="shared" si="69"/>
        <v>#VALUE!</v>
      </c>
      <c r="F33" s="58" t="e">
        <f t="shared" si="69"/>
        <v>#VALUE!</v>
      </c>
      <c r="G33" s="58" t="e">
        <f t="shared" si="69"/>
        <v>#VALUE!</v>
      </c>
      <c r="H33" s="58" t="e">
        <f t="shared" si="69"/>
        <v>#VALUE!</v>
      </c>
      <c r="I33" s="58" t="e">
        <f t="shared" si="69"/>
        <v>#VALUE!</v>
      </c>
      <c r="J33" s="58" t="e">
        <f t="shared" si="69"/>
        <v>#VALUE!</v>
      </c>
      <c r="K33" s="59" t="e">
        <f t="shared" si="69"/>
        <v>#VALUE!</v>
      </c>
      <c r="L33" s="58" t="e">
        <f t="shared" si="69"/>
        <v>#VALUE!</v>
      </c>
      <c r="M33" s="58" t="e">
        <f t="shared" si="69"/>
        <v>#VALUE!</v>
      </c>
      <c r="N33" s="58" t="e">
        <f t="shared" si="69"/>
        <v>#VALUE!</v>
      </c>
      <c r="O33" s="58" t="e">
        <f t="shared" si="69"/>
        <v>#VALUE!</v>
      </c>
      <c r="P33" s="58" t="e">
        <f t="shared" si="69"/>
        <v>#VALUE!</v>
      </c>
      <c r="Q33" s="58" t="e">
        <f t="shared" si="69"/>
        <v>#VALUE!</v>
      </c>
      <c r="R33" s="58" t="e">
        <f t="shared" si="69"/>
        <v>#VALUE!</v>
      </c>
      <c r="S33" s="58" t="e">
        <f t="shared" si="69"/>
        <v>#VALUE!</v>
      </c>
      <c r="T33" s="58" t="e">
        <f t="shared" si="69"/>
        <v>#VALUE!</v>
      </c>
      <c r="U33" s="58" t="e">
        <f t="shared" si="69"/>
        <v>#VALUE!</v>
      </c>
      <c r="V33" s="59" t="e">
        <f t="shared" si="69"/>
        <v>#VALUE!</v>
      </c>
      <c r="X33" s="14" t="s">
        <v>38</v>
      </c>
      <c r="Y33" s="56" t="e">
        <f t="shared" ref="Y33:AG33" si="70">B33/$B112</f>
        <v>#VALUE!</v>
      </c>
      <c r="Z33" s="55" t="e">
        <f t="shared" si="70"/>
        <v>#VALUE!</v>
      </c>
      <c r="AA33" s="55" t="e">
        <f t="shared" si="70"/>
        <v>#VALUE!</v>
      </c>
      <c r="AB33" s="55" t="e">
        <f t="shared" si="70"/>
        <v>#VALUE!</v>
      </c>
      <c r="AC33" s="55" t="e">
        <f t="shared" si="70"/>
        <v>#VALUE!</v>
      </c>
      <c r="AD33" s="55" t="e">
        <f t="shared" si="70"/>
        <v>#VALUE!</v>
      </c>
      <c r="AE33" s="55" t="e">
        <f t="shared" si="70"/>
        <v>#VALUE!</v>
      </c>
      <c r="AF33" s="55" t="e">
        <f t="shared" si="70"/>
        <v>#VALUE!</v>
      </c>
      <c r="AG33" s="55" t="e">
        <f t="shared" si="70"/>
        <v>#VALUE!</v>
      </c>
      <c r="AH33" s="54" t="e">
        <f t="shared" si="6"/>
        <v>#VALUE!</v>
      </c>
      <c r="AI33" s="55" t="e">
        <f t="shared" si="37"/>
        <v>#VALUE!</v>
      </c>
      <c r="AJ33" s="55" t="e">
        <f t="shared" si="38"/>
        <v>#VALUE!</v>
      </c>
      <c r="AK33" s="55" t="e">
        <f t="shared" si="39"/>
        <v>#VALUE!</v>
      </c>
      <c r="AL33" s="55" t="e">
        <f t="shared" si="40"/>
        <v>#VALUE!</v>
      </c>
      <c r="AM33" s="55" t="e">
        <f t="shared" si="41"/>
        <v>#VALUE!</v>
      </c>
      <c r="AN33" s="55" t="e">
        <f t="shared" si="42"/>
        <v>#VALUE!</v>
      </c>
      <c r="AO33" s="55" t="e">
        <f t="shared" si="43"/>
        <v>#VALUE!</v>
      </c>
      <c r="AP33" s="55" t="e">
        <f t="shared" si="44"/>
        <v>#VALUE!</v>
      </c>
      <c r="AQ33" s="55" t="e">
        <f t="shared" si="45"/>
        <v>#VALUE!</v>
      </c>
      <c r="AR33" s="55" t="e">
        <f t="shared" si="46"/>
        <v>#VALUE!</v>
      </c>
      <c r="AS33" s="54" t="e">
        <f t="shared" si="3"/>
        <v>#VALUE!</v>
      </c>
    </row>
    <row r="34" spans="1:45" x14ac:dyDescent="0.25">
      <c r="A34" s="14" t="s">
        <v>39</v>
      </c>
      <c r="B34" s="25" t="e">
        <f t="shared" ref="B34:V34" si="71">B113-B72</f>
        <v>#VALUE!</v>
      </c>
      <c r="C34" s="26" t="e">
        <f t="shared" si="71"/>
        <v>#VALUE!</v>
      </c>
      <c r="D34" s="26" t="e">
        <f t="shared" si="71"/>
        <v>#VALUE!</v>
      </c>
      <c r="E34" s="26" t="e">
        <f t="shared" si="71"/>
        <v>#VALUE!</v>
      </c>
      <c r="F34" s="26" t="e">
        <f t="shared" si="71"/>
        <v>#VALUE!</v>
      </c>
      <c r="G34" s="26" t="e">
        <f t="shared" si="71"/>
        <v>#VALUE!</v>
      </c>
      <c r="H34" s="26" t="e">
        <f t="shared" si="71"/>
        <v>#VALUE!</v>
      </c>
      <c r="I34" s="26" t="e">
        <f t="shared" si="71"/>
        <v>#VALUE!</v>
      </c>
      <c r="J34" s="26" t="e">
        <f t="shared" si="71"/>
        <v>#VALUE!</v>
      </c>
      <c r="K34" s="27" t="e">
        <f t="shared" si="71"/>
        <v>#VALUE!</v>
      </c>
      <c r="L34" s="26" t="e">
        <f t="shared" si="71"/>
        <v>#VALUE!</v>
      </c>
      <c r="M34" s="26" t="e">
        <f t="shared" si="71"/>
        <v>#VALUE!</v>
      </c>
      <c r="N34" s="26" t="e">
        <f t="shared" si="71"/>
        <v>#VALUE!</v>
      </c>
      <c r="O34" s="26" t="e">
        <f t="shared" si="71"/>
        <v>#VALUE!</v>
      </c>
      <c r="P34" s="26" t="e">
        <f t="shared" si="71"/>
        <v>#VALUE!</v>
      </c>
      <c r="Q34" s="26" t="e">
        <f t="shared" si="71"/>
        <v>#VALUE!</v>
      </c>
      <c r="R34" s="26" t="e">
        <f t="shared" si="71"/>
        <v>#VALUE!</v>
      </c>
      <c r="S34" s="26" t="e">
        <f t="shared" si="71"/>
        <v>#VALUE!</v>
      </c>
      <c r="T34" s="26" t="e">
        <f t="shared" si="71"/>
        <v>#VALUE!</v>
      </c>
      <c r="U34" s="26" t="e">
        <f t="shared" si="71"/>
        <v>#VALUE!</v>
      </c>
      <c r="V34" s="27" t="e">
        <f t="shared" si="71"/>
        <v>#VALUE!</v>
      </c>
      <c r="X34" s="14" t="s">
        <v>39</v>
      </c>
      <c r="Y34" s="56" t="e">
        <f t="shared" ref="Y34:AG34" si="72">B34/$B113</f>
        <v>#VALUE!</v>
      </c>
      <c r="Z34" s="55" t="e">
        <f t="shared" si="72"/>
        <v>#VALUE!</v>
      </c>
      <c r="AA34" s="55" t="e">
        <f t="shared" si="72"/>
        <v>#VALUE!</v>
      </c>
      <c r="AB34" s="55" t="e">
        <f t="shared" si="72"/>
        <v>#VALUE!</v>
      </c>
      <c r="AC34" s="55" t="e">
        <f t="shared" si="72"/>
        <v>#VALUE!</v>
      </c>
      <c r="AD34" s="55" t="e">
        <f t="shared" si="72"/>
        <v>#VALUE!</v>
      </c>
      <c r="AE34" s="55" t="e">
        <f t="shared" si="72"/>
        <v>#VALUE!</v>
      </c>
      <c r="AF34" s="55" t="e">
        <f t="shared" si="72"/>
        <v>#VALUE!</v>
      </c>
      <c r="AG34" s="55" t="e">
        <f t="shared" si="72"/>
        <v>#VALUE!</v>
      </c>
      <c r="AH34" s="54" t="e">
        <f t="shared" si="6"/>
        <v>#VALUE!</v>
      </c>
      <c r="AI34" s="55" t="e">
        <f t="shared" si="37"/>
        <v>#VALUE!</v>
      </c>
      <c r="AJ34" s="55" t="e">
        <f t="shared" si="38"/>
        <v>#VALUE!</v>
      </c>
      <c r="AK34" s="55" t="e">
        <f t="shared" si="39"/>
        <v>#VALUE!</v>
      </c>
      <c r="AL34" s="55" t="e">
        <f t="shared" si="40"/>
        <v>#VALUE!</v>
      </c>
      <c r="AM34" s="55" t="e">
        <f t="shared" si="41"/>
        <v>#VALUE!</v>
      </c>
      <c r="AN34" s="55" t="e">
        <f t="shared" si="42"/>
        <v>#VALUE!</v>
      </c>
      <c r="AO34" s="55" t="e">
        <f t="shared" si="43"/>
        <v>#VALUE!</v>
      </c>
      <c r="AP34" s="55" t="e">
        <f t="shared" si="44"/>
        <v>#VALUE!</v>
      </c>
      <c r="AQ34" s="55" t="e">
        <f t="shared" si="45"/>
        <v>#VALUE!</v>
      </c>
      <c r="AR34" s="55" t="e">
        <f t="shared" si="46"/>
        <v>#VALUE!</v>
      </c>
      <c r="AS34" s="54" t="e">
        <f t="shared" si="3"/>
        <v>#VALUE!</v>
      </c>
    </row>
    <row r="37" spans="1:45" x14ac:dyDescent="0.25">
      <c r="A37" s="50" t="s">
        <v>137</v>
      </c>
    </row>
    <row r="38" spans="1:45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45" x14ac:dyDescent="0.25">
      <c r="A39" s="44"/>
      <c r="B39" s="45"/>
      <c r="C39" s="45"/>
      <c r="D39" s="45"/>
      <c r="E39" s="45" t="s">
        <v>67</v>
      </c>
      <c r="F39" s="45" t="s">
        <v>75</v>
      </c>
      <c r="G39" s="45" t="s">
        <v>92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45" x14ac:dyDescent="0.25">
      <c r="A40" s="47"/>
      <c r="B40" s="48"/>
      <c r="C40" s="48" t="s">
        <v>77</v>
      </c>
      <c r="D40" s="48"/>
      <c r="E40" s="48" t="s">
        <v>79</v>
      </c>
      <c r="F40" s="48" t="s">
        <v>80</v>
      </c>
      <c r="G40" s="48" t="s">
        <v>81</v>
      </c>
      <c r="H40" s="48"/>
      <c r="I40" s="48"/>
      <c r="J40" s="48" t="s">
        <v>84</v>
      </c>
      <c r="K40" s="48"/>
      <c r="L40" s="48" t="s">
        <v>93</v>
      </c>
      <c r="M40" s="48"/>
      <c r="N40" s="48" t="s">
        <v>42</v>
      </c>
      <c r="O40" s="48" t="s">
        <v>43</v>
      </c>
      <c r="P40" s="48" t="s">
        <v>85</v>
      </c>
      <c r="Q40" s="48" t="s">
        <v>135</v>
      </c>
      <c r="R40" s="48" t="s">
        <v>66</v>
      </c>
      <c r="S40" s="48" t="s">
        <v>47</v>
      </c>
      <c r="T40" s="48" t="s">
        <v>76</v>
      </c>
      <c r="U40" s="48"/>
      <c r="V40" s="48"/>
    </row>
    <row r="41" spans="1:45" ht="73.5" customHeight="1" x14ac:dyDescent="0.25">
      <c r="A41" s="30" t="s">
        <v>0</v>
      </c>
      <c r="B41" s="31" t="s">
        <v>56</v>
      </c>
      <c r="C41" s="32" t="s">
        <v>57</v>
      </c>
      <c r="D41" s="32" t="s">
        <v>58</v>
      </c>
      <c r="E41" s="33" t="s">
        <v>1</v>
      </c>
      <c r="F41" s="33" t="s">
        <v>2</v>
      </c>
      <c r="G41" s="33" t="s">
        <v>3</v>
      </c>
      <c r="H41" s="34" t="s">
        <v>132</v>
      </c>
      <c r="I41" s="33" t="s">
        <v>5</v>
      </c>
      <c r="J41" s="33" t="s">
        <v>4</v>
      </c>
      <c r="K41" s="35" t="s">
        <v>41</v>
      </c>
      <c r="L41" s="36" t="s">
        <v>133</v>
      </c>
      <c r="M41" s="36" t="s">
        <v>134</v>
      </c>
      <c r="N41" s="37" t="s">
        <v>42</v>
      </c>
      <c r="O41" s="37" t="s">
        <v>43</v>
      </c>
      <c r="P41" s="37" t="s">
        <v>44</v>
      </c>
      <c r="Q41" s="37" t="s">
        <v>45</v>
      </c>
      <c r="R41" s="37" t="s">
        <v>46</v>
      </c>
      <c r="S41" s="37" t="s">
        <v>47</v>
      </c>
      <c r="T41" s="37" t="s">
        <v>48</v>
      </c>
      <c r="U41" s="37" t="s">
        <v>54</v>
      </c>
      <c r="V41" s="38" t="s">
        <v>40</v>
      </c>
    </row>
    <row r="42" spans="1:45" x14ac:dyDescent="0.25">
      <c r="A42" s="13"/>
      <c r="B42" s="3" t="s">
        <v>154</v>
      </c>
      <c r="C42" s="4" t="s">
        <v>154</v>
      </c>
      <c r="D42" s="5" t="s">
        <v>154</v>
      </c>
      <c r="E42" s="5" t="s">
        <v>154</v>
      </c>
      <c r="F42" s="4" t="s">
        <v>154</v>
      </c>
      <c r="G42" s="5" t="s">
        <v>154</v>
      </c>
      <c r="H42" s="4"/>
      <c r="I42" s="4" t="s">
        <v>154</v>
      </c>
      <c r="J42" s="5" t="s">
        <v>154</v>
      </c>
      <c r="K42" s="6" t="s">
        <v>154</v>
      </c>
      <c r="L42" s="4" t="s">
        <v>154</v>
      </c>
      <c r="M42" s="5" t="s">
        <v>154</v>
      </c>
      <c r="N42" s="7" t="s">
        <v>154</v>
      </c>
      <c r="O42" s="8" t="s">
        <v>154</v>
      </c>
      <c r="P42" s="8" t="s">
        <v>154</v>
      </c>
      <c r="Q42" s="7" t="s">
        <v>154</v>
      </c>
      <c r="R42" s="8" t="s">
        <v>154</v>
      </c>
      <c r="S42" s="8" t="s">
        <v>154</v>
      </c>
      <c r="T42" s="8" t="s">
        <v>154</v>
      </c>
      <c r="U42" s="8" t="s">
        <v>154</v>
      </c>
      <c r="V42" s="9" t="s">
        <v>154</v>
      </c>
    </row>
    <row r="43" spans="1:45" x14ac:dyDescent="0.25">
      <c r="A43" s="14" t="s">
        <v>10</v>
      </c>
      <c r="B43" s="57">
        <f>SUM(C43:D43)</f>
        <v>0.33165</v>
      </c>
      <c r="C43" s="58">
        <f>(SUMPRODUCT(('Modell Kapazität'!$C$2:$C$35='Abgleich Kapazität'!$A43)*('Modell Kapazität'!$D$1:$AZ$1='Abgleich Kapazität'!C$40)*'Modell Kapazität'!$D$2:$AZ$35)+SUMPRODUCT(('Modell Kapazität'!$C$2:$C$35='Abgleich Kapazität'!$A43)*('Modell Kapazität'!$D$1:$AZ$1='Abgleich Kapazität'!C$39)*'Modell Kapazität'!$D$2:$AZ$35)+SUMPRODUCT(('Modell Kapazität'!$C$2:$C$35='Abgleich Kapazität'!$A43)*('Modell Kapazität'!$D$1:$AZ$1='Abgleich Kapazität'!C$38)*'Modell Kapazität'!$D$2:$AZ$35))/1000</f>
        <v>0</v>
      </c>
      <c r="D43" s="58">
        <f>SUM(E43:J43)</f>
        <v>0.33165</v>
      </c>
      <c r="E43" s="58">
        <f>(SUMPRODUCT(('Modell Kapazität'!$C$2:$C$35='Abgleich Kapazität'!$A43)*('Modell Kapazität'!$D$1:$AZ$1='Abgleich Kapazität'!E$40)*'Modell Kapazität'!$D$2:$AZ$35)+SUMPRODUCT(('Modell Kapazität'!$C$2:$C$35='Abgleich Kapazität'!$A43)*('Modell Kapazität'!$D$1:$AZ$1='Abgleich Kapazität'!E$39)*'Modell Kapazität'!$D$2:$AZ$35)+SUMPRODUCT(('Modell Kapazität'!$C$2:$C$35='Abgleich Kapazität'!$A43)*('Modell Kapazität'!$D$1:$AZ$1='Abgleich Kapazität'!E$38)*'Modell Kapazität'!$D$2:$AZ$35))/1000</f>
        <v>0</v>
      </c>
      <c r="F43" s="58">
        <f>(SUMPRODUCT(('Modell Kapazität'!$C$2:$C$35='Abgleich Kapazität'!$A43)*('Modell Kapazität'!$D$1:$AZ$1='Abgleich Kapazität'!F$40)*'Modell Kapazität'!$D$2:$AZ$35)+SUMPRODUCT(('Modell Kapazität'!$C$2:$C$35='Abgleich Kapazität'!$A43)*('Modell Kapazität'!$D$1:$AZ$1='Abgleich Kapazität'!F$39)*'Modell Kapazität'!$D$2:$AZ$35)+SUMPRODUCT(('Modell Kapazität'!$C$2:$C$35='Abgleich Kapazität'!$A43)*('Modell Kapazität'!$D$1:$AZ$1='Abgleich Kapazität'!F$38)*'Modell Kapazität'!$D$2:$AZ$35))/1000</f>
        <v>9.7000000000000003E-2</v>
      </c>
      <c r="G43" s="58">
        <f>(SUMPRODUCT(('Modell Kapazität'!$C$2:$C$35='Abgleich Kapazität'!$A43)*('Modell Kapazität'!$D$1:$AZ$1='Abgleich Kapazität'!G$40)*'Modell Kapazität'!$D$2:$AZ$35)+SUMPRODUCT(('Modell Kapazität'!$C$2:$C$35='Abgleich Kapazität'!$A43)*('Modell Kapazität'!$D$1:$AZ$1='Abgleich Kapazität'!G$39)*'Modell Kapazität'!$D$2:$AZ$35)+SUMPRODUCT(('Modell Kapazität'!$C$2:$C$35='Abgleich Kapazität'!$A43)*('Modell Kapazität'!$D$1:$AZ$1='Abgleich Kapazität'!G$38)*'Modell Kapazität'!$D$2:$AZ$35))/1000</f>
        <v>0</v>
      </c>
      <c r="H43" s="58">
        <f>(SUMPRODUCT(('Modell Kapazität'!$C$2:$C$35='Abgleich Kapazität'!$A43)*('Modell Kapazität'!$D$1:$AZ$1='Abgleich Kapazität'!H$40)*'Modell Kapazität'!$D$2:$AZ$35)+SUMPRODUCT(('Modell Kapazität'!$C$2:$C$35='Abgleich Kapazität'!$A43)*('Modell Kapazität'!$D$1:$AZ$1='Abgleich Kapazität'!H$39)*'Modell Kapazität'!$D$2:$AZ$35)+SUMPRODUCT(('Modell Kapazität'!$C$2:$C$35='Abgleich Kapazität'!$A43)*('Modell Kapazität'!$D$1:$AZ$1='Abgleich Kapazität'!H$38)*'Modell Kapazität'!$D$2:$AZ$35))/1000</f>
        <v>0</v>
      </c>
      <c r="I43" s="58">
        <f>(SUMPRODUCT(('Modell Kapazität'!$C$2:$C$35='Abgleich Kapazität'!$A43)*('Modell Kapazität'!$D$1:$AZ$1='Abgleich Kapazität'!I$40)*'Modell Kapazität'!$D$2:$AZ$35)+SUMPRODUCT(('Modell Kapazität'!$C$2:$C$35='Abgleich Kapazität'!$A43)*('Modell Kapazität'!$D$1:$AZ$1='Abgleich Kapazität'!I$39)*'Modell Kapazität'!$D$2:$AZ$35)+SUMPRODUCT(('Modell Kapazität'!$C$2:$C$35='Abgleich Kapazität'!$A43)*('Modell Kapazität'!$D$1:$AZ$1='Abgleich Kapazität'!I$38)*'Modell Kapazität'!$D$2:$AZ$35))/1000</f>
        <v>0</v>
      </c>
      <c r="J43" s="58">
        <f>(SUMPRODUCT(('Modell Kapazität'!$C$2:$C$35='Abgleich Kapazität'!$A43)*('Modell Kapazität'!$D$1:$AZ$1='Abgleich Kapazität'!J$40)*'Modell Kapazität'!$D$2:$AZ$35)+SUMPRODUCT(('Modell Kapazität'!$C$2:$C$35='Abgleich Kapazität'!$A43)*('Modell Kapazität'!$D$1:$AZ$1='Abgleich Kapazität'!J$39)*'Modell Kapazität'!$D$2:$AZ$35)+SUMPRODUCT(('Modell Kapazität'!$C$2:$C$35='Abgleich Kapazität'!$A43)*('Modell Kapazität'!$D$1:$AZ$1='Abgleich Kapazität'!J$38)*'Modell Kapazität'!$D$2:$AZ$35))/1000</f>
        <v>0.23465</v>
      </c>
      <c r="K43" s="59">
        <f>SUM(L43:U43)</f>
        <v>1.76056605</v>
      </c>
      <c r="L43" s="58">
        <f>(SUMPRODUCT(('Modell Kapazität'!$C$2:$C$35='Abgleich Kapazität'!$A43)*('Modell Kapazität'!$D$1:$AZ$1='Abgleich Kapazität'!L$40)*'Modell Kapazität'!$D$2:$AZ$35)+SUMPRODUCT(('Modell Kapazität'!$C$2:$C$35='Abgleich Kapazität'!$A43)*('Modell Kapazität'!$D$1:$AZ$1='Abgleich Kapazität'!L$39)*'Modell Kapazität'!$D$2:$AZ$35)+SUMPRODUCT(('Modell Kapazität'!$C$2:$C$35='Abgleich Kapazität'!$A43)*('Modell Kapazität'!$D$1:$AZ$1='Abgleich Kapazität'!L$38)*'Modell Kapazität'!$D$2:$AZ$35))/1000</f>
        <v>1.73256605</v>
      </c>
      <c r="M43" s="58">
        <f>(SUMPRODUCT(('Modell Kapazität'!$C$2:$C$35='Abgleich Kapazität'!$A43)*('Modell Kapazität'!$D$1:$AZ$1='Abgleich Kapazität'!M$40)*'Modell Kapazität'!$D$2:$AZ$35)+SUMPRODUCT(('Modell Kapazität'!$C$2:$C$35='Abgleich Kapazität'!$A43)*('Modell Kapazität'!$D$1:$AZ$1='Abgleich Kapazität'!M$39)*'Modell Kapazität'!$D$2:$AZ$35)+SUMPRODUCT(('Modell Kapazität'!$C$2:$C$35='Abgleich Kapazität'!$A43)*('Modell Kapazität'!$D$1:$AZ$1='Abgleich Kapazität'!M$38)*'Modell Kapazität'!$D$2:$AZ$35))/1000</f>
        <v>0</v>
      </c>
      <c r="N43" s="58">
        <f>(SUMPRODUCT(('Modell Kapazität'!$C$2:$C$35='Abgleich Kapazität'!$A43)*('Modell Kapazität'!$D$1:$AZ$1='Abgleich Kapazität'!N$40)*'Modell Kapazität'!$D$2:$AZ$35)+SUMPRODUCT(('Modell Kapazität'!$C$2:$C$35='Abgleich Kapazität'!$A43)*('Modell Kapazität'!$D$1:$AZ$1='Abgleich Kapazität'!N$39)*'Modell Kapazität'!$D$2:$AZ$35)+SUMPRODUCT(('Modell Kapazität'!$C$2:$C$35='Abgleich Kapazität'!$A43)*('Modell Kapazität'!$D$1:$AZ$1='Abgleich Kapazität'!N$38)*'Modell Kapazität'!$D$2:$AZ$35))/1000</f>
        <v>0</v>
      </c>
      <c r="O43" s="58">
        <f>(SUMPRODUCT(('Modell Kapazität'!$C$2:$C$35='Abgleich Kapazität'!$A43)*('Modell Kapazität'!$D$1:$AZ$1='Abgleich Kapazität'!O$40)*'Modell Kapazität'!$D$2:$AZ$35)+SUMPRODUCT(('Modell Kapazität'!$C$2:$C$35='Abgleich Kapazität'!$A43)*('Modell Kapazität'!$D$1:$AZ$1='Abgleich Kapazität'!O$39)*'Modell Kapazität'!$D$2:$AZ$35)+SUMPRODUCT(('Modell Kapazität'!$C$2:$C$35='Abgleich Kapazität'!$A43)*('Modell Kapazität'!$D$1:$AZ$1='Abgleich Kapazität'!O$38)*'Modell Kapazität'!$D$2:$AZ$35))/1000</f>
        <v>0</v>
      </c>
      <c r="P43" s="58">
        <f>(SUMPRODUCT(('Modell Kapazität'!$C$2:$C$35='Abgleich Kapazität'!$A43)*('Modell Kapazität'!$D$1:$AZ$1='Abgleich Kapazität'!P$40)*'Modell Kapazität'!$D$2:$AZ$35)+SUMPRODUCT(('Modell Kapazität'!$C$2:$C$35='Abgleich Kapazität'!$A43)*('Modell Kapazität'!$D$1:$AZ$1='Abgleich Kapazität'!P$39)*'Modell Kapazität'!$D$2:$AZ$35)+SUMPRODUCT(('Modell Kapazität'!$C$2:$C$35='Abgleich Kapazität'!$A43)*('Modell Kapazität'!$D$1:$AZ$1='Abgleich Kapazität'!P$38)*'Modell Kapazität'!$D$2:$AZ$35))/1000</f>
        <v>0</v>
      </c>
      <c r="Q43" s="58">
        <f>(SUMPRODUCT(('Modell Kapazität'!$C$2:$C$35='Abgleich Kapazität'!$A43)*('Modell Kapazität'!$D$1:$AZ$1='Abgleich Kapazität'!Q$40)*'Modell Kapazität'!$D$2:$AZ$35)+SUMPRODUCT(('Modell Kapazität'!$C$2:$C$35='Abgleich Kapazität'!$A43)*('Modell Kapazität'!$D$1:$AZ$1='Abgleich Kapazität'!Q$39)*'Modell Kapazität'!$D$2:$AZ$35)+SUMPRODUCT(('Modell Kapazität'!$C$2:$C$35='Abgleich Kapazität'!$A43)*('Modell Kapazität'!$D$1:$AZ$1='Abgleich Kapazität'!Q$38)*'Modell Kapazität'!$D$2:$AZ$35))/1000</f>
        <v>0</v>
      </c>
      <c r="R43" s="58">
        <f>(SUMPRODUCT(('Modell Kapazität'!$C$2:$C$35='Abgleich Kapazität'!$A43)*('Modell Kapazität'!$D$1:$AZ$1='Abgleich Kapazität'!R$40)*'Modell Kapazität'!$D$2:$AZ$35)+SUMPRODUCT(('Modell Kapazität'!$C$2:$C$35='Abgleich Kapazität'!$A43)*('Modell Kapazität'!$D$1:$AZ$1='Abgleich Kapazität'!R$39)*'Modell Kapazität'!$D$2:$AZ$35)+SUMPRODUCT(('Modell Kapazität'!$C$2:$C$35='Abgleich Kapazität'!$A43)*('Modell Kapazität'!$D$1:$AZ$1='Abgleich Kapazität'!R$38)*'Modell Kapazität'!$D$2:$AZ$35))/1000</f>
        <v>2.8000000000000001E-2</v>
      </c>
      <c r="S43" s="58">
        <f>(SUMPRODUCT(('Modell Kapazität'!$C$2:$C$35='Abgleich Kapazität'!$A43)*('Modell Kapazität'!$D$1:$AZ$1='Abgleich Kapazität'!S$40)*'Modell Kapazität'!$D$2:$AZ$35)+SUMPRODUCT(('Modell Kapazität'!$C$2:$C$35='Abgleich Kapazität'!$A43)*('Modell Kapazität'!$D$1:$AZ$1='Abgleich Kapazität'!S$39)*'Modell Kapazität'!$D$2:$AZ$35)+SUMPRODUCT(('Modell Kapazität'!$C$2:$C$35='Abgleich Kapazität'!$A43)*('Modell Kapazität'!$D$1:$AZ$1='Abgleich Kapazität'!S$38)*'Modell Kapazität'!$D$2:$AZ$35))/1000</f>
        <v>0</v>
      </c>
      <c r="T43" s="58">
        <f>(SUMPRODUCT(('Modell Kapazität'!$C$2:$C$35='Abgleich Kapazität'!$A43)*('Modell Kapazität'!$D$1:$AZ$1='Abgleich Kapazität'!T$40)*'Modell Kapazität'!$D$2:$AZ$35)+SUMPRODUCT(('Modell Kapazität'!$C$2:$C$35='Abgleich Kapazität'!$A43)*('Modell Kapazität'!$D$1:$AZ$1='Abgleich Kapazität'!T$39)*'Modell Kapazität'!$D$2:$AZ$35)+SUMPRODUCT(('Modell Kapazität'!$C$2:$C$35='Abgleich Kapazität'!$A43)*('Modell Kapazität'!$D$1:$AZ$1='Abgleich Kapazität'!T$38)*'Modell Kapazität'!$D$2:$AZ$35))/1000</f>
        <v>0</v>
      </c>
      <c r="U43" s="58">
        <f>(SUMPRODUCT(('Modell Kapazität'!$C$2:$C$35='Abgleich Kapazität'!$A43)*('Modell Kapazität'!$D$1:$AZ$1='Abgleich Kapazität'!U$40)*'Modell Kapazität'!$D$2:$AZ$35)+SUMPRODUCT(('Modell Kapazität'!$C$2:$C$35='Abgleich Kapazität'!$A43)*('Modell Kapazität'!$D$1:$AZ$1='Abgleich Kapazität'!U$39)*'Modell Kapazität'!$D$2:$AZ$35)+SUMPRODUCT(('Modell Kapazität'!$C$2:$C$35='Abgleich Kapazität'!$A43)*('Modell Kapazität'!$D$1:$AZ$1='Abgleich Kapazität'!U$38)*'Modell Kapazität'!$D$2:$AZ$35))/1000</f>
        <v>0</v>
      </c>
      <c r="V43" s="59">
        <f>K43+B43</f>
        <v>2.0922160500000002</v>
      </c>
    </row>
    <row r="44" spans="1:45" x14ac:dyDescent="0.25">
      <c r="A44" s="14" t="s">
        <v>11</v>
      </c>
      <c r="B44" s="25">
        <f t="shared" ref="B44:B72" si="73">SUM(C44:D44)</f>
        <v>4.117</v>
      </c>
      <c r="C44" s="26">
        <f>(SUMPRODUCT(('Modell Kapazität'!$C$2:$C$35='Abgleich Kapazität'!$A44)*('Modell Kapazität'!$D$1:$AZ$1='Abgleich Kapazität'!C$40)*'Modell Kapazität'!$D$2:$AZ$35)+SUMPRODUCT(('Modell Kapazität'!$C$2:$C$35='Abgleich Kapazität'!$A44)*('Modell Kapazität'!$D$1:$AZ$1='Abgleich Kapazität'!C$39)*'Modell Kapazität'!$D$2:$AZ$35)+SUMPRODUCT(('Modell Kapazität'!$C$2:$C$35='Abgleich Kapazität'!$A44)*('Modell Kapazität'!$D$1:$AZ$1='Abgleich Kapazität'!C$38)*'Modell Kapazität'!$D$2:$AZ$35))/1000</f>
        <v>0</v>
      </c>
      <c r="D44" s="26">
        <f t="shared" ref="D44:D72" si="74">SUM(E44:J44)</f>
        <v>4.117</v>
      </c>
      <c r="E44" s="26">
        <f>(SUMPRODUCT(('Modell Kapazität'!$C$2:$C$35='Abgleich Kapazität'!$A44)*('Modell Kapazität'!$D$1:$AZ$1='Abgleich Kapazität'!E$40)*'Modell Kapazität'!$D$2:$AZ$35)+SUMPRODUCT(('Modell Kapazität'!$C$2:$C$35='Abgleich Kapazität'!$A44)*('Modell Kapazität'!$D$1:$AZ$1='Abgleich Kapazität'!E$39)*'Modell Kapazität'!$D$2:$AZ$35)+SUMPRODUCT(('Modell Kapazität'!$C$2:$C$35='Abgleich Kapazität'!$A44)*('Modell Kapazität'!$D$1:$AZ$1='Abgleich Kapazität'!E$38)*'Modell Kapazität'!$D$2:$AZ$35))/1000</f>
        <v>0</v>
      </c>
      <c r="F44" s="26">
        <f>(SUMPRODUCT(('Modell Kapazität'!$C$2:$C$35='Abgleich Kapazität'!$A44)*('Modell Kapazität'!$D$1:$AZ$1='Abgleich Kapazität'!F$40)*'Modell Kapazität'!$D$2:$AZ$35)+SUMPRODUCT(('Modell Kapazität'!$C$2:$C$35='Abgleich Kapazität'!$A44)*('Modell Kapazität'!$D$1:$AZ$1='Abgleich Kapazität'!F$39)*'Modell Kapazität'!$D$2:$AZ$35)+SUMPRODUCT(('Modell Kapazität'!$C$2:$C$35='Abgleich Kapazität'!$A44)*('Modell Kapazität'!$D$1:$AZ$1='Abgleich Kapazität'!F$38)*'Modell Kapazität'!$D$2:$AZ$35))/1000</f>
        <v>3.4950000000000001</v>
      </c>
      <c r="G44" s="26">
        <f>(SUMPRODUCT(('Modell Kapazität'!$C$2:$C$35='Abgleich Kapazität'!$A44)*('Modell Kapazität'!$D$1:$AZ$1='Abgleich Kapazität'!G$40)*'Modell Kapazität'!$D$2:$AZ$35)+SUMPRODUCT(('Modell Kapazität'!$C$2:$C$35='Abgleich Kapazität'!$A44)*('Modell Kapazität'!$D$1:$AZ$1='Abgleich Kapazität'!G$39)*'Modell Kapazität'!$D$2:$AZ$35)+SUMPRODUCT(('Modell Kapazität'!$C$2:$C$35='Abgleich Kapazität'!$A44)*('Modell Kapazität'!$D$1:$AZ$1='Abgleich Kapazität'!G$38)*'Modell Kapazität'!$D$2:$AZ$35))/1000</f>
        <v>0.61599999999999999</v>
      </c>
      <c r="H44" s="26">
        <f>(SUMPRODUCT(('Modell Kapazität'!$C$2:$C$35='Abgleich Kapazität'!$A44)*('Modell Kapazität'!$D$1:$AZ$1='Abgleich Kapazität'!H$40)*'Modell Kapazität'!$D$2:$AZ$35)+SUMPRODUCT(('Modell Kapazität'!$C$2:$C$35='Abgleich Kapazität'!$A44)*('Modell Kapazität'!$D$1:$AZ$1='Abgleich Kapazität'!H$39)*'Modell Kapazität'!$D$2:$AZ$35)+SUMPRODUCT(('Modell Kapazität'!$C$2:$C$35='Abgleich Kapazität'!$A44)*('Modell Kapazität'!$D$1:$AZ$1='Abgleich Kapazität'!H$38)*'Modell Kapazität'!$D$2:$AZ$35))/1000</f>
        <v>0</v>
      </c>
      <c r="I44" s="26">
        <f>(SUMPRODUCT(('Modell Kapazität'!$C$2:$C$35='Abgleich Kapazität'!$A44)*('Modell Kapazität'!$D$1:$AZ$1='Abgleich Kapazität'!I$40)*'Modell Kapazität'!$D$2:$AZ$35)+SUMPRODUCT(('Modell Kapazität'!$C$2:$C$35='Abgleich Kapazität'!$A44)*('Modell Kapazität'!$D$1:$AZ$1='Abgleich Kapazität'!I$39)*'Modell Kapazität'!$D$2:$AZ$35)+SUMPRODUCT(('Modell Kapazität'!$C$2:$C$35='Abgleich Kapazität'!$A44)*('Modell Kapazität'!$D$1:$AZ$1='Abgleich Kapazität'!I$38)*'Modell Kapazität'!$D$2:$AZ$35))/1000</f>
        <v>0</v>
      </c>
      <c r="J44" s="26">
        <f>(SUMPRODUCT(('Modell Kapazität'!$C$2:$C$35='Abgleich Kapazität'!$A44)*('Modell Kapazität'!$D$1:$AZ$1='Abgleich Kapazität'!J$40)*'Modell Kapazität'!$D$2:$AZ$35)+SUMPRODUCT(('Modell Kapazität'!$C$2:$C$35='Abgleich Kapazität'!$A44)*('Modell Kapazität'!$D$1:$AZ$1='Abgleich Kapazität'!J$39)*'Modell Kapazität'!$D$2:$AZ$35)+SUMPRODUCT(('Modell Kapazität'!$C$2:$C$35='Abgleich Kapazität'!$A44)*('Modell Kapazität'!$D$1:$AZ$1='Abgleich Kapazität'!J$38)*'Modell Kapazität'!$D$2:$AZ$35))/1000</f>
        <v>6.0000000000000001E-3</v>
      </c>
      <c r="K44" s="27">
        <f>SUM(L44:U44)</f>
        <v>20.928900000000002</v>
      </c>
      <c r="L44" s="26">
        <f>(SUMPRODUCT(('Modell Kapazität'!$C$2:$C$35='Abgleich Kapazität'!$A44)*('Modell Kapazität'!$D$1:$AZ$1='Abgleich Kapazität'!L$40)*'Modell Kapazität'!$D$2:$AZ$35)+SUMPRODUCT(('Modell Kapazität'!$C$2:$C$35='Abgleich Kapazität'!$A44)*('Modell Kapazität'!$D$1:$AZ$1='Abgleich Kapazität'!L$39)*'Modell Kapazität'!$D$2:$AZ$35)+SUMPRODUCT(('Modell Kapazität'!$C$2:$C$35='Abgleich Kapazität'!$A44)*('Modell Kapazität'!$D$1:$AZ$1='Abgleich Kapazität'!L$38)*'Modell Kapazität'!$D$2:$AZ$35))/1000</f>
        <v>16.021000000000001</v>
      </c>
      <c r="M44" s="26">
        <f>(SUMPRODUCT(('Modell Kapazität'!$C$2:$C$35='Abgleich Kapazität'!$A44)*('Modell Kapazität'!$D$1:$AZ$1='Abgleich Kapazität'!M$40)*'Modell Kapazität'!$D$2:$AZ$35)+SUMPRODUCT(('Modell Kapazität'!$C$2:$C$35='Abgleich Kapazität'!$A44)*('Modell Kapazität'!$D$1:$AZ$1='Abgleich Kapazität'!M$39)*'Modell Kapazität'!$D$2:$AZ$35)+SUMPRODUCT(('Modell Kapazität'!$C$2:$C$35='Abgleich Kapazität'!$A44)*('Modell Kapazität'!$D$1:$AZ$1='Abgleich Kapazität'!M$38)*'Modell Kapazität'!$D$2:$AZ$35))/1000</f>
        <v>0</v>
      </c>
      <c r="N44" s="26">
        <f>(SUMPRODUCT(('Modell Kapazität'!$C$2:$C$35='Abgleich Kapazität'!$A44)*('Modell Kapazität'!$D$1:$AZ$1='Abgleich Kapazität'!N$40)*'Modell Kapazität'!$D$2:$AZ$35)+SUMPRODUCT(('Modell Kapazität'!$C$2:$C$35='Abgleich Kapazität'!$A44)*('Modell Kapazität'!$D$1:$AZ$1='Abgleich Kapazität'!N$39)*'Modell Kapazität'!$D$2:$AZ$35)+SUMPRODUCT(('Modell Kapazität'!$C$2:$C$35='Abgleich Kapazität'!$A44)*('Modell Kapazität'!$D$1:$AZ$1='Abgleich Kapazität'!N$38)*'Modell Kapazität'!$D$2:$AZ$35))/1000</f>
        <v>0</v>
      </c>
      <c r="O44" s="26">
        <f>(SUMPRODUCT(('Modell Kapazität'!$C$2:$C$35='Abgleich Kapazität'!$A44)*('Modell Kapazität'!$D$1:$AZ$1='Abgleich Kapazität'!O$40)*'Modell Kapazität'!$D$2:$AZ$35)+SUMPRODUCT(('Modell Kapazität'!$C$2:$C$35='Abgleich Kapazität'!$A44)*('Modell Kapazität'!$D$1:$AZ$1='Abgleich Kapazität'!O$39)*'Modell Kapazität'!$D$2:$AZ$35)+SUMPRODUCT(('Modell Kapazität'!$C$2:$C$35='Abgleich Kapazität'!$A44)*('Modell Kapazität'!$D$1:$AZ$1='Abgleich Kapazität'!O$38)*'Modell Kapazität'!$D$2:$AZ$35))/1000</f>
        <v>2.8439999999999999</v>
      </c>
      <c r="P44" s="26">
        <f>(SUMPRODUCT(('Modell Kapazität'!$C$2:$C$35='Abgleich Kapazität'!$A44)*('Modell Kapazität'!$D$1:$AZ$1='Abgleich Kapazität'!P$40)*'Modell Kapazität'!$D$2:$AZ$35)+SUMPRODUCT(('Modell Kapazität'!$C$2:$C$35='Abgleich Kapazität'!$A44)*('Modell Kapazität'!$D$1:$AZ$1='Abgleich Kapazität'!P$39)*'Modell Kapazität'!$D$2:$AZ$35)+SUMPRODUCT(('Modell Kapazität'!$C$2:$C$35='Abgleich Kapazität'!$A44)*('Modell Kapazität'!$D$1:$AZ$1='Abgleich Kapazität'!P$38)*'Modell Kapazität'!$D$2:$AZ$35))/1000</f>
        <v>1.2</v>
      </c>
      <c r="Q44" s="26">
        <f>(SUMPRODUCT(('Modell Kapazität'!$C$2:$C$35='Abgleich Kapazität'!$A44)*('Modell Kapazität'!$D$1:$AZ$1='Abgleich Kapazität'!Q$40)*'Modell Kapazität'!$D$2:$AZ$35)+SUMPRODUCT(('Modell Kapazität'!$C$2:$C$35='Abgleich Kapazität'!$A44)*('Modell Kapazität'!$D$1:$AZ$1='Abgleich Kapazität'!Q$39)*'Modell Kapazität'!$D$2:$AZ$35)+SUMPRODUCT(('Modell Kapazität'!$C$2:$C$35='Abgleich Kapazität'!$A44)*('Modell Kapazität'!$D$1:$AZ$1='Abgleich Kapazität'!Q$38)*'Modell Kapazität'!$D$2:$AZ$35))/1000</f>
        <v>0</v>
      </c>
      <c r="R44" s="26">
        <f>(SUMPRODUCT(('Modell Kapazität'!$C$2:$C$35='Abgleich Kapazität'!$A44)*('Modell Kapazität'!$D$1:$AZ$1='Abgleich Kapazität'!R$40)*'Modell Kapazität'!$D$2:$AZ$35)+SUMPRODUCT(('Modell Kapazität'!$C$2:$C$35='Abgleich Kapazität'!$A44)*('Modell Kapazität'!$D$1:$AZ$1='Abgleich Kapazität'!R$39)*'Modell Kapazität'!$D$2:$AZ$35)+SUMPRODUCT(('Modell Kapazität'!$C$2:$C$35='Abgleich Kapazität'!$A44)*('Modell Kapazität'!$D$1:$AZ$1='Abgleich Kapazität'!R$38)*'Modell Kapazität'!$D$2:$AZ$35))/1000</f>
        <v>0.8639</v>
      </c>
      <c r="S44" s="26">
        <f>(SUMPRODUCT(('Modell Kapazität'!$C$2:$C$35='Abgleich Kapazität'!$A44)*('Modell Kapazität'!$D$1:$AZ$1='Abgleich Kapazität'!S$40)*'Modell Kapazität'!$D$2:$AZ$35)+SUMPRODUCT(('Modell Kapazität'!$C$2:$C$35='Abgleich Kapazität'!$A44)*('Modell Kapazität'!$D$1:$AZ$1='Abgleich Kapazität'!S$39)*'Modell Kapazität'!$D$2:$AZ$35)+SUMPRODUCT(('Modell Kapazität'!$C$2:$C$35='Abgleich Kapazität'!$A44)*('Modell Kapazität'!$D$1:$AZ$1='Abgleich Kapazität'!S$38)*'Modell Kapazität'!$D$2:$AZ$35))/1000</f>
        <v>0</v>
      </c>
      <c r="T44" s="26">
        <f>(SUMPRODUCT(('Modell Kapazität'!$C$2:$C$35='Abgleich Kapazität'!$A44)*('Modell Kapazität'!$D$1:$AZ$1='Abgleich Kapazität'!T$40)*'Modell Kapazität'!$D$2:$AZ$35)+SUMPRODUCT(('Modell Kapazität'!$C$2:$C$35='Abgleich Kapazität'!$A44)*('Modell Kapazität'!$D$1:$AZ$1='Abgleich Kapazität'!T$39)*'Modell Kapazität'!$D$2:$AZ$35)+SUMPRODUCT(('Modell Kapazität'!$C$2:$C$35='Abgleich Kapazität'!$A44)*('Modell Kapazität'!$D$1:$AZ$1='Abgleich Kapazität'!T$38)*'Modell Kapazität'!$D$2:$AZ$35))/1000</f>
        <v>0</v>
      </c>
      <c r="U44" s="26">
        <f>(SUMPRODUCT(('Modell Kapazität'!$C$2:$C$35='Abgleich Kapazität'!$A44)*('Modell Kapazität'!$D$1:$AZ$1='Abgleich Kapazität'!U$40)*'Modell Kapazität'!$D$2:$AZ$35)+SUMPRODUCT(('Modell Kapazität'!$C$2:$C$35='Abgleich Kapazität'!$A44)*('Modell Kapazität'!$D$1:$AZ$1='Abgleich Kapazität'!U$39)*'Modell Kapazität'!$D$2:$AZ$35)+SUMPRODUCT(('Modell Kapazität'!$C$2:$C$35='Abgleich Kapazität'!$A44)*('Modell Kapazität'!$D$1:$AZ$1='Abgleich Kapazität'!U$38)*'Modell Kapazität'!$D$2:$AZ$35))/1000</f>
        <v>0</v>
      </c>
      <c r="V44" s="27">
        <f>K44+B44</f>
        <v>25.045900000000003</v>
      </c>
    </row>
    <row r="45" spans="1:45" x14ac:dyDescent="0.25">
      <c r="A45" s="14" t="s">
        <v>12</v>
      </c>
      <c r="B45" s="57">
        <f t="shared" si="73"/>
        <v>4.2385580000000003</v>
      </c>
      <c r="C45" s="58">
        <f>(SUMPRODUCT(('Modell Kapazität'!$C$2:$C$35='Abgleich Kapazität'!$A45)*('Modell Kapazität'!$D$1:$AZ$1='Abgleich Kapazität'!C$40)*'Modell Kapazität'!$D$2:$AZ$35)+SUMPRODUCT(('Modell Kapazität'!$C$2:$C$35='Abgleich Kapazität'!$A45)*('Modell Kapazität'!$D$1:$AZ$1='Abgleich Kapazität'!C$39)*'Modell Kapazität'!$D$2:$AZ$35)+SUMPRODUCT(('Modell Kapazität'!$C$2:$C$35='Abgleich Kapazität'!$A45)*('Modell Kapazität'!$D$1:$AZ$1='Abgleich Kapazität'!C$38)*'Modell Kapazität'!$D$2:$AZ$35))/1000</f>
        <v>0</v>
      </c>
      <c r="D45" s="58">
        <f t="shared" si="74"/>
        <v>4.2385580000000003</v>
      </c>
      <c r="E45" s="58">
        <f>(SUMPRODUCT(('Modell Kapazität'!$C$2:$C$35='Abgleich Kapazität'!$A45)*('Modell Kapazität'!$D$1:$AZ$1='Abgleich Kapazität'!E$40)*'Modell Kapazität'!$D$2:$AZ$35)+SUMPRODUCT(('Modell Kapazität'!$C$2:$C$35='Abgleich Kapazität'!$A45)*('Modell Kapazität'!$D$1:$AZ$1='Abgleich Kapazität'!E$39)*'Modell Kapazität'!$D$2:$AZ$35)+SUMPRODUCT(('Modell Kapazität'!$C$2:$C$35='Abgleich Kapazität'!$A45)*('Modell Kapazität'!$D$1:$AZ$1='Abgleich Kapazität'!E$38)*'Modell Kapazität'!$D$2:$AZ$35))/1000</f>
        <v>3.2604000000000002</v>
      </c>
      <c r="F45" s="58">
        <f>(SUMPRODUCT(('Modell Kapazität'!$C$2:$C$35='Abgleich Kapazität'!$A45)*('Modell Kapazität'!$D$1:$AZ$1='Abgleich Kapazität'!F$40)*'Modell Kapazität'!$D$2:$AZ$35)+SUMPRODUCT(('Modell Kapazität'!$C$2:$C$35='Abgleich Kapazität'!$A45)*('Modell Kapazität'!$D$1:$AZ$1='Abgleich Kapazität'!F$39)*'Modell Kapazität'!$D$2:$AZ$35)+SUMPRODUCT(('Modell Kapazität'!$C$2:$C$35='Abgleich Kapazität'!$A45)*('Modell Kapazität'!$D$1:$AZ$1='Abgleich Kapazität'!F$38)*'Modell Kapazität'!$D$2:$AZ$35))/1000</f>
        <v>0</v>
      </c>
      <c r="G45" s="58">
        <f>(SUMPRODUCT(('Modell Kapazität'!$C$2:$C$35='Abgleich Kapazität'!$A45)*('Modell Kapazität'!$D$1:$AZ$1='Abgleich Kapazität'!G$40)*'Modell Kapazität'!$D$2:$AZ$35)+SUMPRODUCT(('Modell Kapazität'!$C$2:$C$35='Abgleich Kapazität'!$A45)*('Modell Kapazität'!$D$1:$AZ$1='Abgleich Kapazität'!G$39)*'Modell Kapazität'!$D$2:$AZ$35)+SUMPRODUCT(('Modell Kapazität'!$C$2:$C$35='Abgleich Kapazität'!$A45)*('Modell Kapazität'!$D$1:$AZ$1='Abgleich Kapazität'!G$38)*'Modell Kapazität'!$D$2:$AZ$35))/1000</f>
        <v>0.97815799999999997</v>
      </c>
      <c r="H45" s="58">
        <f>(SUMPRODUCT(('Modell Kapazität'!$C$2:$C$35='Abgleich Kapazität'!$A45)*('Modell Kapazität'!$D$1:$AZ$1='Abgleich Kapazität'!H$40)*'Modell Kapazität'!$D$2:$AZ$35)+SUMPRODUCT(('Modell Kapazität'!$C$2:$C$35='Abgleich Kapazität'!$A45)*('Modell Kapazität'!$D$1:$AZ$1='Abgleich Kapazität'!H$39)*'Modell Kapazität'!$D$2:$AZ$35)+SUMPRODUCT(('Modell Kapazität'!$C$2:$C$35='Abgleich Kapazität'!$A45)*('Modell Kapazität'!$D$1:$AZ$1='Abgleich Kapazität'!H$38)*'Modell Kapazität'!$D$2:$AZ$35))/1000</f>
        <v>0</v>
      </c>
      <c r="I45" s="58">
        <f>(SUMPRODUCT(('Modell Kapazität'!$C$2:$C$35='Abgleich Kapazität'!$A45)*('Modell Kapazität'!$D$1:$AZ$1='Abgleich Kapazität'!I$40)*'Modell Kapazität'!$D$2:$AZ$35)+SUMPRODUCT(('Modell Kapazität'!$C$2:$C$35='Abgleich Kapazität'!$A45)*('Modell Kapazität'!$D$1:$AZ$1='Abgleich Kapazität'!I$39)*'Modell Kapazität'!$D$2:$AZ$35)+SUMPRODUCT(('Modell Kapazität'!$C$2:$C$35='Abgleich Kapazität'!$A45)*('Modell Kapazität'!$D$1:$AZ$1='Abgleich Kapazität'!I$38)*'Modell Kapazität'!$D$2:$AZ$35))/1000</f>
        <v>0</v>
      </c>
      <c r="J45" s="58">
        <f>(SUMPRODUCT(('Modell Kapazität'!$C$2:$C$35='Abgleich Kapazität'!$A45)*('Modell Kapazität'!$D$1:$AZ$1='Abgleich Kapazität'!J$40)*'Modell Kapazität'!$D$2:$AZ$35)+SUMPRODUCT(('Modell Kapazität'!$C$2:$C$35='Abgleich Kapazität'!$A45)*('Modell Kapazität'!$D$1:$AZ$1='Abgleich Kapazität'!J$39)*'Modell Kapazität'!$D$2:$AZ$35)+SUMPRODUCT(('Modell Kapazität'!$C$2:$C$35='Abgleich Kapazität'!$A45)*('Modell Kapazität'!$D$1:$AZ$1='Abgleich Kapazität'!J$38)*'Modell Kapazität'!$D$2:$AZ$35))/1000</f>
        <v>0</v>
      </c>
      <c r="K45" s="59">
        <f t="shared" ref="K45:K72" si="75">SUM(L45:U45)</f>
        <v>4.1528676753160001</v>
      </c>
      <c r="L45" s="58">
        <f>(SUMPRODUCT(('Modell Kapazität'!$C$2:$C$35='Abgleich Kapazität'!$A45)*('Modell Kapazität'!$D$1:$AZ$1='Abgleich Kapazität'!L$40)*'Modell Kapazität'!$D$2:$AZ$35)+SUMPRODUCT(('Modell Kapazität'!$C$2:$C$35='Abgleich Kapazität'!$A45)*('Modell Kapazität'!$D$1:$AZ$1='Abgleich Kapazität'!L$39)*'Modell Kapazität'!$D$2:$AZ$35)+SUMPRODUCT(('Modell Kapazität'!$C$2:$C$35='Abgleich Kapazität'!$A45)*('Modell Kapazität'!$D$1:$AZ$1='Abgleich Kapazität'!L$38)*'Modell Kapazität'!$D$2:$AZ$35))/1000</f>
        <v>3.9303343420000001</v>
      </c>
      <c r="M45" s="58">
        <f>(SUMPRODUCT(('Modell Kapazität'!$C$2:$C$35='Abgleich Kapazität'!$A45)*('Modell Kapazität'!$D$1:$AZ$1='Abgleich Kapazität'!M$40)*'Modell Kapazität'!$D$2:$AZ$35)+SUMPRODUCT(('Modell Kapazität'!$C$2:$C$35='Abgleich Kapazität'!$A45)*('Modell Kapazität'!$D$1:$AZ$1='Abgleich Kapazität'!M$39)*'Modell Kapazität'!$D$2:$AZ$35)+SUMPRODUCT(('Modell Kapazität'!$C$2:$C$35='Abgleich Kapazität'!$A45)*('Modell Kapazität'!$D$1:$AZ$1='Abgleich Kapazität'!M$38)*'Modell Kapazität'!$D$2:$AZ$35))/1000</f>
        <v>0</v>
      </c>
      <c r="N45" s="58">
        <f>(SUMPRODUCT(('Modell Kapazität'!$C$2:$C$35='Abgleich Kapazität'!$A45)*('Modell Kapazität'!$D$1:$AZ$1='Abgleich Kapazität'!N$40)*'Modell Kapazität'!$D$2:$AZ$35)+SUMPRODUCT(('Modell Kapazität'!$C$2:$C$35='Abgleich Kapazität'!$A45)*('Modell Kapazität'!$D$1:$AZ$1='Abgleich Kapazität'!N$39)*'Modell Kapazität'!$D$2:$AZ$35)+SUMPRODUCT(('Modell Kapazität'!$C$2:$C$35='Abgleich Kapazität'!$A45)*('Modell Kapazität'!$D$1:$AZ$1='Abgleich Kapazität'!N$38)*'Modell Kapazität'!$D$2:$AZ$35))/1000</f>
        <v>0</v>
      </c>
      <c r="O45" s="58">
        <f>(SUMPRODUCT(('Modell Kapazität'!$C$2:$C$35='Abgleich Kapazität'!$A45)*('Modell Kapazität'!$D$1:$AZ$1='Abgleich Kapazität'!O$40)*'Modell Kapazität'!$D$2:$AZ$35)+SUMPRODUCT(('Modell Kapazität'!$C$2:$C$35='Abgleich Kapazität'!$A45)*('Modell Kapazität'!$D$1:$AZ$1='Abgleich Kapazität'!O$39)*'Modell Kapazität'!$D$2:$AZ$35)+SUMPRODUCT(('Modell Kapazität'!$C$2:$C$35='Abgleich Kapazität'!$A45)*('Modell Kapazität'!$D$1:$AZ$1='Abgleich Kapazität'!O$38)*'Modell Kapazität'!$D$2:$AZ$35))/1000</f>
        <v>0.21501818180000001</v>
      </c>
      <c r="P45" s="58">
        <f>(SUMPRODUCT(('Modell Kapazität'!$C$2:$C$35='Abgleich Kapazität'!$A45)*('Modell Kapazität'!$D$1:$AZ$1='Abgleich Kapazität'!P$40)*'Modell Kapazität'!$D$2:$AZ$35)+SUMPRODUCT(('Modell Kapazität'!$C$2:$C$35='Abgleich Kapazität'!$A45)*('Modell Kapazität'!$D$1:$AZ$1='Abgleich Kapazität'!P$39)*'Modell Kapazität'!$D$2:$AZ$35)+SUMPRODUCT(('Modell Kapazität'!$C$2:$C$35='Abgleich Kapazität'!$A45)*('Modell Kapazität'!$D$1:$AZ$1='Abgleich Kapazität'!P$38)*'Modell Kapazität'!$D$2:$AZ$35))/1000</f>
        <v>6.0606060609999998E-3</v>
      </c>
      <c r="Q45" s="58">
        <f>(SUMPRODUCT(('Modell Kapazität'!$C$2:$C$35='Abgleich Kapazität'!$A45)*('Modell Kapazität'!$D$1:$AZ$1='Abgleich Kapazität'!Q$40)*'Modell Kapazität'!$D$2:$AZ$35)+SUMPRODUCT(('Modell Kapazität'!$C$2:$C$35='Abgleich Kapazität'!$A45)*('Modell Kapazität'!$D$1:$AZ$1='Abgleich Kapazität'!Q$39)*'Modell Kapazität'!$D$2:$AZ$35)+SUMPRODUCT(('Modell Kapazität'!$C$2:$C$35='Abgleich Kapazität'!$A45)*('Modell Kapazität'!$D$1:$AZ$1='Abgleich Kapazität'!Q$38)*'Modell Kapazität'!$D$2:$AZ$35))/1000</f>
        <v>0</v>
      </c>
      <c r="R45" s="58">
        <f>(SUMPRODUCT(('Modell Kapazität'!$C$2:$C$35='Abgleich Kapazität'!$A45)*('Modell Kapazität'!$D$1:$AZ$1='Abgleich Kapazität'!R$40)*'Modell Kapazität'!$D$2:$AZ$35)+SUMPRODUCT(('Modell Kapazität'!$C$2:$C$35='Abgleich Kapazität'!$A45)*('Modell Kapazität'!$D$1:$AZ$1='Abgleich Kapazität'!R$39)*'Modell Kapazität'!$D$2:$AZ$35)+SUMPRODUCT(('Modell Kapazität'!$C$2:$C$35='Abgleich Kapazität'!$A45)*('Modell Kapazität'!$D$1:$AZ$1='Abgleich Kapazität'!R$38)*'Modell Kapazität'!$D$2:$AZ$35))/1000</f>
        <v>1.4545454550000001E-3</v>
      </c>
      <c r="S45" s="58">
        <f>(SUMPRODUCT(('Modell Kapazität'!$C$2:$C$35='Abgleich Kapazität'!$A45)*('Modell Kapazität'!$D$1:$AZ$1='Abgleich Kapazität'!S$40)*'Modell Kapazität'!$D$2:$AZ$35)+SUMPRODUCT(('Modell Kapazität'!$C$2:$C$35='Abgleich Kapazität'!$A45)*('Modell Kapazität'!$D$1:$AZ$1='Abgleich Kapazität'!S$39)*'Modell Kapazität'!$D$2:$AZ$35)+SUMPRODUCT(('Modell Kapazität'!$C$2:$C$35='Abgleich Kapazität'!$A45)*('Modell Kapazität'!$D$1:$AZ$1='Abgleich Kapazität'!S$38)*'Modell Kapazität'!$D$2:$AZ$35))/1000</f>
        <v>0</v>
      </c>
      <c r="T45" s="58">
        <f>(SUMPRODUCT(('Modell Kapazität'!$C$2:$C$35='Abgleich Kapazität'!$A45)*('Modell Kapazität'!$D$1:$AZ$1='Abgleich Kapazität'!T$40)*'Modell Kapazität'!$D$2:$AZ$35)+SUMPRODUCT(('Modell Kapazität'!$C$2:$C$35='Abgleich Kapazität'!$A45)*('Modell Kapazität'!$D$1:$AZ$1='Abgleich Kapazität'!T$39)*'Modell Kapazität'!$D$2:$AZ$35)+SUMPRODUCT(('Modell Kapazität'!$C$2:$C$35='Abgleich Kapazität'!$A45)*('Modell Kapazität'!$D$1:$AZ$1='Abgleich Kapazität'!T$38)*'Modell Kapazität'!$D$2:$AZ$35))/1000</f>
        <v>0</v>
      </c>
      <c r="U45" s="58">
        <f>(SUMPRODUCT(('Modell Kapazität'!$C$2:$C$35='Abgleich Kapazität'!$A45)*('Modell Kapazität'!$D$1:$AZ$1='Abgleich Kapazität'!U$40)*'Modell Kapazität'!$D$2:$AZ$35)+SUMPRODUCT(('Modell Kapazität'!$C$2:$C$35='Abgleich Kapazität'!$A45)*('Modell Kapazität'!$D$1:$AZ$1='Abgleich Kapazität'!U$39)*'Modell Kapazität'!$D$2:$AZ$35)+SUMPRODUCT(('Modell Kapazität'!$C$2:$C$35='Abgleich Kapazität'!$A45)*('Modell Kapazität'!$D$1:$AZ$1='Abgleich Kapazität'!U$38)*'Modell Kapazität'!$D$2:$AZ$35))/1000</f>
        <v>0</v>
      </c>
      <c r="V45" s="59">
        <f t="shared" ref="V45:V72" si="76">K45+B45</f>
        <v>8.3914256753160004</v>
      </c>
    </row>
    <row r="46" spans="1:45" x14ac:dyDescent="0.25">
      <c r="A46" s="14" t="s">
        <v>13</v>
      </c>
      <c r="B46" s="25">
        <f t="shared" si="73"/>
        <v>11.728</v>
      </c>
      <c r="C46" s="26">
        <f>(SUMPRODUCT(('Modell Kapazität'!$C$2:$C$35='Abgleich Kapazität'!$A46)*('Modell Kapazität'!$D$1:$AZ$1='Abgleich Kapazität'!C$40)*'Modell Kapazität'!$D$2:$AZ$35)+SUMPRODUCT(('Modell Kapazität'!$C$2:$C$35='Abgleich Kapazität'!$A46)*('Modell Kapazität'!$D$1:$AZ$1='Abgleich Kapazität'!C$39)*'Modell Kapazität'!$D$2:$AZ$35)+SUMPRODUCT(('Modell Kapazität'!$C$2:$C$35='Abgleich Kapazität'!$A46)*('Modell Kapazität'!$D$1:$AZ$1='Abgleich Kapazität'!C$38)*'Modell Kapazität'!$D$2:$AZ$35))/1000</f>
        <v>5.9180000000000001</v>
      </c>
      <c r="D46" s="26">
        <f t="shared" si="74"/>
        <v>5.81</v>
      </c>
      <c r="E46" s="26">
        <f>(SUMPRODUCT(('Modell Kapazität'!$C$2:$C$35='Abgleich Kapazität'!$A46)*('Modell Kapazität'!$D$1:$AZ$1='Abgleich Kapazität'!E$40)*'Modell Kapazität'!$D$2:$AZ$35)+SUMPRODUCT(('Modell Kapazität'!$C$2:$C$35='Abgleich Kapazität'!$A46)*('Modell Kapazität'!$D$1:$AZ$1='Abgleich Kapazität'!E$39)*'Modell Kapazität'!$D$2:$AZ$35)+SUMPRODUCT(('Modell Kapazität'!$C$2:$C$35='Abgleich Kapazität'!$A46)*('Modell Kapazität'!$D$1:$AZ$1='Abgleich Kapazität'!E$38)*'Modell Kapazität'!$D$2:$AZ$35))/1000</f>
        <v>0</v>
      </c>
      <c r="F46" s="26">
        <f>(SUMPRODUCT(('Modell Kapazität'!$C$2:$C$35='Abgleich Kapazität'!$A46)*('Modell Kapazität'!$D$1:$AZ$1='Abgleich Kapazität'!F$40)*'Modell Kapazität'!$D$2:$AZ$35)+SUMPRODUCT(('Modell Kapazität'!$C$2:$C$35='Abgleich Kapazität'!$A46)*('Modell Kapazität'!$D$1:$AZ$1='Abgleich Kapazität'!F$39)*'Modell Kapazität'!$D$2:$AZ$35)+SUMPRODUCT(('Modell Kapazität'!$C$2:$C$35='Abgleich Kapazität'!$A46)*('Modell Kapazität'!$D$1:$AZ$1='Abgleich Kapazität'!F$38)*'Modell Kapazität'!$D$2:$AZ$35))/1000</f>
        <v>5.6</v>
      </c>
      <c r="G46" s="26">
        <f>(SUMPRODUCT(('Modell Kapazität'!$C$2:$C$35='Abgleich Kapazität'!$A46)*('Modell Kapazität'!$D$1:$AZ$1='Abgleich Kapazität'!G$40)*'Modell Kapazität'!$D$2:$AZ$35)+SUMPRODUCT(('Modell Kapazität'!$C$2:$C$35='Abgleich Kapazität'!$A46)*('Modell Kapazität'!$D$1:$AZ$1='Abgleich Kapazität'!G$39)*'Modell Kapazität'!$D$2:$AZ$35)+SUMPRODUCT(('Modell Kapazität'!$C$2:$C$35='Abgleich Kapazität'!$A46)*('Modell Kapazität'!$D$1:$AZ$1='Abgleich Kapazität'!G$38)*'Modell Kapazität'!$D$2:$AZ$35))/1000</f>
        <v>0</v>
      </c>
      <c r="H46" s="26">
        <f>(SUMPRODUCT(('Modell Kapazität'!$C$2:$C$35='Abgleich Kapazität'!$A46)*('Modell Kapazität'!$D$1:$AZ$1='Abgleich Kapazität'!H$40)*'Modell Kapazität'!$D$2:$AZ$35)+SUMPRODUCT(('Modell Kapazität'!$C$2:$C$35='Abgleich Kapazität'!$A46)*('Modell Kapazität'!$D$1:$AZ$1='Abgleich Kapazität'!H$39)*'Modell Kapazität'!$D$2:$AZ$35)+SUMPRODUCT(('Modell Kapazität'!$C$2:$C$35='Abgleich Kapazität'!$A46)*('Modell Kapazität'!$D$1:$AZ$1='Abgleich Kapazität'!H$38)*'Modell Kapazität'!$D$2:$AZ$35))/1000</f>
        <v>0</v>
      </c>
      <c r="I46" s="26">
        <f>(SUMPRODUCT(('Modell Kapazität'!$C$2:$C$35='Abgleich Kapazität'!$A46)*('Modell Kapazität'!$D$1:$AZ$1='Abgleich Kapazität'!I$40)*'Modell Kapazität'!$D$2:$AZ$35)+SUMPRODUCT(('Modell Kapazität'!$C$2:$C$35='Abgleich Kapazität'!$A46)*('Modell Kapazität'!$D$1:$AZ$1='Abgleich Kapazität'!I$39)*'Modell Kapazität'!$D$2:$AZ$35)+SUMPRODUCT(('Modell Kapazität'!$C$2:$C$35='Abgleich Kapazität'!$A46)*('Modell Kapazität'!$D$1:$AZ$1='Abgleich Kapazität'!I$38)*'Modell Kapazität'!$D$2:$AZ$35))/1000</f>
        <v>0</v>
      </c>
      <c r="J46" s="26">
        <f>(SUMPRODUCT(('Modell Kapazität'!$C$2:$C$35='Abgleich Kapazität'!$A46)*('Modell Kapazität'!$D$1:$AZ$1='Abgleich Kapazität'!J$40)*'Modell Kapazität'!$D$2:$AZ$35)+SUMPRODUCT(('Modell Kapazität'!$C$2:$C$35='Abgleich Kapazität'!$A46)*('Modell Kapazität'!$D$1:$AZ$1='Abgleich Kapazität'!J$39)*'Modell Kapazität'!$D$2:$AZ$35)+SUMPRODUCT(('Modell Kapazität'!$C$2:$C$35='Abgleich Kapazität'!$A46)*('Modell Kapazität'!$D$1:$AZ$1='Abgleich Kapazität'!J$38)*'Modell Kapazität'!$D$2:$AZ$35))/1000</f>
        <v>0.21</v>
      </c>
      <c r="K46" s="27">
        <f t="shared" si="75"/>
        <v>8.3529999999999998</v>
      </c>
      <c r="L46" s="26">
        <f>(SUMPRODUCT(('Modell Kapazität'!$C$2:$C$35='Abgleich Kapazität'!$A46)*('Modell Kapazität'!$D$1:$AZ$1='Abgleich Kapazität'!L$40)*'Modell Kapazität'!$D$2:$AZ$35)+SUMPRODUCT(('Modell Kapazität'!$C$2:$C$35='Abgleich Kapazität'!$A46)*('Modell Kapazität'!$D$1:$AZ$1='Abgleich Kapazität'!L$39)*'Modell Kapazität'!$D$2:$AZ$35)+SUMPRODUCT(('Modell Kapazität'!$C$2:$C$35='Abgleich Kapazität'!$A46)*('Modell Kapazität'!$D$1:$AZ$1='Abgleich Kapazität'!L$38)*'Modell Kapazität'!$D$2:$AZ$35))/1000</f>
        <v>1.3069999999999999</v>
      </c>
      <c r="M46" s="26">
        <f>(SUMPRODUCT(('Modell Kapazität'!$C$2:$C$35='Abgleich Kapazität'!$A46)*('Modell Kapazität'!$D$1:$AZ$1='Abgleich Kapazität'!M$40)*'Modell Kapazität'!$D$2:$AZ$35)+SUMPRODUCT(('Modell Kapazität'!$C$2:$C$35='Abgleich Kapazität'!$A46)*('Modell Kapazität'!$D$1:$AZ$1='Abgleich Kapazität'!M$39)*'Modell Kapazität'!$D$2:$AZ$35)+SUMPRODUCT(('Modell Kapazität'!$C$2:$C$35='Abgleich Kapazität'!$A46)*('Modell Kapazität'!$D$1:$AZ$1='Abgleich Kapazität'!M$38)*'Modell Kapazität'!$D$2:$AZ$35))/1000</f>
        <v>0</v>
      </c>
      <c r="N46" s="26">
        <f>(SUMPRODUCT(('Modell Kapazität'!$C$2:$C$35='Abgleich Kapazität'!$A46)*('Modell Kapazität'!$D$1:$AZ$1='Abgleich Kapazität'!N$40)*'Modell Kapazität'!$D$2:$AZ$35)+SUMPRODUCT(('Modell Kapazität'!$C$2:$C$35='Abgleich Kapazität'!$A46)*('Modell Kapazität'!$D$1:$AZ$1='Abgleich Kapazität'!N$39)*'Modell Kapazität'!$D$2:$AZ$35)+SUMPRODUCT(('Modell Kapazität'!$C$2:$C$35='Abgleich Kapazität'!$A46)*('Modell Kapazität'!$D$1:$AZ$1='Abgleich Kapazität'!N$38)*'Modell Kapazität'!$D$2:$AZ$35))/1000</f>
        <v>0.877</v>
      </c>
      <c r="O46" s="26">
        <f>(SUMPRODUCT(('Modell Kapazität'!$C$2:$C$35='Abgleich Kapazität'!$A46)*('Modell Kapazität'!$D$1:$AZ$1='Abgleich Kapazität'!O$40)*'Modell Kapazität'!$D$2:$AZ$35)+SUMPRODUCT(('Modell Kapazität'!$C$2:$C$35='Abgleich Kapazität'!$A46)*('Modell Kapazität'!$D$1:$AZ$1='Abgleich Kapazität'!O$39)*'Modell Kapazität'!$D$2:$AZ$35)+SUMPRODUCT(('Modell Kapazität'!$C$2:$C$35='Abgleich Kapazität'!$A46)*('Modell Kapazität'!$D$1:$AZ$1='Abgleich Kapazität'!O$38)*'Modell Kapazität'!$D$2:$AZ$35))/1000</f>
        <v>1.966</v>
      </c>
      <c r="P46" s="26">
        <f>(SUMPRODUCT(('Modell Kapazität'!$C$2:$C$35='Abgleich Kapazität'!$A46)*('Modell Kapazität'!$D$1:$AZ$1='Abgleich Kapazität'!P$40)*'Modell Kapazität'!$D$2:$AZ$35)+SUMPRODUCT(('Modell Kapazität'!$C$2:$C$35='Abgleich Kapazität'!$A46)*('Modell Kapazität'!$D$1:$AZ$1='Abgleich Kapazität'!P$39)*'Modell Kapazität'!$D$2:$AZ$35)+SUMPRODUCT(('Modell Kapazität'!$C$2:$C$35='Abgleich Kapazität'!$A46)*('Modell Kapazität'!$D$1:$AZ$1='Abgleich Kapazität'!P$38)*'Modell Kapazität'!$D$2:$AZ$35))/1000</f>
        <v>3.3029999999999999</v>
      </c>
      <c r="Q46" s="26">
        <f>(SUMPRODUCT(('Modell Kapazität'!$C$2:$C$35='Abgleich Kapazität'!$A46)*('Modell Kapazität'!$D$1:$AZ$1='Abgleich Kapazität'!Q$40)*'Modell Kapazität'!$D$2:$AZ$35)+SUMPRODUCT(('Modell Kapazität'!$C$2:$C$35='Abgleich Kapazität'!$A46)*('Modell Kapazität'!$D$1:$AZ$1='Abgleich Kapazität'!Q$39)*'Modell Kapazität'!$D$2:$AZ$35)+SUMPRODUCT(('Modell Kapazität'!$C$2:$C$35='Abgleich Kapazität'!$A46)*('Modell Kapazität'!$D$1:$AZ$1='Abgleich Kapazität'!Q$38)*'Modell Kapazität'!$D$2:$AZ$35))/1000</f>
        <v>0</v>
      </c>
      <c r="R46" s="26">
        <f>(SUMPRODUCT(('Modell Kapazität'!$C$2:$C$35='Abgleich Kapazität'!$A46)*('Modell Kapazität'!$D$1:$AZ$1='Abgleich Kapazität'!R$40)*'Modell Kapazität'!$D$2:$AZ$35)+SUMPRODUCT(('Modell Kapazität'!$C$2:$C$35='Abgleich Kapazität'!$A46)*('Modell Kapazität'!$D$1:$AZ$1='Abgleich Kapazität'!R$39)*'Modell Kapazität'!$D$2:$AZ$35)+SUMPRODUCT(('Modell Kapazität'!$C$2:$C$35='Abgleich Kapazität'!$A46)*('Modell Kapazität'!$D$1:$AZ$1='Abgleich Kapazität'!R$38)*'Modell Kapazität'!$D$2:$AZ$35))/1000</f>
        <v>0.9</v>
      </c>
      <c r="S46" s="26">
        <f>(SUMPRODUCT(('Modell Kapazität'!$C$2:$C$35='Abgleich Kapazität'!$A46)*('Modell Kapazität'!$D$1:$AZ$1='Abgleich Kapazität'!S$40)*'Modell Kapazität'!$D$2:$AZ$35)+SUMPRODUCT(('Modell Kapazität'!$C$2:$C$35='Abgleich Kapazität'!$A46)*('Modell Kapazität'!$D$1:$AZ$1='Abgleich Kapazität'!S$39)*'Modell Kapazität'!$D$2:$AZ$35)+SUMPRODUCT(('Modell Kapazität'!$C$2:$C$35='Abgleich Kapazität'!$A46)*('Modell Kapazität'!$D$1:$AZ$1='Abgleich Kapazität'!S$38)*'Modell Kapazität'!$D$2:$AZ$35))/1000</f>
        <v>0</v>
      </c>
      <c r="T46" s="26">
        <f>(SUMPRODUCT(('Modell Kapazität'!$C$2:$C$35='Abgleich Kapazität'!$A46)*('Modell Kapazität'!$D$1:$AZ$1='Abgleich Kapazität'!T$40)*'Modell Kapazität'!$D$2:$AZ$35)+SUMPRODUCT(('Modell Kapazität'!$C$2:$C$35='Abgleich Kapazität'!$A46)*('Modell Kapazität'!$D$1:$AZ$1='Abgleich Kapazität'!T$39)*'Modell Kapazität'!$D$2:$AZ$35)+SUMPRODUCT(('Modell Kapazität'!$C$2:$C$35='Abgleich Kapazität'!$A46)*('Modell Kapazität'!$D$1:$AZ$1='Abgleich Kapazität'!T$38)*'Modell Kapazität'!$D$2:$AZ$35))/1000</f>
        <v>0</v>
      </c>
      <c r="U46" s="26">
        <f>(SUMPRODUCT(('Modell Kapazität'!$C$2:$C$35='Abgleich Kapazität'!$A46)*('Modell Kapazität'!$D$1:$AZ$1='Abgleich Kapazität'!U$40)*'Modell Kapazität'!$D$2:$AZ$35)+SUMPRODUCT(('Modell Kapazität'!$C$2:$C$35='Abgleich Kapazität'!$A46)*('Modell Kapazität'!$D$1:$AZ$1='Abgleich Kapazität'!U$39)*'Modell Kapazität'!$D$2:$AZ$35)+SUMPRODUCT(('Modell Kapazität'!$C$2:$C$35='Abgleich Kapazität'!$A46)*('Modell Kapazität'!$D$1:$AZ$1='Abgleich Kapazität'!U$38)*'Modell Kapazität'!$D$2:$AZ$35))/1000</f>
        <v>0</v>
      </c>
      <c r="V46" s="27">
        <f t="shared" si="76"/>
        <v>20.081</v>
      </c>
    </row>
    <row r="47" spans="1:45" x14ac:dyDescent="0.25">
      <c r="A47" s="14" t="s">
        <v>14</v>
      </c>
      <c r="B47" s="57">
        <f t="shared" si="73"/>
        <v>7.5237579999999999</v>
      </c>
      <c r="C47" s="58">
        <f>(SUMPRODUCT(('Modell Kapazität'!$C$2:$C$35='Abgleich Kapazität'!$A47)*('Modell Kapazität'!$D$1:$AZ$1='Abgleich Kapazität'!C$40)*'Modell Kapazität'!$D$2:$AZ$35)+SUMPRODUCT(('Modell Kapazität'!$C$2:$C$35='Abgleich Kapazität'!$A47)*('Modell Kapazität'!$D$1:$AZ$1='Abgleich Kapazität'!C$39)*'Modell Kapazität'!$D$2:$AZ$35)+SUMPRODUCT(('Modell Kapazität'!$C$2:$C$35='Abgleich Kapazität'!$A47)*('Modell Kapazität'!$D$1:$AZ$1='Abgleich Kapazität'!C$38)*'Modell Kapazität'!$D$2:$AZ$35))/1000</f>
        <v>1.9059999999999999</v>
      </c>
      <c r="D47" s="58">
        <f t="shared" si="74"/>
        <v>5.6177580000000003</v>
      </c>
      <c r="E47" s="58">
        <f>(SUMPRODUCT(('Modell Kapazität'!$C$2:$C$35='Abgleich Kapazität'!$A47)*('Modell Kapazität'!$D$1:$AZ$1='Abgleich Kapazität'!E$40)*'Modell Kapazität'!$D$2:$AZ$35)+SUMPRODUCT(('Modell Kapazität'!$C$2:$C$35='Abgleich Kapazität'!$A47)*('Modell Kapazität'!$D$1:$AZ$1='Abgleich Kapazität'!E$39)*'Modell Kapazität'!$D$2:$AZ$35)+SUMPRODUCT(('Modell Kapazität'!$C$2:$C$35='Abgleich Kapazität'!$A47)*('Modell Kapazität'!$D$1:$AZ$1='Abgleich Kapazität'!E$38)*'Modell Kapazität'!$D$2:$AZ$35))/1000</f>
        <v>3.4720500000000003</v>
      </c>
      <c r="F47" s="58">
        <f>(SUMPRODUCT(('Modell Kapazität'!$C$2:$C$35='Abgleich Kapazität'!$A47)*('Modell Kapazität'!$D$1:$AZ$1='Abgleich Kapazität'!F$40)*'Modell Kapazität'!$D$2:$AZ$35)+SUMPRODUCT(('Modell Kapazität'!$C$2:$C$35='Abgleich Kapazität'!$A47)*('Modell Kapazität'!$D$1:$AZ$1='Abgleich Kapazität'!F$39)*'Modell Kapazität'!$D$2:$AZ$35)+SUMPRODUCT(('Modell Kapazität'!$C$2:$C$35='Abgleich Kapazität'!$A47)*('Modell Kapazität'!$D$1:$AZ$1='Abgleich Kapazität'!F$38)*'Modell Kapazität'!$D$2:$AZ$35))/1000</f>
        <v>0.55683300000000002</v>
      </c>
      <c r="G47" s="58">
        <f>(SUMPRODUCT(('Modell Kapazität'!$C$2:$C$35='Abgleich Kapazität'!$A47)*('Modell Kapazität'!$D$1:$AZ$1='Abgleich Kapazität'!G$40)*'Modell Kapazität'!$D$2:$AZ$35)+SUMPRODUCT(('Modell Kapazität'!$C$2:$C$35='Abgleich Kapazität'!$A47)*('Modell Kapazität'!$D$1:$AZ$1='Abgleich Kapazität'!G$39)*'Modell Kapazität'!$D$2:$AZ$35)+SUMPRODUCT(('Modell Kapazität'!$C$2:$C$35='Abgleich Kapazität'!$A47)*('Modell Kapazität'!$D$1:$AZ$1='Abgleich Kapazität'!G$38)*'Modell Kapazität'!$D$2:$AZ$35))/1000</f>
        <v>1.588875</v>
      </c>
      <c r="H47" s="58">
        <f>(SUMPRODUCT(('Modell Kapazität'!$C$2:$C$35='Abgleich Kapazität'!$A47)*('Modell Kapazität'!$D$1:$AZ$1='Abgleich Kapazität'!H$40)*'Modell Kapazität'!$D$2:$AZ$35)+SUMPRODUCT(('Modell Kapazität'!$C$2:$C$35='Abgleich Kapazität'!$A47)*('Modell Kapazität'!$D$1:$AZ$1='Abgleich Kapazität'!H$39)*'Modell Kapazität'!$D$2:$AZ$35)+SUMPRODUCT(('Modell Kapazität'!$C$2:$C$35='Abgleich Kapazität'!$A47)*('Modell Kapazität'!$D$1:$AZ$1='Abgleich Kapazität'!H$38)*'Modell Kapazität'!$D$2:$AZ$35))/1000</f>
        <v>0</v>
      </c>
      <c r="I47" s="58">
        <f>(SUMPRODUCT(('Modell Kapazität'!$C$2:$C$35='Abgleich Kapazität'!$A47)*('Modell Kapazität'!$D$1:$AZ$1='Abgleich Kapazität'!I$40)*'Modell Kapazität'!$D$2:$AZ$35)+SUMPRODUCT(('Modell Kapazität'!$C$2:$C$35='Abgleich Kapazität'!$A47)*('Modell Kapazität'!$D$1:$AZ$1='Abgleich Kapazität'!I$39)*'Modell Kapazität'!$D$2:$AZ$35)+SUMPRODUCT(('Modell Kapazität'!$C$2:$C$35='Abgleich Kapazität'!$A47)*('Modell Kapazität'!$D$1:$AZ$1='Abgleich Kapazität'!I$38)*'Modell Kapazität'!$D$2:$AZ$35))/1000</f>
        <v>0</v>
      </c>
      <c r="J47" s="58">
        <f>(SUMPRODUCT(('Modell Kapazität'!$C$2:$C$35='Abgleich Kapazität'!$A47)*('Modell Kapazität'!$D$1:$AZ$1='Abgleich Kapazität'!J$40)*'Modell Kapazität'!$D$2:$AZ$35)+SUMPRODUCT(('Modell Kapazität'!$C$2:$C$35='Abgleich Kapazität'!$A47)*('Modell Kapazität'!$D$1:$AZ$1='Abgleich Kapazität'!J$39)*'Modell Kapazität'!$D$2:$AZ$35)+SUMPRODUCT(('Modell Kapazität'!$C$2:$C$35='Abgleich Kapazität'!$A47)*('Modell Kapazität'!$D$1:$AZ$1='Abgleich Kapazität'!J$38)*'Modell Kapazität'!$D$2:$AZ$35))/1000</f>
        <v>0</v>
      </c>
      <c r="K47" s="59">
        <f t="shared" si="75"/>
        <v>5.2581958999999996</v>
      </c>
      <c r="L47" s="58">
        <f>(SUMPRODUCT(('Modell Kapazität'!$C$2:$C$35='Abgleich Kapazität'!$A47)*('Modell Kapazität'!$D$1:$AZ$1='Abgleich Kapazität'!L$40)*'Modell Kapazität'!$D$2:$AZ$35)+SUMPRODUCT(('Modell Kapazität'!$C$2:$C$35='Abgleich Kapazität'!$A47)*('Modell Kapazität'!$D$1:$AZ$1='Abgleich Kapazität'!L$39)*'Modell Kapazität'!$D$2:$AZ$35)+SUMPRODUCT(('Modell Kapazität'!$C$2:$C$35='Abgleich Kapazität'!$A47)*('Modell Kapazität'!$D$1:$AZ$1='Abgleich Kapazität'!L$38)*'Modell Kapazität'!$D$2:$AZ$35))/1000</f>
        <v>2.7051959000000001</v>
      </c>
      <c r="M47" s="58">
        <f>(SUMPRODUCT(('Modell Kapazität'!$C$2:$C$35='Abgleich Kapazität'!$A47)*('Modell Kapazität'!$D$1:$AZ$1='Abgleich Kapazität'!M$40)*'Modell Kapazität'!$D$2:$AZ$35)+SUMPRODUCT(('Modell Kapazität'!$C$2:$C$35='Abgleich Kapazität'!$A47)*('Modell Kapazität'!$D$1:$AZ$1='Abgleich Kapazität'!M$39)*'Modell Kapazität'!$D$2:$AZ$35)+SUMPRODUCT(('Modell Kapazität'!$C$2:$C$35='Abgleich Kapazität'!$A47)*('Modell Kapazität'!$D$1:$AZ$1='Abgleich Kapazität'!M$38)*'Modell Kapazität'!$D$2:$AZ$35))/1000</f>
        <v>0</v>
      </c>
      <c r="N47" s="58">
        <f>(SUMPRODUCT(('Modell Kapazität'!$C$2:$C$35='Abgleich Kapazität'!$A47)*('Modell Kapazität'!$D$1:$AZ$1='Abgleich Kapazität'!N$40)*'Modell Kapazität'!$D$2:$AZ$35)+SUMPRODUCT(('Modell Kapazität'!$C$2:$C$35='Abgleich Kapazität'!$A47)*('Modell Kapazität'!$D$1:$AZ$1='Abgleich Kapazität'!N$39)*'Modell Kapazität'!$D$2:$AZ$35)+SUMPRODUCT(('Modell Kapazität'!$C$2:$C$35='Abgleich Kapazität'!$A47)*('Modell Kapazität'!$D$1:$AZ$1='Abgleich Kapazität'!N$38)*'Modell Kapazität'!$D$2:$AZ$35))/1000</f>
        <v>0</v>
      </c>
      <c r="O47" s="58">
        <f>(SUMPRODUCT(('Modell Kapazität'!$C$2:$C$35='Abgleich Kapazität'!$A47)*('Modell Kapazität'!$D$1:$AZ$1='Abgleich Kapazität'!O$40)*'Modell Kapazität'!$D$2:$AZ$35)+SUMPRODUCT(('Modell Kapazität'!$C$2:$C$35='Abgleich Kapazität'!$A47)*('Modell Kapazität'!$D$1:$AZ$1='Abgleich Kapazität'!O$39)*'Modell Kapazität'!$D$2:$AZ$35)+SUMPRODUCT(('Modell Kapazität'!$C$2:$C$35='Abgleich Kapazität'!$A47)*('Modell Kapazität'!$D$1:$AZ$1='Abgleich Kapazität'!O$38)*'Modell Kapazität'!$D$2:$AZ$35))/1000</f>
        <v>1.095</v>
      </c>
      <c r="P47" s="58">
        <f>(SUMPRODUCT(('Modell Kapazität'!$C$2:$C$35='Abgleich Kapazität'!$A47)*('Modell Kapazität'!$D$1:$AZ$1='Abgleich Kapazität'!P$40)*'Modell Kapazität'!$D$2:$AZ$35)+SUMPRODUCT(('Modell Kapazität'!$C$2:$C$35='Abgleich Kapazität'!$A47)*('Modell Kapazität'!$D$1:$AZ$1='Abgleich Kapazität'!P$39)*'Modell Kapazität'!$D$2:$AZ$35)+SUMPRODUCT(('Modell Kapazität'!$C$2:$C$35='Abgleich Kapazität'!$A47)*('Modell Kapazität'!$D$1:$AZ$1='Abgleich Kapazität'!P$38)*'Modell Kapazität'!$D$2:$AZ$35))/1000</f>
        <v>1.3049999999999999</v>
      </c>
      <c r="Q47" s="58">
        <f>(SUMPRODUCT(('Modell Kapazität'!$C$2:$C$35='Abgleich Kapazität'!$A47)*('Modell Kapazität'!$D$1:$AZ$1='Abgleich Kapazität'!Q$40)*'Modell Kapazität'!$D$2:$AZ$35)+SUMPRODUCT(('Modell Kapazität'!$C$2:$C$35='Abgleich Kapazität'!$A47)*('Modell Kapazität'!$D$1:$AZ$1='Abgleich Kapazität'!Q$39)*'Modell Kapazität'!$D$2:$AZ$35)+SUMPRODUCT(('Modell Kapazität'!$C$2:$C$35='Abgleich Kapazität'!$A47)*('Modell Kapazität'!$D$1:$AZ$1='Abgleich Kapazität'!Q$38)*'Modell Kapazität'!$D$2:$AZ$35))/1000</f>
        <v>0</v>
      </c>
      <c r="R47" s="58">
        <f>(SUMPRODUCT(('Modell Kapazität'!$C$2:$C$35='Abgleich Kapazität'!$A47)*('Modell Kapazität'!$D$1:$AZ$1='Abgleich Kapazität'!R$40)*'Modell Kapazität'!$D$2:$AZ$35)+SUMPRODUCT(('Modell Kapazität'!$C$2:$C$35='Abgleich Kapazität'!$A47)*('Modell Kapazität'!$D$1:$AZ$1='Abgleich Kapazität'!R$39)*'Modell Kapazität'!$D$2:$AZ$35)+SUMPRODUCT(('Modell Kapazität'!$C$2:$C$35='Abgleich Kapazität'!$A47)*('Modell Kapazität'!$D$1:$AZ$1='Abgleich Kapazität'!R$38)*'Modell Kapazität'!$D$2:$AZ$35))/1000</f>
        <v>0.153</v>
      </c>
      <c r="S47" s="58">
        <f>(SUMPRODUCT(('Modell Kapazität'!$C$2:$C$35='Abgleich Kapazität'!$A47)*('Modell Kapazität'!$D$1:$AZ$1='Abgleich Kapazität'!S$40)*'Modell Kapazität'!$D$2:$AZ$35)+SUMPRODUCT(('Modell Kapazität'!$C$2:$C$35='Abgleich Kapazität'!$A47)*('Modell Kapazität'!$D$1:$AZ$1='Abgleich Kapazität'!S$39)*'Modell Kapazität'!$D$2:$AZ$35)+SUMPRODUCT(('Modell Kapazität'!$C$2:$C$35='Abgleich Kapazität'!$A47)*('Modell Kapazität'!$D$1:$AZ$1='Abgleich Kapazität'!S$38)*'Modell Kapazität'!$D$2:$AZ$35))/1000</f>
        <v>0</v>
      </c>
      <c r="T47" s="58">
        <f>(SUMPRODUCT(('Modell Kapazität'!$C$2:$C$35='Abgleich Kapazität'!$A47)*('Modell Kapazität'!$D$1:$AZ$1='Abgleich Kapazität'!T$40)*'Modell Kapazität'!$D$2:$AZ$35)+SUMPRODUCT(('Modell Kapazität'!$C$2:$C$35='Abgleich Kapazität'!$A47)*('Modell Kapazität'!$D$1:$AZ$1='Abgleich Kapazität'!T$39)*'Modell Kapazität'!$D$2:$AZ$35)+SUMPRODUCT(('Modell Kapazität'!$C$2:$C$35='Abgleich Kapazität'!$A47)*('Modell Kapazität'!$D$1:$AZ$1='Abgleich Kapazität'!T$38)*'Modell Kapazität'!$D$2:$AZ$35))/1000</f>
        <v>0</v>
      </c>
      <c r="U47" s="58">
        <f>(SUMPRODUCT(('Modell Kapazität'!$C$2:$C$35='Abgleich Kapazität'!$A47)*('Modell Kapazität'!$D$1:$AZ$1='Abgleich Kapazität'!U$40)*'Modell Kapazität'!$D$2:$AZ$35)+SUMPRODUCT(('Modell Kapazität'!$C$2:$C$35='Abgleich Kapazität'!$A47)*('Modell Kapazität'!$D$1:$AZ$1='Abgleich Kapazität'!U$39)*'Modell Kapazität'!$D$2:$AZ$35)+SUMPRODUCT(('Modell Kapazität'!$C$2:$C$35='Abgleich Kapazität'!$A47)*('Modell Kapazität'!$D$1:$AZ$1='Abgleich Kapazität'!U$38)*'Modell Kapazität'!$D$2:$AZ$35))/1000</f>
        <v>0</v>
      </c>
      <c r="V47" s="59">
        <f t="shared" si="76"/>
        <v>12.7819539</v>
      </c>
    </row>
    <row r="48" spans="1:45" x14ac:dyDescent="0.25">
      <c r="A48" s="14" t="s">
        <v>15</v>
      </c>
      <c r="B48" s="25">
        <f t="shared" si="73"/>
        <v>4.6310000000000002</v>
      </c>
      <c r="C48" s="26">
        <f>(SUMPRODUCT(('Modell Kapazität'!$C$2:$C$35='Abgleich Kapazität'!$A48)*('Modell Kapazität'!$D$1:$AZ$1='Abgleich Kapazität'!C$40)*'Modell Kapazität'!$D$2:$AZ$35)+SUMPRODUCT(('Modell Kapazität'!$C$2:$C$35='Abgleich Kapazität'!$A48)*('Modell Kapazität'!$D$1:$AZ$1='Abgleich Kapazität'!C$39)*'Modell Kapazität'!$D$2:$AZ$35)+SUMPRODUCT(('Modell Kapazität'!$C$2:$C$35='Abgleich Kapazität'!$A48)*('Modell Kapazität'!$D$1:$AZ$1='Abgleich Kapazität'!C$38)*'Modell Kapazität'!$D$2:$AZ$35))/1000</f>
        <v>2.855</v>
      </c>
      <c r="D48" s="26">
        <f t="shared" si="74"/>
        <v>1.776</v>
      </c>
      <c r="E48" s="26">
        <f>(SUMPRODUCT(('Modell Kapazität'!$C$2:$C$35='Abgleich Kapazität'!$A48)*('Modell Kapazität'!$D$1:$AZ$1='Abgleich Kapazität'!E$40)*'Modell Kapazität'!$D$2:$AZ$35)+SUMPRODUCT(('Modell Kapazität'!$C$2:$C$35='Abgleich Kapazität'!$A48)*('Modell Kapazität'!$D$1:$AZ$1='Abgleich Kapazität'!E$39)*'Modell Kapazität'!$D$2:$AZ$35)+SUMPRODUCT(('Modell Kapazität'!$C$2:$C$35='Abgleich Kapazität'!$A48)*('Modell Kapazität'!$D$1:$AZ$1='Abgleich Kapazität'!E$38)*'Modell Kapazität'!$D$2:$AZ$35))/1000</f>
        <v>0</v>
      </c>
      <c r="F48" s="26">
        <f>(SUMPRODUCT(('Modell Kapazität'!$C$2:$C$35='Abgleich Kapazität'!$A48)*('Modell Kapazität'!$D$1:$AZ$1='Abgleich Kapazität'!F$40)*'Modell Kapazität'!$D$2:$AZ$35)+SUMPRODUCT(('Modell Kapazität'!$C$2:$C$35='Abgleich Kapazität'!$A48)*('Modell Kapazität'!$D$1:$AZ$1='Abgleich Kapazität'!F$39)*'Modell Kapazität'!$D$2:$AZ$35)+SUMPRODUCT(('Modell Kapazität'!$C$2:$C$35='Abgleich Kapazität'!$A48)*('Modell Kapazität'!$D$1:$AZ$1='Abgleich Kapazität'!F$38)*'Modell Kapazität'!$D$2:$AZ$35))/1000</f>
        <v>1.776</v>
      </c>
      <c r="G48" s="26">
        <f>(SUMPRODUCT(('Modell Kapazität'!$C$2:$C$35='Abgleich Kapazität'!$A48)*('Modell Kapazität'!$D$1:$AZ$1='Abgleich Kapazität'!G$40)*'Modell Kapazität'!$D$2:$AZ$35)+SUMPRODUCT(('Modell Kapazität'!$C$2:$C$35='Abgleich Kapazität'!$A48)*('Modell Kapazität'!$D$1:$AZ$1='Abgleich Kapazität'!G$39)*'Modell Kapazität'!$D$2:$AZ$35)+SUMPRODUCT(('Modell Kapazität'!$C$2:$C$35='Abgleich Kapazität'!$A48)*('Modell Kapazität'!$D$1:$AZ$1='Abgleich Kapazität'!G$38)*'Modell Kapazität'!$D$2:$AZ$35))/1000</f>
        <v>0</v>
      </c>
      <c r="H48" s="26">
        <f>(SUMPRODUCT(('Modell Kapazität'!$C$2:$C$35='Abgleich Kapazität'!$A48)*('Modell Kapazität'!$D$1:$AZ$1='Abgleich Kapazität'!H$40)*'Modell Kapazität'!$D$2:$AZ$35)+SUMPRODUCT(('Modell Kapazität'!$C$2:$C$35='Abgleich Kapazität'!$A48)*('Modell Kapazität'!$D$1:$AZ$1='Abgleich Kapazität'!H$39)*'Modell Kapazität'!$D$2:$AZ$35)+SUMPRODUCT(('Modell Kapazität'!$C$2:$C$35='Abgleich Kapazität'!$A48)*('Modell Kapazität'!$D$1:$AZ$1='Abgleich Kapazität'!H$38)*'Modell Kapazität'!$D$2:$AZ$35))/1000</f>
        <v>0</v>
      </c>
      <c r="I48" s="26">
        <f>(SUMPRODUCT(('Modell Kapazität'!$C$2:$C$35='Abgleich Kapazität'!$A48)*('Modell Kapazität'!$D$1:$AZ$1='Abgleich Kapazität'!I$40)*'Modell Kapazität'!$D$2:$AZ$35)+SUMPRODUCT(('Modell Kapazität'!$C$2:$C$35='Abgleich Kapazität'!$A48)*('Modell Kapazität'!$D$1:$AZ$1='Abgleich Kapazität'!I$39)*'Modell Kapazität'!$D$2:$AZ$35)+SUMPRODUCT(('Modell Kapazität'!$C$2:$C$35='Abgleich Kapazität'!$A48)*('Modell Kapazität'!$D$1:$AZ$1='Abgleich Kapazität'!I$38)*'Modell Kapazität'!$D$2:$AZ$35))/1000</f>
        <v>0</v>
      </c>
      <c r="J48" s="26">
        <f>(SUMPRODUCT(('Modell Kapazität'!$C$2:$C$35='Abgleich Kapazität'!$A48)*('Modell Kapazität'!$D$1:$AZ$1='Abgleich Kapazität'!J$40)*'Modell Kapazität'!$D$2:$AZ$35)+SUMPRODUCT(('Modell Kapazität'!$C$2:$C$35='Abgleich Kapazität'!$A48)*('Modell Kapazität'!$D$1:$AZ$1='Abgleich Kapazität'!J$39)*'Modell Kapazität'!$D$2:$AZ$35)+SUMPRODUCT(('Modell Kapazität'!$C$2:$C$35='Abgleich Kapazität'!$A48)*('Modell Kapazität'!$D$1:$AZ$1='Abgleich Kapazität'!J$38)*'Modell Kapazität'!$D$2:$AZ$35))/1000</f>
        <v>0</v>
      </c>
      <c r="K48" s="27">
        <f t="shared" si="75"/>
        <v>18.027999999999999</v>
      </c>
      <c r="L48" s="26">
        <f>(SUMPRODUCT(('Modell Kapazität'!$C$2:$C$35='Abgleich Kapazität'!$A48)*('Modell Kapazität'!$D$1:$AZ$1='Abgleich Kapazität'!L$40)*'Modell Kapazität'!$D$2:$AZ$35)+SUMPRODUCT(('Modell Kapazität'!$C$2:$C$35='Abgleich Kapazität'!$A48)*('Modell Kapazität'!$D$1:$AZ$1='Abgleich Kapazität'!L$39)*'Modell Kapazität'!$D$2:$AZ$35)+SUMPRODUCT(('Modell Kapazität'!$C$2:$C$35='Abgleich Kapazität'!$A48)*('Modell Kapazität'!$D$1:$AZ$1='Abgleich Kapazität'!L$38)*'Modell Kapazität'!$D$2:$AZ$35))/1000</f>
        <v>15.994</v>
      </c>
      <c r="M48" s="26">
        <f>(SUMPRODUCT(('Modell Kapazität'!$C$2:$C$35='Abgleich Kapazität'!$A48)*('Modell Kapazität'!$D$1:$AZ$1='Abgleich Kapazität'!M$40)*'Modell Kapazität'!$D$2:$AZ$35)+SUMPRODUCT(('Modell Kapazität'!$C$2:$C$35='Abgleich Kapazität'!$A48)*('Modell Kapazität'!$D$1:$AZ$1='Abgleich Kapazität'!M$39)*'Modell Kapazität'!$D$2:$AZ$35)+SUMPRODUCT(('Modell Kapazität'!$C$2:$C$35='Abgleich Kapazität'!$A48)*('Modell Kapazität'!$D$1:$AZ$1='Abgleich Kapazität'!M$38)*'Modell Kapazität'!$D$2:$AZ$35))/1000</f>
        <v>0</v>
      </c>
      <c r="N48" s="26">
        <f>(SUMPRODUCT(('Modell Kapazität'!$C$2:$C$35='Abgleich Kapazität'!$A48)*('Modell Kapazität'!$D$1:$AZ$1='Abgleich Kapazität'!N$40)*'Modell Kapazität'!$D$2:$AZ$35)+SUMPRODUCT(('Modell Kapazität'!$C$2:$C$35='Abgleich Kapazität'!$A48)*('Modell Kapazität'!$D$1:$AZ$1='Abgleich Kapazität'!N$39)*'Modell Kapazität'!$D$2:$AZ$35)+SUMPRODUCT(('Modell Kapazität'!$C$2:$C$35='Abgleich Kapazität'!$A48)*('Modell Kapazität'!$D$1:$AZ$1='Abgleich Kapazität'!N$38)*'Modell Kapazität'!$D$2:$AZ$35))/1000</f>
        <v>0</v>
      </c>
      <c r="O48" s="26">
        <f>(SUMPRODUCT(('Modell Kapazität'!$C$2:$C$35='Abgleich Kapazität'!$A48)*('Modell Kapazität'!$D$1:$AZ$1='Abgleich Kapazität'!O$40)*'Modell Kapazität'!$D$2:$AZ$35)+SUMPRODUCT(('Modell Kapazität'!$C$2:$C$35='Abgleich Kapazität'!$A48)*('Modell Kapazität'!$D$1:$AZ$1='Abgleich Kapazität'!O$39)*'Modell Kapazität'!$D$2:$AZ$35)+SUMPRODUCT(('Modell Kapazität'!$C$2:$C$35='Abgleich Kapazität'!$A48)*('Modell Kapazität'!$D$1:$AZ$1='Abgleich Kapazität'!O$38)*'Modell Kapazität'!$D$2:$AZ$35))/1000</f>
        <v>9.7000000000000003E-2</v>
      </c>
      <c r="P48" s="26">
        <f>(SUMPRODUCT(('Modell Kapazität'!$C$2:$C$35='Abgleich Kapazität'!$A48)*('Modell Kapazität'!$D$1:$AZ$1='Abgleich Kapazität'!P$40)*'Modell Kapazität'!$D$2:$AZ$35)+SUMPRODUCT(('Modell Kapazität'!$C$2:$C$35='Abgleich Kapazität'!$A48)*('Modell Kapazität'!$D$1:$AZ$1='Abgleich Kapazität'!P$39)*'Modell Kapazität'!$D$2:$AZ$35)+SUMPRODUCT(('Modell Kapazität'!$C$2:$C$35='Abgleich Kapazität'!$A48)*('Modell Kapazität'!$D$1:$AZ$1='Abgleich Kapazität'!P$38)*'Modell Kapazität'!$D$2:$AZ$35))/1000</f>
        <v>1.679</v>
      </c>
      <c r="Q48" s="26">
        <f>(SUMPRODUCT(('Modell Kapazität'!$C$2:$C$35='Abgleich Kapazität'!$A48)*('Modell Kapazität'!$D$1:$AZ$1='Abgleich Kapazität'!Q$40)*'Modell Kapazität'!$D$2:$AZ$35)+SUMPRODUCT(('Modell Kapazität'!$C$2:$C$35='Abgleich Kapazität'!$A48)*('Modell Kapazität'!$D$1:$AZ$1='Abgleich Kapazität'!Q$39)*'Modell Kapazität'!$D$2:$AZ$35)+SUMPRODUCT(('Modell Kapazität'!$C$2:$C$35='Abgleich Kapazität'!$A48)*('Modell Kapazität'!$D$1:$AZ$1='Abgleich Kapazität'!Q$38)*'Modell Kapazität'!$D$2:$AZ$35))/1000</f>
        <v>0</v>
      </c>
      <c r="R48" s="26">
        <f>(SUMPRODUCT(('Modell Kapazität'!$C$2:$C$35='Abgleich Kapazität'!$A48)*('Modell Kapazität'!$D$1:$AZ$1='Abgleich Kapazität'!R$40)*'Modell Kapazität'!$D$2:$AZ$35)+SUMPRODUCT(('Modell Kapazität'!$C$2:$C$35='Abgleich Kapazität'!$A48)*('Modell Kapazität'!$D$1:$AZ$1='Abgleich Kapazität'!R$39)*'Modell Kapazität'!$D$2:$AZ$35)+SUMPRODUCT(('Modell Kapazität'!$C$2:$C$35='Abgleich Kapazität'!$A48)*('Modell Kapazität'!$D$1:$AZ$1='Abgleich Kapazität'!R$38)*'Modell Kapazität'!$D$2:$AZ$35))/1000</f>
        <v>0.25800000000000001</v>
      </c>
      <c r="S48" s="26">
        <f>(SUMPRODUCT(('Modell Kapazität'!$C$2:$C$35='Abgleich Kapazität'!$A48)*('Modell Kapazität'!$D$1:$AZ$1='Abgleich Kapazität'!S$40)*'Modell Kapazität'!$D$2:$AZ$35)+SUMPRODUCT(('Modell Kapazität'!$C$2:$C$35='Abgleich Kapazität'!$A48)*('Modell Kapazität'!$D$1:$AZ$1='Abgleich Kapazität'!S$39)*'Modell Kapazität'!$D$2:$AZ$35)+SUMPRODUCT(('Modell Kapazität'!$C$2:$C$35='Abgleich Kapazität'!$A48)*('Modell Kapazität'!$D$1:$AZ$1='Abgleich Kapazität'!S$38)*'Modell Kapazität'!$D$2:$AZ$35))/1000</f>
        <v>0</v>
      </c>
      <c r="T48" s="26">
        <f>(SUMPRODUCT(('Modell Kapazität'!$C$2:$C$35='Abgleich Kapazität'!$A48)*('Modell Kapazität'!$D$1:$AZ$1='Abgleich Kapazität'!T$40)*'Modell Kapazität'!$D$2:$AZ$35)+SUMPRODUCT(('Modell Kapazität'!$C$2:$C$35='Abgleich Kapazität'!$A48)*('Modell Kapazität'!$D$1:$AZ$1='Abgleich Kapazität'!T$39)*'Modell Kapazität'!$D$2:$AZ$35)+SUMPRODUCT(('Modell Kapazität'!$C$2:$C$35='Abgleich Kapazität'!$A48)*('Modell Kapazität'!$D$1:$AZ$1='Abgleich Kapazität'!T$38)*'Modell Kapazität'!$D$2:$AZ$35))/1000</f>
        <v>0</v>
      </c>
      <c r="U48" s="26">
        <f>(SUMPRODUCT(('Modell Kapazität'!$C$2:$C$35='Abgleich Kapazität'!$A48)*('Modell Kapazität'!$D$1:$AZ$1='Abgleich Kapazität'!U$40)*'Modell Kapazität'!$D$2:$AZ$35)+SUMPRODUCT(('Modell Kapazität'!$C$2:$C$35='Abgleich Kapazität'!$A48)*('Modell Kapazität'!$D$1:$AZ$1='Abgleich Kapazität'!U$39)*'Modell Kapazität'!$D$2:$AZ$35)+SUMPRODUCT(('Modell Kapazität'!$C$2:$C$35='Abgleich Kapazität'!$A48)*('Modell Kapazität'!$D$1:$AZ$1='Abgleich Kapazität'!U$38)*'Modell Kapazität'!$D$2:$AZ$35))/1000</f>
        <v>0</v>
      </c>
      <c r="V48" s="27">
        <f t="shared" si="76"/>
        <v>22.658999999999999</v>
      </c>
    </row>
    <row r="49" spans="1:22" x14ac:dyDescent="0.25">
      <c r="A49" s="14" t="s">
        <v>16</v>
      </c>
      <c r="B49" s="57">
        <f t="shared" si="73"/>
        <v>15.081</v>
      </c>
      <c r="C49" s="58">
        <f>(SUMPRODUCT(('Modell Kapazität'!$C$2:$C$35='Abgleich Kapazität'!$A49)*('Modell Kapazität'!$D$1:$AZ$1='Abgleich Kapazität'!C$40)*'Modell Kapazität'!$D$2:$AZ$35)+SUMPRODUCT(('Modell Kapazität'!$C$2:$C$35='Abgleich Kapazität'!$A49)*('Modell Kapazität'!$D$1:$AZ$1='Abgleich Kapazität'!C$39)*'Modell Kapazität'!$D$2:$AZ$35)+SUMPRODUCT(('Modell Kapazität'!$C$2:$C$35='Abgleich Kapazität'!$A49)*('Modell Kapazität'!$D$1:$AZ$1='Abgleich Kapazität'!C$38)*'Modell Kapazität'!$D$2:$AZ$35))/1000</f>
        <v>4.0640000000000001</v>
      </c>
      <c r="D49" s="58">
        <f t="shared" si="74"/>
        <v>11.016999999999999</v>
      </c>
      <c r="E49" s="58">
        <f>(SUMPRODUCT(('Modell Kapazität'!$C$2:$C$35='Abgleich Kapazität'!$A49)*('Modell Kapazität'!$D$1:$AZ$1='Abgleich Kapazität'!E$40)*'Modell Kapazität'!$D$2:$AZ$35)+SUMPRODUCT(('Modell Kapazität'!$C$2:$C$35='Abgleich Kapazität'!$A49)*('Modell Kapazität'!$D$1:$AZ$1='Abgleich Kapazität'!E$39)*'Modell Kapazität'!$D$2:$AZ$35)+SUMPRODUCT(('Modell Kapazität'!$C$2:$C$35='Abgleich Kapazität'!$A49)*('Modell Kapazität'!$D$1:$AZ$1='Abgleich Kapazität'!E$38)*'Modell Kapazität'!$D$2:$AZ$35))/1000</f>
        <v>8.6010000000000009</v>
      </c>
      <c r="F49" s="58">
        <f>(SUMPRODUCT(('Modell Kapazität'!$C$2:$C$35='Abgleich Kapazität'!$A49)*('Modell Kapazität'!$D$1:$AZ$1='Abgleich Kapazität'!F$40)*'Modell Kapazität'!$D$2:$AZ$35)+SUMPRODUCT(('Modell Kapazität'!$C$2:$C$35='Abgleich Kapazität'!$A49)*('Modell Kapazität'!$D$1:$AZ$1='Abgleich Kapazität'!F$39)*'Modell Kapazität'!$D$2:$AZ$35)+SUMPRODUCT(('Modell Kapazität'!$C$2:$C$35='Abgleich Kapazität'!$A49)*('Modell Kapazität'!$D$1:$AZ$1='Abgleich Kapazität'!F$38)*'Modell Kapazität'!$D$2:$AZ$35))/1000</f>
        <v>1.0209999999999999</v>
      </c>
      <c r="G49" s="58">
        <f>(SUMPRODUCT(('Modell Kapazität'!$C$2:$C$35='Abgleich Kapazität'!$A49)*('Modell Kapazität'!$D$1:$AZ$1='Abgleich Kapazität'!G$40)*'Modell Kapazität'!$D$2:$AZ$35)+SUMPRODUCT(('Modell Kapazität'!$C$2:$C$35='Abgleich Kapazität'!$A49)*('Modell Kapazität'!$D$1:$AZ$1='Abgleich Kapazität'!G$39)*'Modell Kapazität'!$D$2:$AZ$35)+SUMPRODUCT(('Modell Kapazität'!$C$2:$C$35='Abgleich Kapazität'!$A49)*('Modell Kapazität'!$D$1:$AZ$1='Abgleich Kapazität'!G$38)*'Modell Kapazität'!$D$2:$AZ$35))/1000</f>
        <v>1.395</v>
      </c>
      <c r="H49" s="58">
        <f>(SUMPRODUCT(('Modell Kapazität'!$C$2:$C$35='Abgleich Kapazität'!$A49)*('Modell Kapazität'!$D$1:$AZ$1='Abgleich Kapazität'!H$40)*'Modell Kapazität'!$D$2:$AZ$35)+SUMPRODUCT(('Modell Kapazität'!$C$2:$C$35='Abgleich Kapazität'!$A49)*('Modell Kapazität'!$D$1:$AZ$1='Abgleich Kapazität'!H$39)*'Modell Kapazität'!$D$2:$AZ$35)+SUMPRODUCT(('Modell Kapazität'!$C$2:$C$35='Abgleich Kapazität'!$A49)*('Modell Kapazität'!$D$1:$AZ$1='Abgleich Kapazität'!H$38)*'Modell Kapazität'!$D$2:$AZ$35))/1000</f>
        <v>0</v>
      </c>
      <c r="I49" s="58">
        <f>(SUMPRODUCT(('Modell Kapazität'!$C$2:$C$35='Abgleich Kapazität'!$A49)*('Modell Kapazität'!$D$1:$AZ$1='Abgleich Kapazität'!I$40)*'Modell Kapazität'!$D$2:$AZ$35)+SUMPRODUCT(('Modell Kapazität'!$C$2:$C$35='Abgleich Kapazität'!$A49)*('Modell Kapazität'!$D$1:$AZ$1='Abgleich Kapazität'!I$39)*'Modell Kapazität'!$D$2:$AZ$35)+SUMPRODUCT(('Modell Kapazität'!$C$2:$C$35='Abgleich Kapazität'!$A49)*('Modell Kapazität'!$D$1:$AZ$1='Abgleich Kapazität'!I$38)*'Modell Kapazität'!$D$2:$AZ$35))/1000</f>
        <v>0</v>
      </c>
      <c r="J49" s="58">
        <f>(SUMPRODUCT(('Modell Kapazität'!$C$2:$C$35='Abgleich Kapazität'!$A49)*('Modell Kapazität'!$D$1:$AZ$1='Abgleich Kapazität'!J$40)*'Modell Kapazität'!$D$2:$AZ$35)+SUMPRODUCT(('Modell Kapazität'!$C$2:$C$35='Abgleich Kapazität'!$A49)*('Modell Kapazität'!$D$1:$AZ$1='Abgleich Kapazität'!J$39)*'Modell Kapazität'!$D$2:$AZ$35)+SUMPRODUCT(('Modell Kapazität'!$C$2:$C$35='Abgleich Kapazität'!$A49)*('Modell Kapazität'!$D$1:$AZ$1='Abgleich Kapazität'!J$38)*'Modell Kapazität'!$D$2:$AZ$35))/1000</f>
        <v>0</v>
      </c>
      <c r="K49" s="59">
        <f t="shared" si="75"/>
        <v>4.7629999999999999</v>
      </c>
      <c r="L49" s="58">
        <f>(SUMPRODUCT(('Modell Kapazität'!$C$2:$C$35='Abgleich Kapazität'!$A49)*('Modell Kapazität'!$D$1:$AZ$1='Abgleich Kapazität'!L$40)*'Modell Kapazität'!$D$2:$AZ$35)+SUMPRODUCT(('Modell Kapazität'!$C$2:$C$35='Abgleich Kapazität'!$A49)*('Modell Kapazität'!$D$1:$AZ$1='Abgleich Kapazität'!L$39)*'Modell Kapazität'!$D$2:$AZ$35)+SUMPRODUCT(('Modell Kapazität'!$C$2:$C$35='Abgleich Kapazität'!$A49)*('Modell Kapazität'!$D$1:$AZ$1='Abgleich Kapazität'!L$38)*'Modell Kapazität'!$D$2:$AZ$35))/1000</f>
        <v>1.615</v>
      </c>
      <c r="M49" s="58">
        <f>(SUMPRODUCT(('Modell Kapazität'!$C$2:$C$35='Abgleich Kapazität'!$A49)*('Modell Kapazität'!$D$1:$AZ$1='Abgleich Kapazität'!M$40)*'Modell Kapazität'!$D$2:$AZ$35)+SUMPRODUCT(('Modell Kapazität'!$C$2:$C$35='Abgleich Kapazität'!$A49)*('Modell Kapazität'!$D$1:$AZ$1='Abgleich Kapazität'!M$39)*'Modell Kapazität'!$D$2:$AZ$35)+SUMPRODUCT(('Modell Kapazität'!$C$2:$C$35='Abgleich Kapazität'!$A49)*('Modell Kapazität'!$D$1:$AZ$1='Abgleich Kapazität'!M$38)*'Modell Kapazität'!$D$2:$AZ$35))/1000</f>
        <v>0</v>
      </c>
      <c r="N49" s="58">
        <f>(SUMPRODUCT(('Modell Kapazität'!$C$2:$C$35='Abgleich Kapazität'!$A49)*('Modell Kapazität'!$D$1:$AZ$1='Abgleich Kapazität'!N$40)*'Modell Kapazität'!$D$2:$AZ$35)+SUMPRODUCT(('Modell Kapazität'!$C$2:$C$35='Abgleich Kapazität'!$A49)*('Modell Kapazität'!$D$1:$AZ$1='Abgleich Kapazität'!N$39)*'Modell Kapazität'!$D$2:$AZ$35)+SUMPRODUCT(('Modell Kapazität'!$C$2:$C$35='Abgleich Kapazität'!$A49)*('Modell Kapazität'!$D$1:$AZ$1='Abgleich Kapazität'!N$38)*'Modell Kapazität'!$D$2:$AZ$35))/1000</f>
        <v>0</v>
      </c>
      <c r="O49" s="58">
        <f>(SUMPRODUCT(('Modell Kapazität'!$C$2:$C$35='Abgleich Kapazität'!$A49)*('Modell Kapazität'!$D$1:$AZ$1='Abgleich Kapazität'!O$40)*'Modell Kapazität'!$D$2:$AZ$35)+SUMPRODUCT(('Modell Kapazität'!$C$2:$C$35='Abgleich Kapazität'!$A49)*('Modell Kapazität'!$D$1:$AZ$1='Abgleich Kapazität'!O$39)*'Modell Kapazität'!$D$2:$AZ$35)+SUMPRODUCT(('Modell Kapazität'!$C$2:$C$35='Abgleich Kapazität'!$A49)*('Modell Kapazität'!$D$1:$AZ$1='Abgleich Kapazität'!O$38)*'Modell Kapazität'!$D$2:$AZ$35))/1000</f>
        <v>0.308</v>
      </c>
      <c r="P49" s="58">
        <f>(SUMPRODUCT(('Modell Kapazität'!$C$2:$C$35='Abgleich Kapazität'!$A49)*('Modell Kapazität'!$D$1:$AZ$1='Abgleich Kapazität'!P$40)*'Modell Kapazität'!$D$2:$AZ$35)+SUMPRODUCT(('Modell Kapazität'!$C$2:$C$35='Abgleich Kapazität'!$A49)*('Modell Kapazität'!$D$1:$AZ$1='Abgleich Kapazität'!P$39)*'Modell Kapazität'!$D$2:$AZ$35)+SUMPRODUCT(('Modell Kapazität'!$C$2:$C$35='Abgleich Kapazität'!$A49)*('Modell Kapazität'!$D$1:$AZ$1='Abgleich Kapazität'!P$38)*'Modell Kapazität'!$D$2:$AZ$35))/1000</f>
        <v>2.04</v>
      </c>
      <c r="Q49" s="58">
        <f>(SUMPRODUCT(('Modell Kapazität'!$C$2:$C$35='Abgleich Kapazität'!$A49)*('Modell Kapazität'!$D$1:$AZ$1='Abgleich Kapazität'!Q$40)*'Modell Kapazität'!$D$2:$AZ$35)+SUMPRODUCT(('Modell Kapazität'!$C$2:$C$35='Abgleich Kapazität'!$A49)*('Modell Kapazität'!$D$1:$AZ$1='Abgleich Kapazität'!Q$39)*'Modell Kapazität'!$D$2:$AZ$35)+SUMPRODUCT(('Modell Kapazität'!$C$2:$C$35='Abgleich Kapazität'!$A49)*('Modell Kapazität'!$D$1:$AZ$1='Abgleich Kapazität'!Q$38)*'Modell Kapazität'!$D$2:$AZ$35))/1000</f>
        <v>0</v>
      </c>
      <c r="R49" s="58">
        <f>(SUMPRODUCT(('Modell Kapazität'!$C$2:$C$35='Abgleich Kapazität'!$A49)*('Modell Kapazität'!$D$1:$AZ$1='Abgleich Kapazität'!R$40)*'Modell Kapazität'!$D$2:$AZ$35)+SUMPRODUCT(('Modell Kapazität'!$C$2:$C$35='Abgleich Kapazität'!$A49)*('Modell Kapazität'!$D$1:$AZ$1='Abgleich Kapazität'!R$39)*'Modell Kapazität'!$D$2:$AZ$35)+SUMPRODUCT(('Modell Kapazität'!$C$2:$C$35='Abgleich Kapazität'!$A49)*('Modell Kapazität'!$D$1:$AZ$1='Abgleich Kapazität'!R$38)*'Modell Kapazität'!$D$2:$AZ$35))/1000</f>
        <v>0.8</v>
      </c>
      <c r="S49" s="58">
        <f>(SUMPRODUCT(('Modell Kapazität'!$C$2:$C$35='Abgleich Kapazität'!$A49)*('Modell Kapazität'!$D$1:$AZ$1='Abgleich Kapazität'!S$40)*'Modell Kapazität'!$D$2:$AZ$35)+SUMPRODUCT(('Modell Kapazität'!$C$2:$C$35='Abgleich Kapazität'!$A49)*('Modell Kapazität'!$D$1:$AZ$1='Abgleich Kapazität'!S$39)*'Modell Kapazität'!$D$2:$AZ$35)+SUMPRODUCT(('Modell Kapazität'!$C$2:$C$35='Abgleich Kapazität'!$A49)*('Modell Kapazität'!$D$1:$AZ$1='Abgleich Kapazität'!S$38)*'Modell Kapazität'!$D$2:$AZ$35))/1000</f>
        <v>0</v>
      </c>
      <c r="T49" s="58">
        <f>(SUMPRODUCT(('Modell Kapazität'!$C$2:$C$35='Abgleich Kapazität'!$A49)*('Modell Kapazität'!$D$1:$AZ$1='Abgleich Kapazität'!T$40)*'Modell Kapazität'!$D$2:$AZ$35)+SUMPRODUCT(('Modell Kapazität'!$C$2:$C$35='Abgleich Kapazität'!$A49)*('Modell Kapazität'!$D$1:$AZ$1='Abgleich Kapazität'!T$39)*'Modell Kapazität'!$D$2:$AZ$35)+SUMPRODUCT(('Modell Kapazität'!$C$2:$C$35='Abgleich Kapazität'!$A49)*('Modell Kapazität'!$D$1:$AZ$1='Abgleich Kapazität'!T$38)*'Modell Kapazität'!$D$2:$AZ$35))/1000</f>
        <v>0</v>
      </c>
      <c r="U49" s="58">
        <f>(SUMPRODUCT(('Modell Kapazität'!$C$2:$C$35='Abgleich Kapazität'!$A49)*('Modell Kapazität'!$D$1:$AZ$1='Abgleich Kapazität'!U$40)*'Modell Kapazität'!$D$2:$AZ$35)+SUMPRODUCT(('Modell Kapazität'!$C$2:$C$35='Abgleich Kapazität'!$A49)*('Modell Kapazität'!$D$1:$AZ$1='Abgleich Kapazität'!U$39)*'Modell Kapazität'!$D$2:$AZ$35)+SUMPRODUCT(('Modell Kapazität'!$C$2:$C$35='Abgleich Kapazität'!$A49)*('Modell Kapazität'!$D$1:$AZ$1='Abgleich Kapazität'!U$38)*'Modell Kapazität'!$D$2:$AZ$35))/1000</f>
        <v>0</v>
      </c>
      <c r="V49" s="59">
        <f t="shared" si="76"/>
        <v>19.844000000000001</v>
      </c>
    </row>
    <row r="50" spans="1:22" x14ac:dyDescent="0.25">
      <c r="A50" s="14" t="s">
        <v>17</v>
      </c>
      <c r="B50" s="25">
        <f t="shared" si="73"/>
        <v>83.871899999999997</v>
      </c>
      <c r="C50" s="26">
        <f>(SUMPRODUCT(('Modell Kapazität'!$C$2:$C$35='Abgleich Kapazität'!$A50)*('Modell Kapazität'!$D$1:$AZ$1='Abgleich Kapazität'!C$40)*'Modell Kapazität'!$D$2:$AZ$35)+SUMPRODUCT(('Modell Kapazität'!$C$2:$C$35='Abgleich Kapazität'!$A50)*('Modell Kapazität'!$D$1:$AZ$1='Abgleich Kapazität'!C$39)*'Modell Kapazität'!$D$2:$AZ$35)+SUMPRODUCT(('Modell Kapazität'!$C$2:$C$35='Abgleich Kapazität'!$A50)*('Modell Kapazität'!$D$1:$AZ$1='Abgleich Kapazität'!C$38)*'Modell Kapazität'!$D$2:$AZ$35))/1000</f>
        <v>10.398</v>
      </c>
      <c r="D50" s="26">
        <f t="shared" si="74"/>
        <v>73.4739</v>
      </c>
      <c r="E50" s="26">
        <f>(SUMPRODUCT(('Modell Kapazität'!$C$2:$C$35='Abgleich Kapazität'!$A50)*('Modell Kapazität'!$D$1:$AZ$1='Abgleich Kapazität'!E$40)*'Modell Kapazität'!$D$2:$AZ$35)+SUMPRODUCT(('Modell Kapazität'!$C$2:$C$35='Abgleich Kapazität'!$A50)*('Modell Kapazität'!$D$1:$AZ$1='Abgleich Kapazität'!E$39)*'Modell Kapazität'!$D$2:$AZ$35)+SUMPRODUCT(('Modell Kapazität'!$C$2:$C$35='Abgleich Kapazität'!$A50)*('Modell Kapazität'!$D$1:$AZ$1='Abgleich Kapazität'!E$38)*'Modell Kapazität'!$D$2:$AZ$35))/1000</f>
        <v>20.0914</v>
      </c>
      <c r="F50" s="26">
        <f>(SUMPRODUCT(('Modell Kapazität'!$C$2:$C$35='Abgleich Kapazität'!$A50)*('Modell Kapazität'!$D$1:$AZ$1='Abgleich Kapazität'!F$40)*'Modell Kapazität'!$D$2:$AZ$35)+SUMPRODUCT(('Modell Kapazität'!$C$2:$C$35='Abgleich Kapazität'!$A50)*('Modell Kapazität'!$D$1:$AZ$1='Abgleich Kapazität'!F$39)*'Modell Kapazität'!$D$2:$AZ$35)+SUMPRODUCT(('Modell Kapazität'!$C$2:$C$35='Abgleich Kapazität'!$A50)*('Modell Kapazität'!$D$1:$AZ$1='Abgleich Kapazität'!F$38)*'Modell Kapazität'!$D$2:$AZ$35))/1000</f>
        <v>25.856000000000002</v>
      </c>
      <c r="G50" s="26">
        <f>(SUMPRODUCT(('Modell Kapazität'!$C$2:$C$35='Abgleich Kapazität'!$A50)*('Modell Kapazität'!$D$1:$AZ$1='Abgleich Kapazität'!G$40)*'Modell Kapazität'!$D$2:$AZ$35)+SUMPRODUCT(('Modell Kapazität'!$C$2:$C$35='Abgleich Kapazität'!$A50)*('Modell Kapazität'!$D$1:$AZ$1='Abgleich Kapazität'!G$39)*'Modell Kapazität'!$D$2:$AZ$35)+SUMPRODUCT(('Modell Kapazität'!$C$2:$C$35='Abgleich Kapazität'!$A50)*('Modell Kapazität'!$D$1:$AZ$1='Abgleich Kapazität'!G$38)*'Modell Kapazität'!$D$2:$AZ$35))/1000</f>
        <v>23.6355</v>
      </c>
      <c r="H50" s="26">
        <f>(SUMPRODUCT(('Modell Kapazität'!$C$2:$C$35='Abgleich Kapazität'!$A50)*('Modell Kapazität'!$D$1:$AZ$1='Abgleich Kapazität'!H$40)*'Modell Kapazität'!$D$2:$AZ$35)+SUMPRODUCT(('Modell Kapazität'!$C$2:$C$35='Abgleich Kapazität'!$A50)*('Modell Kapazität'!$D$1:$AZ$1='Abgleich Kapazität'!H$39)*'Modell Kapazität'!$D$2:$AZ$35)+SUMPRODUCT(('Modell Kapazität'!$C$2:$C$35='Abgleich Kapazität'!$A50)*('Modell Kapazität'!$D$1:$AZ$1='Abgleich Kapazität'!H$38)*'Modell Kapazität'!$D$2:$AZ$35))/1000</f>
        <v>0</v>
      </c>
      <c r="I50" s="26">
        <f>(SUMPRODUCT(('Modell Kapazität'!$C$2:$C$35='Abgleich Kapazität'!$A50)*('Modell Kapazität'!$D$1:$AZ$1='Abgleich Kapazität'!I$40)*'Modell Kapazität'!$D$2:$AZ$35)+SUMPRODUCT(('Modell Kapazität'!$C$2:$C$35='Abgleich Kapazität'!$A50)*('Modell Kapazität'!$D$1:$AZ$1='Abgleich Kapazität'!I$39)*'Modell Kapazität'!$D$2:$AZ$35)+SUMPRODUCT(('Modell Kapazität'!$C$2:$C$35='Abgleich Kapazität'!$A50)*('Modell Kapazität'!$D$1:$AZ$1='Abgleich Kapazität'!I$38)*'Modell Kapazität'!$D$2:$AZ$35))/1000</f>
        <v>0</v>
      </c>
      <c r="J50" s="26">
        <f>(SUMPRODUCT(('Modell Kapazität'!$C$2:$C$35='Abgleich Kapazität'!$A50)*('Modell Kapazität'!$D$1:$AZ$1='Abgleich Kapazität'!J$40)*'Modell Kapazität'!$D$2:$AZ$35)+SUMPRODUCT(('Modell Kapazität'!$C$2:$C$35='Abgleich Kapazität'!$A50)*('Modell Kapazität'!$D$1:$AZ$1='Abgleich Kapazität'!J$39)*'Modell Kapazität'!$D$2:$AZ$35)+SUMPRODUCT(('Modell Kapazität'!$C$2:$C$35='Abgleich Kapazität'!$A50)*('Modell Kapazität'!$D$1:$AZ$1='Abgleich Kapazität'!J$38)*'Modell Kapazität'!$D$2:$AZ$35))/1000</f>
        <v>3.891</v>
      </c>
      <c r="K50" s="27">
        <f t="shared" si="75"/>
        <v>118.77700000000002</v>
      </c>
      <c r="L50" s="26">
        <f>(SUMPRODUCT(('Modell Kapazität'!$C$2:$C$35='Abgleich Kapazität'!$A50)*('Modell Kapazität'!$D$1:$AZ$1='Abgleich Kapazität'!L$40)*'Modell Kapazität'!$D$2:$AZ$35)+SUMPRODUCT(('Modell Kapazität'!$C$2:$C$35='Abgleich Kapazität'!$A50)*('Modell Kapazität'!$D$1:$AZ$1='Abgleich Kapazität'!L$39)*'Modell Kapazität'!$D$2:$AZ$35)+SUMPRODUCT(('Modell Kapazität'!$C$2:$C$35='Abgleich Kapazität'!$A50)*('Modell Kapazität'!$D$1:$AZ$1='Abgleich Kapazität'!L$38)*'Modell Kapazität'!$D$2:$AZ$35))/1000</f>
        <v>10.629</v>
      </c>
      <c r="M50" s="26">
        <f>(SUMPRODUCT(('Modell Kapazität'!$C$2:$C$35='Abgleich Kapazität'!$A50)*('Modell Kapazität'!$D$1:$AZ$1='Abgleich Kapazität'!M$40)*'Modell Kapazität'!$D$2:$AZ$35)+SUMPRODUCT(('Modell Kapazität'!$C$2:$C$35='Abgleich Kapazität'!$A50)*('Modell Kapazität'!$D$1:$AZ$1='Abgleich Kapazität'!M$39)*'Modell Kapazität'!$D$2:$AZ$35)+SUMPRODUCT(('Modell Kapazität'!$C$2:$C$35='Abgleich Kapazität'!$A50)*('Modell Kapazität'!$D$1:$AZ$1='Abgleich Kapazität'!M$38)*'Modell Kapazität'!$D$2:$AZ$35))/1000</f>
        <v>0</v>
      </c>
      <c r="N50" s="26">
        <f>(SUMPRODUCT(('Modell Kapazität'!$C$2:$C$35='Abgleich Kapazität'!$A50)*('Modell Kapazität'!$D$1:$AZ$1='Abgleich Kapazität'!N$40)*'Modell Kapazität'!$D$2:$AZ$35)+SUMPRODUCT(('Modell Kapazität'!$C$2:$C$35='Abgleich Kapazität'!$A50)*('Modell Kapazität'!$D$1:$AZ$1='Abgleich Kapazität'!N$39)*'Modell Kapazität'!$D$2:$AZ$35)+SUMPRODUCT(('Modell Kapazität'!$C$2:$C$35='Abgleich Kapazität'!$A50)*('Modell Kapazität'!$D$1:$AZ$1='Abgleich Kapazität'!N$38)*'Modell Kapazität'!$D$2:$AZ$35))/1000</f>
        <v>5.7709999999999999</v>
      </c>
      <c r="O50" s="26">
        <f>(SUMPRODUCT(('Modell Kapazität'!$C$2:$C$35='Abgleich Kapazität'!$A50)*('Modell Kapazität'!$D$1:$AZ$1='Abgleich Kapazität'!O$40)*'Modell Kapazität'!$D$2:$AZ$35)+SUMPRODUCT(('Modell Kapazität'!$C$2:$C$35='Abgleich Kapazität'!$A50)*('Modell Kapazität'!$D$1:$AZ$1='Abgleich Kapazität'!O$39)*'Modell Kapazität'!$D$2:$AZ$35)+SUMPRODUCT(('Modell Kapazität'!$C$2:$C$35='Abgleich Kapazität'!$A50)*('Modell Kapazität'!$D$1:$AZ$1='Abgleich Kapazität'!O$38)*'Modell Kapazität'!$D$2:$AZ$35))/1000</f>
        <v>52.341000000000001</v>
      </c>
      <c r="P50" s="26">
        <f>(SUMPRODUCT(('Modell Kapazität'!$C$2:$C$35='Abgleich Kapazität'!$A50)*('Modell Kapazität'!$D$1:$AZ$1='Abgleich Kapazität'!P$40)*'Modell Kapazität'!$D$2:$AZ$35)+SUMPRODUCT(('Modell Kapazität'!$C$2:$C$35='Abgleich Kapazität'!$A50)*('Modell Kapazität'!$D$1:$AZ$1='Abgleich Kapazität'!P$39)*'Modell Kapazität'!$D$2:$AZ$35)+SUMPRODUCT(('Modell Kapazität'!$C$2:$C$35='Abgleich Kapazität'!$A50)*('Modell Kapazität'!$D$1:$AZ$1='Abgleich Kapazität'!P$38)*'Modell Kapazität'!$D$2:$AZ$35))/1000</f>
        <v>41.999000000000002</v>
      </c>
      <c r="Q50" s="26">
        <f>(SUMPRODUCT(('Modell Kapazität'!$C$2:$C$35='Abgleich Kapazität'!$A50)*('Modell Kapazität'!$D$1:$AZ$1='Abgleich Kapazität'!Q$40)*'Modell Kapazität'!$D$2:$AZ$35)+SUMPRODUCT(('Modell Kapazität'!$C$2:$C$35='Abgleich Kapazität'!$A50)*('Modell Kapazität'!$D$1:$AZ$1='Abgleich Kapazität'!Q$39)*'Modell Kapazität'!$D$2:$AZ$35)+SUMPRODUCT(('Modell Kapazität'!$C$2:$C$35='Abgleich Kapazität'!$A50)*('Modell Kapazität'!$D$1:$AZ$1='Abgleich Kapazität'!Q$38)*'Modell Kapazität'!$D$2:$AZ$35))/1000</f>
        <v>0</v>
      </c>
      <c r="R50" s="26">
        <f>(SUMPRODUCT(('Modell Kapazität'!$C$2:$C$35='Abgleich Kapazität'!$A50)*('Modell Kapazität'!$D$1:$AZ$1='Abgleich Kapazität'!R$40)*'Modell Kapazität'!$D$2:$AZ$35)+SUMPRODUCT(('Modell Kapazität'!$C$2:$C$35='Abgleich Kapazität'!$A50)*('Modell Kapazität'!$D$1:$AZ$1='Abgleich Kapazität'!R$39)*'Modell Kapazität'!$D$2:$AZ$35)+SUMPRODUCT(('Modell Kapazität'!$C$2:$C$35='Abgleich Kapazität'!$A50)*('Modell Kapazität'!$D$1:$AZ$1='Abgleich Kapazität'!R$38)*'Modell Kapazität'!$D$2:$AZ$35))/1000</f>
        <v>8</v>
      </c>
      <c r="S50" s="26">
        <f>(SUMPRODUCT(('Modell Kapazität'!$C$2:$C$35='Abgleich Kapazität'!$A50)*('Modell Kapazität'!$D$1:$AZ$1='Abgleich Kapazität'!S$40)*'Modell Kapazität'!$D$2:$AZ$35)+SUMPRODUCT(('Modell Kapazität'!$C$2:$C$35='Abgleich Kapazität'!$A50)*('Modell Kapazität'!$D$1:$AZ$1='Abgleich Kapazität'!S$39)*'Modell Kapazität'!$D$2:$AZ$35)+SUMPRODUCT(('Modell Kapazität'!$C$2:$C$35='Abgleich Kapazität'!$A50)*('Modell Kapazität'!$D$1:$AZ$1='Abgleich Kapazität'!S$38)*'Modell Kapazität'!$D$2:$AZ$35))/1000</f>
        <v>0</v>
      </c>
      <c r="T50" s="26">
        <f>(SUMPRODUCT(('Modell Kapazität'!$C$2:$C$35='Abgleich Kapazität'!$A50)*('Modell Kapazität'!$D$1:$AZ$1='Abgleich Kapazität'!T$40)*'Modell Kapazität'!$D$2:$AZ$35)+SUMPRODUCT(('Modell Kapazität'!$C$2:$C$35='Abgleich Kapazität'!$A50)*('Modell Kapazität'!$D$1:$AZ$1='Abgleich Kapazität'!T$39)*'Modell Kapazität'!$D$2:$AZ$35)+SUMPRODUCT(('Modell Kapazität'!$C$2:$C$35='Abgleich Kapazität'!$A50)*('Modell Kapazität'!$D$1:$AZ$1='Abgleich Kapazität'!T$38)*'Modell Kapazität'!$D$2:$AZ$35))/1000</f>
        <v>3.6999999999999998E-2</v>
      </c>
      <c r="U50" s="26">
        <f>(SUMPRODUCT(('Modell Kapazität'!$C$2:$C$35='Abgleich Kapazität'!$A50)*('Modell Kapazität'!$D$1:$AZ$1='Abgleich Kapazität'!U$40)*'Modell Kapazität'!$D$2:$AZ$35)+SUMPRODUCT(('Modell Kapazität'!$C$2:$C$35='Abgleich Kapazität'!$A50)*('Modell Kapazität'!$D$1:$AZ$1='Abgleich Kapazität'!U$39)*'Modell Kapazität'!$D$2:$AZ$35)+SUMPRODUCT(('Modell Kapazität'!$C$2:$C$35='Abgleich Kapazität'!$A50)*('Modell Kapazität'!$D$1:$AZ$1='Abgleich Kapazität'!U$38)*'Modell Kapazität'!$D$2:$AZ$35))/1000</f>
        <v>0</v>
      </c>
      <c r="V50" s="27">
        <f t="shared" si="76"/>
        <v>202.64890000000003</v>
      </c>
    </row>
    <row r="51" spans="1:22" x14ac:dyDescent="0.25">
      <c r="A51" s="14" t="s">
        <v>18</v>
      </c>
      <c r="B51" s="57">
        <f t="shared" si="73"/>
        <v>7.8485664499999999</v>
      </c>
      <c r="C51" s="58">
        <f>(SUMPRODUCT(('Modell Kapazität'!$C$2:$C$35='Abgleich Kapazität'!$A51)*('Modell Kapazität'!$D$1:$AZ$1='Abgleich Kapazität'!C$40)*'Modell Kapazität'!$D$2:$AZ$35)+SUMPRODUCT(('Modell Kapazität'!$C$2:$C$35='Abgleich Kapazität'!$A51)*('Modell Kapazität'!$D$1:$AZ$1='Abgleich Kapazität'!C$39)*'Modell Kapazität'!$D$2:$AZ$35)+SUMPRODUCT(('Modell Kapazität'!$C$2:$C$35='Abgleich Kapazität'!$A51)*('Modell Kapazität'!$D$1:$AZ$1='Abgleich Kapazität'!C$38)*'Modell Kapazität'!$D$2:$AZ$35))/1000</f>
        <v>0</v>
      </c>
      <c r="D51" s="58">
        <f t="shared" si="74"/>
        <v>7.8485664499999999</v>
      </c>
      <c r="E51" s="58">
        <f>(SUMPRODUCT(('Modell Kapazität'!$C$2:$C$35='Abgleich Kapazität'!$A51)*('Modell Kapazität'!$D$1:$AZ$1='Abgleich Kapazität'!E$40)*'Modell Kapazität'!$D$2:$AZ$35)+SUMPRODUCT(('Modell Kapazität'!$C$2:$C$35='Abgleich Kapazität'!$A51)*('Modell Kapazität'!$D$1:$AZ$1='Abgleich Kapazität'!E$39)*'Modell Kapazität'!$D$2:$AZ$35)+SUMPRODUCT(('Modell Kapazität'!$C$2:$C$35='Abgleich Kapazität'!$A51)*('Modell Kapazität'!$D$1:$AZ$1='Abgleich Kapazität'!E$38)*'Modell Kapazität'!$D$2:$AZ$35))/1000</f>
        <v>0</v>
      </c>
      <c r="F51" s="58">
        <f>(SUMPRODUCT(('Modell Kapazität'!$C$2:$C$35='Abgleich Kapazität'!$A51)*('Modell Kapazität'!$D$1:$AZ$1='Abgleich Kapazität'!F$40)*'Modell Kapazität'!$D$2:$AZ$35)+SUMPRODUCT(('Modell Kapazität'!$C$2:$C$35='Abgleich Kapazität'!$A51)*('Modell Kapazität'!$D$1:$AZ$1='Abgleich Kapazität'!F$39)*'Modell Kapazität'!$D$2:$AZ$35)+SUMPRODUCT(('Modell Kapazität'!$C$2:$C$35='Abgleich Kapazität'!$A51)*('Modell Kapazität'!$D$1:$AZ$1='Abgleich Kapazität'!F$38)*'Modell Kapazität'!$D$2:$AZ$35))/1000</f>
        <v>3.8099839499999999</v>
      </c>
      <c r="G51" s="58">
        <f>(SUMPRODUCT(('Modell Kapazität'!$C$2:$C$35='Abgleich Kapazität'!$A51)*('Modell Kapazität'!$D$1:$AZ$1='Abgleich Kapazität'!G$40)*'Modell Kapazität'!$D$2:$AZ$35)+SUMPRODUCT(('Modell Kapazität'!$C$2:$C$35='Abgleich Kapazität'!$A51)*('Modell Kapazität'!$D$1:$AZ$1='Abgleich Kapazität'!G$39)*'Modell Kapazität'!$D$2:$AZ$35)+SUMPRODUCT(('Modell Kapazität'!$C$2:$C$35='Abgleich Kapazität'!$A51)*('Modell Kapazität'!$D$1:$AZ$1='Abgleich Kapazität'!G$38)*'Modell Kapazität'!$D$2:$AZ$35))/1000</f>
        <v>3.3959185000000001</v>
      </c>
      <c r="H51" s="58">
        <f>(SUMPRODUCT(('Modell Kapazität'!$C$2:$C$35='Abgleich Kapazität'!$A51)*('Modell Kapazität'!$D$1:$AZ$1='Abgleich Kapazität'!H$40)*'Modell Kapazität'!$D$2:$AZ$35)+SUMPRODUCT(('Modell Kapazität'!$C$2:$C$35='Abgleich Kapazität'!$A51)*('Modell Kapazität'!$D$1:$AZ$1='Abgleich Kapazität'!H$39)*'Modell Kapazität'!$D$2:$AZ$35)+SUMPRODUCT(('Modell Kapazität'!$C$2:$C$35='Abgleich Kapazität'!$A51)*('Modell Kapazität'!$D$1:$AZ$1='Abgleich Kapazität'!H$38)*'Modell Kapazität'!$D$2:$AZ$35))/1000</f>
        <v>0</v>
      </c>
      <c r="I51" s="58">
        <f>(SUMPRODUCT(('Modell Kapazität'!$C$2:$C$35='Abgleich Kapazität'!$A51)*('Modell Kapazität'!$D$1:$AZ$1='Abgleich Kapazität'!I$40)*'Modell Kapazität'!$D$2:$AZ$35)+SUMPRODUCT(('Modell Kapazität'!$C$2:$C$35='Abgleich Kapazität'!$A51)*('Modell Kapazität'!$D$1:$AZ$1='Abgleich Kapazität'!I$39)*'Modell Kapazität'!$D$2:$AZ$35)+SUMPRODUCT(('Modell Kapazität'!$C$2:$C$35='Abgleich Kapazität'!$A51)*('Modell Kapazität'!$D$1:$AZ$1='Abgleich Kapazität'!I$38)*'Modell Kapazität'!$D$2:$AZ$35))/1000</f>
        <v>0</v>
      </c>
      <c r="J51" s="58">
        <f>(SUMPRODUCT(('Modell Kapazität'!$C$2:$C$35='Abgleich Kapazität'!$A51)*('Modell Kapazität'!$D$1:$AZ$1='Abgleich Kapazität'!J$40)*'Modell Kapazität'!$D$2:$AZ$35)+SUMPRODUCT(('Modell Kapazität'!$C$2:$C$35='Abgleich Kapazität'!$A51)*('Modell Kapazität'!$D$1:$AZ$1='Abgleich Kapazität'!J$39)*'Modell Kapazität'!$D$2:$AZ$35)+SUMPRODUCT(('Modell Kapazität'!$C$2:$C$35='Abgleich Kapazität'!$A51)*('Modell Kapazität'!$D$1:$AZ$1='Abgleich Kapazität'!J$38)*'Modell Kapazität'!$D$2:$AZ$35))/1000</f>
        <v>0.64266400000000001</v>
      </c>
      <c r="K51" s="59">
        <f t="shared" si="75"/>
        <v>7.5677500000000002</v>
      </c>
      <c r="L51" s="58">
        <f>(SUMPRODUCT(('Modell Kapazität'!$C$2:$C$35='Abgleich Kapazität'!$A51)*('Modell Kapazität'!$D$1:$AZ$1='Abgleich Kapazität'!L$40)*'Modell Kapazität'!$D$2:$AZ$35)+SUMPRODUCT(('Modell Kapazität'!$C$2:$C$35='Abgleich Kapazität'!$A51)*('Modell Kapazität'!$D$1:$AZ$1='Abgleich Kapazität'!L$39)*'Modell Kapazität'!$D$2:$AZ$35)+SUMPRODUCT(('Modell Kapazität'!$C$2:$C$35='Abgleich Kapazität'!$A51)*('Modell Kapazität'!$D$1:$AZ$1='Abgleich Kapazität'!L$38)*'Modell Kapazität'!$D$2:$AZ$35))/1000</f>
        <v>0</v>
      </c>
      <c r="M51" s="58">
        <f>(SUMPRODUCT(('Modell Kapazität'!$C$2:$C$35='Abgleich Kapazität'!$A51)*('Modell Kapazität'!$D$1:$AZ$1='Abgleich Kapazität'!M$40)*'Modell Kapazität'!$D$2:$AZ$35)+SUMPRODUCT(('Modell Kapazität'!$C$2:$C$35='Abgleich Kapazität'!$A51)*('Modell Kapazität'!$D$1:$AZ$1='Abgleich Kapazität'!M$39)*'Modell Kapazität'!$D$2:$AZ$35)+SUMPRODUCT(('Modell Kapazität'!$C$2:$C$35='Abgleich Kapazität'!$A51)*('Modell Kapazität'!$D$1:$AZ$1='Abgleich Kapazität'!M$38)*'Modell Kapazität'!$D$2:$AZ$35))/1000</f>
        <v>0</v>
      </c>
      <c r="N51" s="58">
        <f>(SUMPRODUCT(('Modell Kapazität'!$C$2:$C$35='Abgleich Kapazität'!$A51)*('Modell Kapazität'!$D$1:$AZ$1='Abgleich Kapazität'!N$40)*'Modell Kapazität'!$D$2:$AZ$35)+SUMPRODUCT(('Modell Kapazität'!$C$2:$C$35='Abgleich Kapazität'!$A51)*('Modell Kapazität'!$D$1:$AZ$1='Abgleich Kapazität'!N$39)*'Modell Kapazität'!$D$2:$AZ$35)+SUMPRODUCT(('Modell Kapazität'!$C$2:$C$35='Abgleich Kapazität'!$A51)*('Modell Kapazität'!$D$1:$AZ$1='Abgleich Kapazität'!N$38)*'Modell Kapazität'!$D$2:$AZ$35))/1000</f>
        <v>1.56</v>
      </c>
      <c r="O51" s="58">
        <f>(SUMPRODUCT(('Modell Kapazität'!$C$2:$C$35='Abgleich Kapazität'!$A51)*('Modell Kapazität'!$D$1:$AZ$1='Abgleich Kapazität'!O$40)*'Modell Kapazität'!$D$2:$AZ$35)+SUMPRODUCT(('Modell Kapazität'!$C$2:$C$35='Abgleich Kapazität'!$A51)*('Modell Kapazität'!$D$1:$AZ$1='Abgleich Kapazität'!O$39)*'Modell Kapazität'!$D$2:$AZ$35)+SUMPRODUCT(('Modell Kapazität'!$C$2:$C$35='Abgleich Kapazität'!$A51)*('Modell Kapazität'!$D$1:$AZ$1='Abgleich Kapazität'!O$38)*'Modell Kapazität'!$D$2:$AZ$35))/1000</f>
        <v>3.492</v>
      </c>
      <c r="P51" s="58">
        <f>(SUMPRODUCT(('Modell Kapazität'!$C$2:$C$35='Abgleich Kapazität'!$A51)*('Modell Kapazität'!$D$1:$AZ$1='Abgleich Kapazität'!P$40)*'Modell Kapazität'!$D$2:$AZ$35)+SUMPRODUCT(('Modell Kapazität'!$C$2:$C$35='Abgleich Kapazität'!$A51)*('Modell Kapazität'!$D$1:$AZ$1='Abgleich Kapazität'!P$39)*'Modell Kapazität'!$D$2:$AZ$35)+SUMPRODUCT(('Modell Kapazität'!$C$2:$C$35='Abgleich Kapazität'!$A51)*('Modell Kapazität'!$D$1:$AZ$1='Abgleich Kapazität'!P$38)*'Modell Kapazität'!$D$2:$AZ$35))/1000</f>
        <v>0.54374999999999996</v>
      </c>
      <c r="Q51" s="58">
        <f>(SUMPRODUCT(('Modell Kapazität'!$C$2:$C$35='Abgleich Kapazität'!$A51)*('Modell Kapazität'!$D$1:$AZ$1='Abgleich Kapazität'!Q$40)*'Modell Kapazität'!$D$2:$AZ$35)+SUMPRODUCT(('Modell Kapazität'!$C$2:$C$35='Abgleich Kapazität'!$A51)*('Modell Kapazität'!$D$1:$AZ$1='Abgleich Kapazität'!Q$39)*'Modell Kapazität'!$D$2:$AZ$35)+SUMPRODUCT(('Modell Kapazität'!$C$2:$C$35='Abgleich Kapazität'!$A51)*('Modell Kapazität'!$D$1:$AZ$1='Abgleich Kapazität'!Q$38)*'Modell Kapazität'!$D$2:$AZ$35))/1000</f>
        <v>0</v>
      </c>
      <c r="R51" s="58">
        <f>(SUMPRODUCT(('Modell Kapazität'!$C$2:$C$35='Abgleich Kapazität'!$A51)*('Modell Kapazität'!$D$1:$AZ$1='Abgleich Kapazität'!R$40)*'Modell Kapazität'!$D$2:$AZ$35)+SUMPRODUCT(('Modell Kapazität'!$C$2:$C$35='Abgleich Kapazität'!$A51)*('Modell Kapazität'!$D$1:$AZ$1='Abgleich Kapazität'!R$39)*'Modell Kapazität'!$D$2:$AZ$35)+SUMPRODUCT(('Modell Kapazität'!$C$2:$C$35='Abgleich Kapazität'!$A51)*('Modell Kapazität'!$D$1:$AZ$1='Abgleich Kapazität'!R$38)*'Modell Kapazität'!$D$2:$AZ$35))/1000</f>
        <v>1.972</v>
      </c>
      <c r="S51" s="58">
        <f>(SUMPRODUCT(('Modell Kapazität'!$C$2:$C$35='Abgleich Kapazität'!$A51)*('Modell Kapazität'!$D$1:$AZ$1='Abgleich Kapazität'!S$40)*'Modell Kapazität'!$D$2:$AZ$35)+SUMPRODUCT(('Modell Kapazität'!$C$2:$C$35='Abgleich Kapazität'!$A51)*('Modell Kapazität'!$D$1:$AZ$1='Abgleich Kapazität'!S$39)*'Modell Kapazität'!$D$2:$AZ$35)+SUMPRODUCT(('Modell Kapazität'!$C$2:$C$35='Abgleich Kapazität'!$A51)*('Modell Kapazität'!$D$1:$AZ$1='Abgleich Kapazität'!S$38)*'Modell Kapazität'!$D$2:$AZ$35))/1000</f>
        <v>0</v>
      </c>
      <c r="T51" s="58">
        <f>(SUMPRODUCT(('Modell Kapazität'!$C$2:$C$35='Abgleich Kapazität'!$A51)*('Modell Kapazität'!$D$1:$AZ$1='Abgleich Kapazität'!T$40)*'Modell Kapazität'!$D$2:$AZ$35)+SUMPRODUCT(('Modell Kapazität'!$C$2:$C$35='Abgleich Kapazität'!$A51)*('Modell Kapazität'!$D$1:$AZ$1='Abgleich Kapazität'!T$39)*'Modell Kapazität'!$D$2:$AZ$35)+SUMPRODUCT(('Modell Kapazität'!$C$2:$C$35='Abgleich Kapazität'!$A51)*('Modell Kapazität'!$D$1:$AZ$1='Abgleich Kapazität'!T$38)*'Modell Kapazität'!$D$2:$AZ$35))/1000</f>
        <v>0</v>
      </c>
      <c r="U51" s="58">
        <f>(SUMPRODUCT(('Modell Kapazität'!$C$2:$C$35='Abgleich Kapazität'!$A51)*('Modell Kapazität'!$D$1:$AZ$1='Abgleich Kapazität'!U$40)*'Modell Kapazität'!$D$2:$AZ$35)+SUMPRODUCT(('Modell Kapazität'!$C$2:$C$35='Abgleich Kapazität'!$A51)*('Modell Kapazität'!$D$1:$AZ$1='Abgleich Kapazität'!U$39)*'Modell Kapazität'!$D$2:$AZ$35)+SUMPRODUCT(('Modell Kapazität'!$C$2:$C$35='Abgleich Kapazität'!$A51)*('Modell Kapazität'!$D$1:$AZ$1='Abgleich Kapazität'!U$38)*'Modell Kapazität'!$D$2:$AZ$35))/1000</f>
        <v>0</v>
      </c>
      <c r="V51" s="59">
        <f t="shared" si="76"/>
        <v>15.41631645</v>
      </c>
    </row>
    <row r="52" spans="1:22" x14ac:dyDescent="0.25">
      <c r="A52" s="14" t="s">
        <v>19</v>
      </c>
      <c r="B52" s="25">
        <f t="shared" si="73"/>
        <v>50.873503350000007</v>
      </c>
      <c r="C52" s="26">
        <f>(SUMPRODUCT(('Modell Kapazität'!$C$2:$C$35='Abgleich Kapazität'!$A52)*('Modell Kapazität'!$D$1:$AZ$1='Abgleich Kapazität'!C$40)*'Modell Kapazität'!$D$2:$AZ$35)+SUMPRODUCT(('Modell Kapazität'!$C$2:$C$35='Abgleich Kapazität'!$A52)*('Modell Kapazität'!$D$1:$AZ$1='Abgleich Kapazität'!C$39)*'Modell Kapazität'!$D$2:$AZ$35)+SUMPRODUCT(('Modell Kapazität'!$C$2:$C$35='Abgleich Kapazität'!$A52)*('Modell Kapazität'!$D$1:$AZ$1='Abgleich Kapazität'!C$38)*'Modell Kapazität'!$D$2:$AZ$35))/1000</f>
        <v>7.1159999999999997</v>
      </c>
      <c r="D52" s="26">
        <f t="shared" si="74"/>
        <v>43.757503350000007</v>
      </c>
      <c r="E52" s="26">
        <f>(SUMPRODUCT(('Modell Kapazität'!$C$2:$C$35='Abgleich Kapazität'!$A52)*('Modell Kapazität'!$D$1:$AZ$1='Abgleich Kapazität'!E$40)*'Modell Kapazität'!$D$2:$AZ$35)+SUMPRODUCT(('Modell Kapazität'!$C$2:$C$35='Abgleich Kapazität'!$A52)*('Modell Kapazität'!$D$1:$AZ$1='Abgleich Kapazität'!E$39)*'Modell Kapazität'!$D$2:$AZ$35)+SUMPRODUCT(('Modell Kapazität'!$C$2:$C$35='Abgleich Kapazität'!$A52)*('Modell Kapazität'!$D$1:$AZ$1='Abgleich Kapazität'!E$38)*'Modell Kapazität'!$D$2:$AZ$35))/1000</f>
        <v>1.0557699999999999</v>
      </c>
      <c r="F52" s="26">
        <f>(SUMPRODUCT(('Modell Kapazität'!$C$2:$C$35='Abgleich Kapazität'!$A52)*('Modell Kapazität'!$D$1:$AZ$1='Abgleich Kapazität'!F$40)*'Modell Kapazität'!$D$2:$AZ$35)+SUMPRODUCT(('Modell Kapazität'!$C$2:$C$35='Abgleich Kapazität'!$A52)*('Modell Kapazität'!$D$1:$AZ$1='Abgleich Kapazität'!F$39)*'Modell Kapazität'!$D$2:$AZ$35)+SUMPRODUCT(('Modell Kapazität'!$C$2:$C$35='Abgleich Kapazität'!$A52)*('Modell Kapazität'!$D$1:$AZ$1='Abgleich Kapazität'!F$38)*'Modell Kapazität'!$D$2:$AZ$35))/1000</f>
        <v>35.790026100000006</v>
      </c>
      <c r="G52" s="26">
        <f>(SUMPRODUCT(('Modell Kapazität'!$C$2:$C$35='Abgleich Kapazität'!$A52)*('Modell Kapazität'!$D$1:$AZ$1='Abgleich Kapazität'!G$40)*'Modell Kapazität'!$D$2:$AZ$35)+SUMPRODUCT(('Modell Kapazität'!$C$2:$C$35='Abgleich Kapazität'!$A52)*('Modell Kapazität'!$D$1:$AZ$1='Abgleich Kapazität'!G$39)*'Modell Kapazität'!$D$2:$AZ$35)+SUMPRODUCT(('Modell Kapazität'!$C$2:$C$35='Abgleich Kapazität'!$A52)*('Modell Kapazität'!$D$1:$AZ$1='Abgleich Kapazität'!G$38)*'Modell Kapazität'!$D$2:$AZ$35))/1000</f>
        <v>6.2495999999999992</v>
      </c>
      <c r="H52" s="26">
        <f>(SUMPRODUCT(('Modell Kapazität'!$C$2:$C$35='Abgleich Kapazität'!$A52)*('Modell Kapazität'!$D$1:$AZ$1='Abgleich Kapazität'!H$40)*'Modell Kapazität'!$D$2:$AZ$35)+SUMPRODUCT(('Modell Kapazität'!$C$2:$C$35='Abgleich Kapazität'!$A52)*('Modell Kapazität'!$D$1:$AZ$1='Abgleich Kapazität'!H$39)*'Modell Kapazität'!$D$2:$AZ$35)+SUMPRODUCT(('Modell Kapazität'!$C$2:$C$35='Abgleich Kapazität'!$A52)*('Modell Kapazität'!$D$1:$AZ$1='Abgleich Kapazität'!H$38)*'Modell Kapazität'!$D$2:$AZ$35))/1000</f>
        <v>0</v>
      </c>
      <c r="I52" s="26">
        <f>(SUMPRODUCT(('Modell Kapazität'!$C$2:$C$35='Abgleich Kapazität'!$A52)*('Modell Kapazität'!$D$1:$AZ$1='Abgleich Kapazität'!I$40)*'Modell Kapazität'!$D$2:$AZ$35)+SUMPRODUCT(('Modell Kapazität'!$C$2:$C$35='Abgleich Kapazität'!$A52)*('Modell Kapazität'!$D$1:$AZ$1='Abgleich Kapazität'!I$39)*'Modell Kapazität'!$D$2:$AZ$35)+SUMPRODUCT(('Modell Kapazität'!$C$2:$C$35='Abgleich Kapazität'!$A52)*('Modell Kapazität'!$D$1:$AZ$1='Abgleich Kapazität'!I$38)*'Modell Kapazität'!$D$2:$AZ$35))/1000</f>
        <v>0</v>
      </c>
      <c r="J52" s="26">
        <f>(SUMPRODUCT(('Modell Kapazität'!$C$2:$C$35='Abgleich Kapazität'!$A52)*('Modell Kapazität'!$D$1:$AZ$1='Abgleich Kapazität'!J$40)*'Modell Kapazität'!$D$2:$AZ$35)+SUMPRODUCT(('Modell Kapazität'!$C$2:$C$35='Abgleich Kapazität'!$A52)*('Modell Kapazität'!$D$1:$AZ$1='Abgleich Kapazität'!J$39)*'Modell Kapazität'!$D$2:$AZ$35)+SUMPRODUCT(('Modell Kapazität'!$C$2:$C$35='Abgleich Kapazität'!$A52)*('Modell Kapazität'!$D$1:$AZ$1='Abgleich Kapazität'!J$38)*'Modell Kapazität'!$D$2:$AZ$35))/1000</f>
        <v>0.66210725000000004</v>
      </c>
      <c r="K52" s="27">
        <f t="shared" si="75"/>
        <v>48.206149799999999</v>
      </c>
      <c r="L52" s="26">
        <f>(SUMPRODUCT(('Modell Kapazität'!$C$2:$C$35='Abgleich Kapazität'!$A52)*('Modell Kapazität'!$D$1:$AZ$1='Abgleich Kapazität'!L$40)*'Modell Kapazität'!$D$2:$AZ$35)+SUMPRODUCT(('Modell Kapazität'!$C$2:$C$35='Abgleich Kapazität'!$A52)*('Modell Kapazität'!$D$1:$AZ$1='Abgleich Kapazität'!L$39)*'Modell Kapazität'!$D$2:$AZ$35)+SUMPRODUCT(('Modell Kapazität'!$C$2:$C$35='Abgleich Kapazität'!$A52)*('Modell Kapazität'!$D$1:$AZ$1='Abgleich Kapazität'!L$38)*'Modell Kapazität'!$D$2:$AZ$35))/1000</f>
        <v>18.668149799999998</v>
      </c>
      <c r="M52" s="26">
        <f>(SUMPRODUCT(('Modell Kapazität'!$C$2:$C$35='Abgleich Kapazität'!$A52)*('Modell Kapazität'!$D$1:$AZ$1='Abgleich Kapazität'!M$40)*'Modell Kapazität'!$D$2:$AZ$35)+SUMPRODUCT(('Modell Kapazität'!$C$2:$C$35='Abgleich Kapazität'!$A52)*('Modell Kapazität'!$D$1:$AZ$1='Abgleich Kapazität'!M$39)*'Modell Kapazität'!$D$2:$AZ$35)+SUMPRODUCT(('Modell Kapazität'!$C$2:$C$35='Abgleich Kapazität'!$A52)*('Modell Kapazität'!$D$1:$AZ$1='Abgleich Kapazität'!M$38)*'Modell Kapazität'!$D$2:$AZ$35))/1000</f>
        <v>0</v>
      </c>
      <c r="N52" s="26">
        <f>(SUMPRODUCT(('Modell Kapazität'!$C$2:$C$35='Abgleich Kapazität'!$A52)*('Modell Kapazität'!$D$1:$AZ$1='Abgleich Kapazität'!N$40)*'Modell Kapazität'!$D$2:$AZ$35)+SUMPRODUCT(('Modell Kapazität'!$C$2:$C$35='Abgleich Kapazität'!$A52)*('Modell Kapazität'!$D$1:$AZ$1='Abgleich Kapazität'!N$39)*'Modell Kapazität'!$D$2:$AZ$35)+SUMPRODUCT(('Modell Kapazität'!$C$2:$C$35='Abgleich Kapazität'!$A52)*('Modell Kapazität'!$D$1:$AZ$1='Abgleich Kapazität'!N$38)*'Modell Kapazität'!$D$2:$AZ$35))/1000</f>
        <v>0</v>
      </c>
      <c r="O52" s="26">
        <f>(SUMPRODUCT(('Modell Kapazität'!$C$2:$C$35='Abgleich Kapazität'!$A52)*('Modell Kapazität'!$D$1:$AZ$1='Abgleich Kapazität'!O$40)*'Modell Kapazität'!$D$2:$AZ$35)+SUMPRODUCT(('Modell Kapazität'!$C$2:$C$35='Abgleich Kapazität'!$A52)*('Modell Kapazität'!$D$1:$AZ$1='Abgleich Kapazität'!O$39)*'Modell Kapazität'!$D$2:$AZ$35)+SUMPRODUCT(('Modell Kapazität'!$C$2:$C$35='Abgleich Kapazität'!$A52)*('Modell Kapazität'!$D$1:$AZ$1='Abgleich Kapazität'!O$38)*'Modell Kapazität'!$D$2:$AZ$35))/1000</f>
        <v>23.280999999999999</v>
      </c>
      <c r="P52" s="26">
        <f>(SUMPRODUCT(('Modell Kapazität'!$C$2:$C$35='Abgleich Kapazität'!$A52)*('Modell Kapazität'!$D$1:$AZ$1='Abgleich Kapazität'!P$40)*'Modell Kapazität'!$D$2:$AZ$35)+SUMPRODUCT(('Modell Kapazität'!$C$2:$C$35='Abgleich Kapazität'!$A52)*('Modell Kapazität'!$D$1:$AZ$1='Abgleich Kapazität'!P$39)*'Modell Kapazität'!$D$2:$AZ$35)+SUMPRODUCT(('Modell Kapazität'!$C$2:$C$35='Abgleich Kapazität'!$A52)*('Modell Kapazität'!$D$1:$AZ$1='Abgleich Kapazität'!P$38)*'Modell Kapazität'!$D$2:$AZ$35))/1000</f>
        <v>5.1079999999999997</v>
      </c>
      <c r="Q52" s="26">
        <f>(SUMPRODUCT(('Modell Kapazität'!$C$2:$C$35='Abgleich Kapazität'!$A52)*('Modell Kapazität'!$D$1:$AZ$1='Abgleich Kapazität'!Q$40)*'Modell Kapazität'!$D$2:$AZ$35)+SUMPRODUCT(('Modell Kapazität'!$C$2:$C$35='Abgleich Kapazität'!$A52)*('Modell Kapazität'!$D$1:$AZ$1='Abgleich Kapazität'!Q$39)*'Modell Kapazität'!$D$2:$AZ$35)+SUMPRODUCT(('Modell Kapazität'!$C$2:$C$35='Abgleich Kapazität'!$A52)*('Modell Kapazität'!$D$1:$AZ$1='Abgleich Kapazität'!Q$38)*'Modell Kapazität'!$D$2:$AZ$35))/1000</f>
        <v>0</v>
      </c>
      <c r="R52" s="26">
        <f>(SUMPRODUCT(('Modell Kapazität'!$C$2:$C$35='Abgleich Kapazität'!$A52)*('Modell Kapazität'!$D$1:$AZ$1='Abgleich Kapazität'!R$40)*'Modell Kapazität'!$D$2:$AZ$35)+SUMPRODUCT(('Modell Kapazität'!$C$2:$C$35='Abgleich Kapazität'!$A52)*('Modell Kapazität'!$D$1:$AZ$1='Abgleich Kapazität'!R$39)*'Modell Kapazität'!$D$2:$AZ$35)+SUMPRODUCT(('Modell Kapazität'!$C$2:$C$35='Abgleich Kapazität'!$A52)*('Modell Kapazität'!$D$1:$AZ$1='Abgleich Kapazität'!R$38)*'Modell Kapazität'!$D$2:$AZ$35))/1000</f>
        <v>1.149</v>
      </c>
      <c r="S52" s="26">
        <f>(SUMPRODUCT(('Modell Kapazität'!$C$2:$C$35='Abgleich Kapazität'!$A52)*('Modell Kapazität'!$D$1:$AZ$1='Abgleich Kapazität'!S$40)*'Modell Kapazität'!$D$2:$AZ$35)+SUMPRODUCT(('Modell Kapazität'!$C$2:$C$35='Abgleich Kapazität'!$A52)*('Modell Kapazität'!$D$1:$AZ$1='Abgleich Kapazität'!S$39)*'Modell Kapazität'!$D$2:$AZ$35)+SUMPRODUCT(('Modell Kapazität'!$C$2:$C$35='Abgleich Kapazität'!$A52)*('Modell Kapazität'!$D$1:$AZ$1='Abgleich Kapazität'!S$38)*'Modell Kapazität'!$D$2:$AZ$35))/1000</f>
        <v>0</v>
      </c>
      <c r="T52" s="26">
        <f>(SUMPRODUCT(('Modell Kapazität'!$C$2:$C$35='Abgleich Kapazität'!$A52)*('Modell Kapazität'!$D$1:$AZ$1='Abgleich Kapazität'!T$40)*'Modell Kapazität'!$D$2:$AZ$35)+SUMPRODUCT(('Modell Kapazität'!$C$2:$C$35='Abgleich Kapazität'!$A52)*('Modell Kapazität'!$D$1:$AZ$1='Abgleich Kapazität'!T$39)*'Modell Kapazität'!$D$2:$AZ$35)+SUMPRODUCT(('Modell Kapazität'!$C$2:$C$35='Abgleich Kapazität'!$A52)*('Modell Kapazität'!$D$1:$AZ$1='Abgleich Kapazität'!T$38)*'Modell Kapazität'!$D$2:$AZ$35))/1000</f>
        <v>0</v>
      </c>
      <c r="U52" s="26">
        <f>(SUMPRODUCT(('Modell Kapazität'!$C$2:$C$35='Abgleich Kapazität'!$A52)*('Modell Kapazität'!$D$1:$AZ$1='Abgleich Kapazität'!U$40)*'Modell Kapazität'!$D$2:$AZ$35)+SUMPRODUCT(('Modell Kapazität'!$C$2:$C$35='Abgleich Kapazität'!$A52)*('Modell Kapazität'!$D$1:$AZ$1='Abgleich Kapazität'!U$39)*'Modell Kapazität'!$D$2:$AZ$35)+SUMPRODUCT(('Modell Kapazität'!$C$2:$C$35='Abgleich Kapazität'!$A52)*('Modell Kapazität'!$D$1:$AZ$1='Abgleich Kapazität'!U$38)*'Modell Kapazität'!$D$2:$AZ$35))/1000</f>
        <v>0</v>
      </c>
      <c r="V52" s="27">
        <f t="shared" si="76"/>
        <v>99.079653150000013</v>
      </c>
    </row>
    <row r="53" spans="1:22" x14ac:dyDescent="0.25">
      <c r="A53" s="14" t="s">
        <v>20</v>
      </c>
      <c r="B53" s="57">
        <f t="shared" si="73"/>
        <v>12.889003000000002</v>
      </c>
      <c r="C53" s="58">
        <f>(SUMPRODUCT(('Modell Kapazität'!$C$2:$C$35='Abgleich Kapazität'!$A53)*('Modell Kapazität'!$D$1:$AZ$1='Abgleich Kapazität'!C$40)*'Modell Kapazität'!$D$2:$AZ$35)+SUMPRODUCT(('Modell Kapazität'!$C$2:$C$35='Abgleich Kapazität'!$A53)*('Modell Kapazität'!$D$1:$AZ$1='Abgleich Kapazität'!C$39)*'Modell Kapazität'!$D$2:$AZ$35)+SUMPRODUCT(('Modell Kapazität'!$C$2:$C$35='Abgleich Kapazität'!$A53)*('Modell Kapazität'!$D$1:$AZ$1='Abgleich Kapazität'!C$38)*'Modell Kapazität'!$D$2:$AZ$35))/1000</f>
        <v>4.2960000000000003</v>
      </c>
      <c r="D53" s="58">
        <f t="shared" si="74"/>
        <v>8.5930030000000013</v>
      </c>
      <c r="E53" s="58">
        <f>(SUMPRODUCT(('Modell Kapazität'!$C$2:$C$35='Abgleich Kapazität'!$A53)*('Modell Kapazität'!$D$1:$AZ$1='Abgleich Kapazität'!E$40)*'Modell Kapazität'!$D$2:$AZ$35)+SUMPRODUCT(('Modell Kapazität'!$C$2:$C$35='Abgleich Kapazität'!$A53)*('Modell Kapazität'!$D$1:$AZ$1='Abgleich Kapazität'!E$39)*'Modell Kapazität'!$D$2:$AZ$35)+SUMPRODUCT(('Modell Kapazität'!$C$2:$C$35='Abgleich Kapazität'!$A53)*('Modell Kapazität'!$D$1:$AZ$1='Abgleich Kapazität'!E$38)*'Modell Kapazität'!$D$2:$AZ$35))/1000</f>
        <v>1.194815</v>
      </c>
      <c r="F53" s="58">
        <f>(SUMPRODUCT(('Modell Kapazität'!$C$2:$C$35='Abgleich Kapazität'!$A53)*('Modell Kapazität'!$D$1:$AZ$1='Abgleich Kapazität'!F$40)*'Modell Kapazität'!$D$2:$AZ$35)+SUMPRODUCT(('Modell Kapazität'!$C$2:$C$35='Abgleich Kapazität'!$A53)*('Modell Kapazität'!$D$1:$AZ$1='Abgleich Kapazität'!F$39)*'Modell Kapazität'!$D$2:$AZ$35)+SUMPRODUCT(('Modell Kapazität'!$C$2:$C$35='Abgleich Kapazität'!$A53)*('Modell Kapazität'!$D$1:$AZ$1='Abgleich Kapazität'!F$38)*'Modell Kapazität'!$D$2:$AZ$35))/1000</f>
        <v>3.04893225</v>
      </c>
      <c r="G53" s="58">
        <f>(SUMPRODUCT(('Modell Kapazität'!$C$2:$C$35='Abgleich Kapazität'!$A53)*('Modell Kapazität'!$D$1:$AZ$1='Abgleich Kapazität'!G$40)*'Modell Kapazität'!$D$2:$AZ$35)+SUMPRODUCT(('Modell Kapazität'!$C$2:$C$35='Abgleich Kapazität'!$A53)*('Modell Kapazität'!$D$1:$AZ$1='Abgleich Kapazität'!G$39)*'Modell Kapazität'!$D$2:$AZ$35)+SUMPRODUCT(('Modell Kapazität'!$C$2:$C$35='Abgleich Kapazität'!$A53)*('Modell Kapazität'!$D$1:$AZ$1='Abgleich Kapazität'!G$38)*'Modell Kapazität'!$D$2:$AZ$35))/1000</f>
        <v>3.60180575</v>
      </c>
      <c r="H53" s="58">
        <f>(SUMPRODUCT(('Modell Kapazität'!$C$2:$C$35='Abgleich Kapazität'!$A53)*('Modell Kapazität'!$D$1:$AZ$1='Abgleich Kapazität'!H$40)*'Modell Kapazität'!$D$2:$AZ$35)+SUMPRODUCT(('Modell Kapazität'!$C$2:$C$35='Abgleich Kapazität'!$A53)*('Modell Kapazität'!$D$1:$AZ$1='Abgleich Kapazität'!H$39)*'Modell Kapazität'!$D$2:$AZ$35)+SUMPRODUCT(('Modell Kapazität'!$C$2:$C$35='Abgleich Kapazität'!$A53)*('Modell Kapazität'!$D$1:$AZ$1='Abgleich Kapazität'!H$38)*'Modell Kapazität'!$D$2:$AZ$35))/1000</f>
        <v>0</v>
      </c>
      <c r="I53" s="58">
        <f>(SUMPRODUCT(('Modell Kapazität'!$C$2:$C$35='Abgleich Kapazität'!$A53)*('Modell Kapazität'!$D$1:$AZ$1='Abgleich Kapazität'!I$40)*'Modell Kapazität'!$D$2:$AZ$35)+SUMPRODUCT(('Modell Kapazität'!$C$2:$C$35='Abgleich Kapazität'!$A53)*('Modell Kapazität'!$D$1:$AZ$1='Abgleich Kapazität'!I$39)*'Modell Kapazität'!$D$2:$AZ$35)+SUMPRODUCT(('Modell Kapazität'!$C$2:$C$35='Abgleich Kapazität'!$A53)*('Modell Kapazität'!$D$1:$AZ$1='Abgleich Kapazität'!I$38)*'Modell Kapazität'!$D$2:$AZ$35))/1000</f>
        <v>0</v>
      </c>
      <c r="J53" s="58">
        <f>(SUMPRODUCT(('Modell Kapazität'!$C$2:$C$35='Abgleich Kapazität'!$A53)*('Modell Kapazität'!$D$1:$AZ$1='Abgleich Kapazität'!J$40)*'Modell Kapazität'!$D$2:$AZ$35)+SUMPRODUCT(('Modell Kapazität'!$C$2:$C$35='Abgleich Kapazität'!$A53)*('Modell Kapazität'!$D$1:$AZ$1='Abgleich Kapazität'!J$39)*'Modell Kapazität'!$D$2:$AZ$35)+SUMPRODUCT(('Modell Kapazität'!$C$2:$C$35='Abgleich Kapazität'!$A53)*('Modell Kapazität'!$D$1:$AZ$1='Abgleich Kapazität'!J$38)*'Modell Kapazität'!$D$2:$AZ$35))/1000</f>
        <v>0.74745000000000006</v>
      </c>
      <c r="K53" s="59">
        <f t="shared" si="75"/>
        <v>4.0637802000000001</v>
      </c>
      <c r="L53" s="58">
        <f>(SUMPRODUCT(('Modell Kapazität'!$C$2:$C$35='Abgleich Kapazität'!$A53)*('Modell Kapazität'!$D$1:$AZ$1='Abgleich Kapazität'!L$40)*'Modell Kapazität'!$D$2:$AZ$35)+SUMPRODUCT(('Modell Kapazität'!$C$2:$C$35='Abgleich Kapazität'!$A53)*('Modell Kapazität'!$D$1:$AZ$1='Abgleich Kapazität'!L$39)*'Modell Kapazität'!$D$2:$AZ$35)+SUMPRODUCT(('Modell Kapazität'!$C$2:$C$35='Abgleich Kapazität'!$A53)*('Modell Kapazität'!$D$1:$AZ$1='Abgleich Kapazität'!L$38)*'Modell Kapazität'!$D$2:$AZ$35))/1000</f>
        <v>3.0337802000000003</v>
      </c>
      <c r="M53" s="58">
        <f>(SUMPRODUCT(('Modell Kapazität'!$C$2:$C$35='Abgleich Kapazität'!$A53)*('Modell Kapazität'!$D$1:$AZ$1='Abgleich Kapazität'!M$40)*'Modell Kapazität'!$D$2:$AZ$35)+SUMPRODUCT(('Modell Kapazität'!$C$2:$C$35='Abgleich Kapazität'!$A53)*('Modell Kapazität'!$D$1:$AZ$1='Abgleich Kapazität'!M$39)*'Modell Kapazität'!$D$2:$AZ$35)+SUMPRODUCT(('Modell Kapazität'!$C$2:$C$35='Abgleich Kapazität'!$A53)*('Modell Kapazität'!$D$1:$AZ$1='Abgleich Kapazität'!M$38)*'Modell Kapazität'!$D$2:$AZ$35))/1000</f>
        <v>0</v>
      </c>
      <c r="N53" s="58">
        <f>(SUMPRODUCT(('Modell Kapazität'!$C$2:$C$35='Abgleich Kapazität'!$A53)*('Modell Kapazität'!$D$1:$AZ$1='Abgleich Kapazität'!N$40)*'Modell Kapazität'!$D$2:$AZ$35)+SUMPRODUCT(('Modell Kapazität'!$C$2:$C$35='Abgleich Kapazität'!$A53)*('Modell Kapazität'!$D$1:$AZ$1='Abgleich Kapazität'!N$39)*'Modell Kapazität'!$D$2:$AZ$35)+SUMPRODUCT(('Modell Kapazität'!$C$2:$C$35='Abgleich Kapazität'!$A53)*('Modell Kapazität'!$D$1:$AZ$1='Abgleich Kapazität'!N$38)*'Modell Kapazität'!$D$2:$AZ$35))/1000</f>
        <v>0</v>
      </c>
      <c r="O53" s="58">
        <f>(SUMPRODUCT(('Modell Kapazität'!$C$2:$C$35='Abgleich Kapazität'!$A53)*('Modell Kapazität'!$D$1:$AZ$1='Abgleich Kapazität'!O$40)*'Modell Kapazität'!$D$2:$AZ$35)+SUMPRODUCT(('Modell Kapazität'!$C$2:$C$35='Abgleich Kapazität'!$A53)*('Modell Kapazität'!$D$1:$AZ$1='Abgleich Kapazität'!O$39)*'Modell Kapazität'!$D$2:$AZ$35)+SUMPRODUCT(('Modell Kapazität'!$C$2:$C$35='Abgleich Kapazität'!$A53)*('Modell Kapazität'!$D$1:$AZ$1='Abgleich Kapazität'!O$38)*'Modell Kapazität'!$D$2:$AZ$35))/1000</f>
        <v>1.03</v>
      </c>
      <c r="P53" s="58">
        <f>(SUMPRODUCT(('Modell Kapazität'!$C$2:$C$35='Abgleich Kapazität'!$A53)*('Modell Kapazität'!$D$1:$AZ$1='Abgleich Kapazität'!P$40)*'Modell Kapazität'!$D$2:$AZ$35)+SUMPRODUCT(('Modell Kapazität'!$C$2:$C$35='Abgleich Kapazität'!$A53)*('Modell Kapazität'!$D$1:$AZ$1='Abgleich Kapazität'!P$39)*'Modell Kapazität'!$D$2:$AZ$35)+SUMPRODUCT(('Modell Kapazität'!$C$2:$C$35='Abgleich Kapazität'!$A53)*('Modell Kapazität'!$D$1:$AZ$1='Abgleich Kapazität'!P$38)*'Modell Kapazität'!$D$2:$AZ$35))/1000</f>
        <v>0</v>
      </c>
      <c r="Q53" s="58">
        <f>(SUMPRODUCT(('Modell Kapazität'!$C$2:$C$35='Abgleich Kapazität'!$A53)*('Modell Kapazität'!$D$1:$AZ$1='Abgleich Kapazität'!Q$40)*'Modell Kapazität'!$D$2:$AZ$35)+SUMPRODUCT(('Modell Kapazität'!$C$2:$C$35='Abgleich Kapazität'!$A53)*('Modell Kapazität'!$D$1:$AZ$1='Abgleich Kapazität'!Q$39)*'Modell Kapazität'!$D$2:$AZ$35)+SUMPRODUCT(('Modell Kapazität'!$C$2:$C$35='Abgleich Kapazität'!$A53)*('Modell Kapazität'!$D$1:$AZ$1='Abgleich Kapazität'!Q$38)*'Modell Kapazität'!$D$2:$AZ$35))/1000</f>
        <v>0</v>
      </c>
      <c r="R53" s="58">
        <f>(SUMPRODUCT(('Modell Kapazität'!$C$2:$C$35='Abgleich Kapazität'!$A53)*('Modell Kapazität'!$D$1:$AZ$1='Abgleich Kapazität'!R$40)*'Modell Kapazität'!$D$2:$AZ$35)+SUMPRODUCT(('Modell Kapazität'!$C$2:$C$35='Abgleich Kapazität'!$A53)*('Modell Kapazität'!$D$1:$AZ$1='Abgleich Kapazität'!R$39)*'Modell Kapazität'!$D$2:$AZ$35)+SUMPRODUCT(('Modell Kapazität'!$C$2:$C$35='Abgleich Kapazität'!$A53)*('Modell Kapazität'!$D$1:$AZ$1='Abgleich Kapazität'!R$38)*'Modell Kapazität'!$D$2:$AZ$35))/1000</f>
        <v>0</v>
      </c>
      <c r="S53" s="58">
        <f>(SUMPRODUCT(('Modell Kapazität'!$C$2:$C$35='Abgleich Kapazität'!$A53)*('Modell Kapazität'!$D$1:$AZ$1='Abgleich Kapazität'!S$40)*'Modell Kapazität'!$D$2:$AZ$35)+SUMPRODUCT(('Modell Kapazität'!$C$2:$C$35='Abgleich Kapazität'!$A53)*('Modell Kapazität'!$D$1:$AZ$1='Abgleich Kapazität'!S$39)*'Modell Kapazität'!$D$2:$AZ$35)+SUMPRODUCT(('Modell Kapazität'!$C$2:$C$35='Abgleich Kapazität'!$A53)*('Modell Kapazität'!$D$1:$AZ$1='Abgleich Kapazität'!S$38)*'Modell Kapazität'!$D$2:$AZ$35))/1000</f>
        <v>0</v>
      </c>
      <c r="T53" s="58">
        <f>(SUMPRODUCT(('Modell Kapazität'!$C$2:$C$35='Abgleich Kapazität'!$A53)*('Modell Kapazität'!$D$1:$AZ$1='Abgleich Kapazität'!T$40)*'Modell Kapazität'!$D$2:$AZ$35)+SUMPRODUCT(('Modell Kapazität'!$C$2:$C$35='Abgleich Kapazität'!$A53)*('Modell Kapazität'!$D$1:$AZ$1='Abgleich Kapazität'!T$39)*'Modell Kapazität'!$D$2:$AZ$35)+SUMPRODUCT(('Modell Kapazität'!$C$2:$C$35='Abgleich Kapazität'!$A53)*('Modell Kapazität'!$D$1:$AZ$1='Abgleich Kapazität'!T$38)*'Modell Kapazität'!$D$2:$AZ$35))/1000</f>
        <v>0</v>
      </c>
      <c r="U53" s="58">
        <f>(SUMPRODUCT(('Modell Kapazität'!$C$2:$C$35='Abgleich Kapazität'!$A53)*('Modell Kapazität'!$D$1:$AZ$1='Abgleich Kapazität'!U$40)*'Modell Kapazität'!$D$2:$AZ$35)+SUMPRODUCT(('Modell Kapazität'!$C$2:$C$35='Abgleich Kapazität'!$A53)*('Modell Kapazität'!$D$1:$AZ$1='Abgleich Kapazität'!U$39)*'Modell Kapazität'!$D$2:$AZ$35)+SUMPRODUCT(('Modell Kapazität'!$C$2:$C$35='Abgleich Kapazität'!$A53)*('Modell Kapazität'!$D$1:$AZ$1='Abgleich Kapazität'!U$38)*'Modell Kapazität'!$D$2:$AZ$35))/1000</f>
        <v>0</v>
      </c>
      <c r="V53" s="59">
        <f t="shared" si="76"/>
        <v>16.952783200000002</v>
      </c>
    </row>
    <row r="54" spans="1:22" x14ac:dyDescent="0.25">
      <c r="A54" s="14" t="s">
        <v>21</v>
      </c>
      <c r="B54" s="25">
        <f t="shared" si="73"/>
        <v>78.602000000000004</v>
      </c>
      <c r="C54" s="26">
        <f>(SUMPRODUCT(('Modell Kapazität'!$C$2:$C$35='Abgleich Kapazität'!$A54)*('Modell Kapazität'!$D$1:$AZ$1='Abgleich Kapazität'!C$40)*'Modell Kapazität'!$D$2:$AZ$35)+SUMPRODUCT(('Modell Kapazität'!$C$2:$C$35='Abgleich Kapazität'!$A54)*('Modell Kapazität'!$D$1:$AZ$1='Abgleich Kapazität'!C$39)*'Modell Kapazität'!$D$2:$AZ$35)+SUMPRODUCT(('Modell Kapazität'!$C$2:$C$35='Abgleich Kapazität'!$A54)*('Modell Kapazität'!$D$1:$AZ$1='Abgleich Kapazität'!C$38)*'Modell Kapazität'!$D$2:$AZ$35))/1000</f>
        <v>60.92</v>
      </c>
      <c r="D54" s="26">
        <f t="shared" si="74"/>
        <v>17.682000000000002</v>
      </c>
      <c r="E54" s="26">
        <f>(SUMPRODUCT(('Modell Kapazität'!$C$2:$C$35='Abgleich Kapazität'!$A54)*('Modell Kapazität'!$D$1:$AZ$1='Abgleich Kapazität'!E$40)*'Modell Kapazität'!$D$2:$AZ$35)+SUMPRODUCT(('Modell Kapazität'!$C$2:$C$35='Abgleich Kapazität'!$A54)*('Modell Kapazität'!$D$1:$AZ$1='Abgleich Kapazität'!E$39)*'Modell Kapazität'!$D$2:$AZ$35)+SUMPRODUCT(('Modell Kapazität'!$C$2:$C$35='Abgleich Kapazität'!$A54)*('Modell Kapazität'!$D$1:$AZ$1='Abgleich Kapazität'!E$38)*'Modell Kapazität'!$D$2:$AZ$35))/1000</f>
        <v>0</v>
      </c>
      <c r="F54" s="26">
        <f>(SUMPRODUCT(('Modell Kapazität'!$C$2:$C$35='Abgleich Kapazität'!$A54)*('Modell Kapazität'!$D$1:$AZ$1='Abgleich Kapazität'!F$40)*'Modell Kapazität'!$D$2:$AZ$35)+SUMPRODUCT(('Modell Kapazität'!$C$2:$C$35='Abgleich Kapazität'!$A54)*('Modell Kapazität'!$D$1:$AZ$1='Abgleich Kapazität'!F$39)*'Modell Kapazität'!$D$2:$AZ$35)+SUMPRODUCT(('Modell Kapazität'!$C$2:$C$35='Abgleich Kapazität'!$A54)*('Modell Kapazität'!$D$1:$AZ$1='Abgleich Kapazität'!F$38)*'Modell Kapazität'!$D$2:$AZ$35))/1000</f>
        <v>13.212999999999999</v>
      </c>
      <c r="G54" s="26">
        <f>(SUMPRODUCT(('Modell Kapazität'!$C$2:$C$35='Abgleich Kapazität'!$A54)*('Modell Kapazität'!$D$1:$AZ$1='Abgleich Kapazität'!G$40)*'Modell Kapazität'!$D$2:$AZ$35)+SUMPRODUCT(('Modell Kapazität'!$C$2:$C$35='Abgleich Kapazität'!$A54)*('Modell Kapazität'!$D$1:$AZ$1='Abgleich Kapazität'!G$39)*'Modell Kapazität'!$D$2:$AZ$35)+SUMPRODUCT(('Modell Kapazität'!$C$2:$C$35='Abgleich Kapazität'!$A54)*('Modell Kapazität'!$D$1:$AZ$1='Abgleich Kapazität'!G$38)*'Modell Kapazität'!$D$2:$AZ$35))/1000</f>
        <v>3.3140000000000001</v>
      </c>
      <c r="H54" s="26">
        <f>(SUMPRODUCT(('Modell Kapazität'!$C$2:$C$35='Abgleich Kapazität'!$A54)*('Modell Kapazität'!$D$1:$AZ$1='Abgleich Kapazität'!H$40)*'Modell Kapazität'!$D$2:$AZ$35)+SUMPRODUCT(('Modell Kapazität'!$C$2:$C$35='Abgleich Kapazität'!$A54)*('Modell Kapazität'!$D$1:$AZ$1='Abgleich Kapazität'!H$39)*'Modell Kapazität'!$D$2:$AZ$35)+SUMPRODUCT(('Modell Kapazität'!$C$2:$C$35='Abgleich Kapazität'!$A54)*('Modell Kapazität'!$D$1:$AZ$1='Abgleich Kapazität'!H$38)*'Modell Kapazität'!$D$2:$AZ$35))/1000</f>
        <v>0</v>
      </c>
      <c r="I54" s="26">
        <f>(SUMPRODUCT(('Modell Kapazität'!$C$2:$C$35='Abgleich Kapazität'!$A54)*('Modell Kapazität'!$D$1:$AZ$1='Abgleich Kapazität'!I$40)*'Modell Kapazität'!$D$2:$AZ$35)+SUMPRODUCT(('Modell Kapazität'!$C$2:$C$35='Abgleich Kapazität'!$A54)*('Modell Kapazität'!$D$1:$AZ$1='Abgleich Kapazität'!I$39)*'Modell Kapazität'!$D$2:$AZ$35)+SUMPRODUCT(('Modell Kapazität'!$C$2:$C$35='Abgleich Kapazität'!$A54)*('Modell Kapazität'!$D$1:$AZ$1='Abgleich Kapazität'!I$38)*'Modell Kapazität'!$D$2:$AZ$35))/1000</f>
        <v>0</v>
      </c>
      <c r="J54" s="26">
        <f>(SUMPRODUCT(('Modell Kapazität'!$C$2:$C$35='Abgleich Kapazität'!$A54)*('Modell Kapazität'!$D$1:$AZ$1='Abgleich Kapazität'!J$40)*'Modell Kapazität'!$D$2:$AZ$35)+SUMPRODUCT(('Modell Kapazität'!$C$2:$C$35='Abgleich Kapazität'!$A54)*('Modell Kapazität'!$D$1:$AZ$1='Abgleich Kapazität'!J$39)*'Modell Kapazität'!$D$2:$AZ$35)+SUMPRODUCT(('Modell Kapazität'!$C$2:$C$35='Abgleich Kapazität'!$A54)*('Modell Kapazität'!$D$1:$AZ$1='Abgleich Kapazität'!J$38)*'Modell Kapazität'!$D$2:$AZ$35))/1000</f>
        <v>1.155</v>
      </c>
      <c r="K54" s="27">
        <f t="shared" si="75"/>
        <v>47.338999999999999</v>
      </c>
      <c r="L54" s="26">
        <f>(SUMPRODUCT(('Modell Kapazität'!$C$2:$C$35='Abgleich Kapazität'!$A54)*('Modell Kapazität'!$D$1:$AZ$1='Abgleich Kapazität'!L$40)*'Modell Kapazität'!$D$2:$AZ$35)+SUMPRODUCT(('Modell Kapazität'!$C$2:$C$35='Abgleich Kapazität'!$A54)*('Modell Kapazität'!$D$1:$AZ$1='Abgleich Kapazität'!L$39)*'Modell Kapazität'!$D$2:$AZ$35)+SUMPRODUCT(('Modell Kapazität'!$C$2:$C$35='Abgleich Kapazität'!$A54)*('Modell Kapazität'!$D$1:$AZ$1='Abgleich Kapazität'!L$38)*'Modell Kapazität'!$D$2:$AZ$35))/1000</f>
        <v>25.332999999999998</v>
      </c>
      <c r="M54" s="26">
        <f>(SUMPRODUCT(('Modell Kapazität'!$C$2:$C$35='Abgleich Kapazität'!$A54)*('Modell Kapazität'!$D$1:$AZ$1='Abgleich Kapazität'!M$40)*'Modell Kapazität'!$D$2:$AZ$35)+SUMPRODUCT(('Modell Kapazität'!$C$2:$C$35='Abgleich Kapazität'!$A54)*('Modell Kapazität'!$D$1:$AZ$1='Abgleich Kapazität'!M$39)*'Modell Kapazität'!$D$2:$AZ$35)+SUMPRODUCT(('Modell Kapazität'!$C$2:$C$35='Abgleich Kapazität'!$A54)*('Modell Kapazität'!$D$1:$AZ$1='Abgleich Kapazität'!M$38)*'Modell Kapazität'!$D$2:$AZ$35))/1000</f>
        <v>0</v>
      </c>
      <c r="N54" s="26">
        <f>(SUMPRODUCT(('Modell Kapazität'!$C$2:$C$35='Abgleich Kapazität'!$A54)*('Modell Kapazität'!$D$1:$AZ$1='Abgleich Kapazität'!N$40)*'Modell Kapazität'!$D$2:$AZ$35)+SUMPRODUCT(('Modell Kapazität'!$C$2:$C$35='Abgleich Kapazität'!$A54)*('Modell Kapazität'!$D$1:$AZ$1='Abgleich Kapazität'!N$39)*'Modell Kapazität'!$D$2:$AZ$35)+SUMPRODUCT(('Modell Kapazität'!$C$2:$C$35='Abgleich Kapazität'!$A54)*('Modell Kapazität'!$D$1:$AZ$1='Abgleich Kapazität'!N$38)*'Modell Kapazität'!$D$2:$AZ$35))/1000</f>
        <v>0</v>
      </c>
      <c r="O54" s="26">
        <f>(SUMPRODUCT(('Modell Kapazität'!$C$2:$C$35='Abgleich Kapazität'!$A54)*('Modell Kapazität'!$D$1:$AZ$1='Abgleich Kapazität'!O$40)*'Modell Kapazität'!$D$2:$AZ$35)+SUMPRODUCT(('Modell Kapazität'!$C$2:$C$35='Abgleich Kapazität'!$A54)*('Modell Kapazität'!$D$1:$AZ$1='Abgleich Kapazität'!O$39)*'Modell Kapazität'!$D$2:$AZ$35)+SUMPRODUCT(('Modell Kapazität'!$C$2:$C$35='Abgleich Kapazität'!$A54)*('Modell Kapazität'!$D$1:$AZ$1='Abgleich Kapazität'!O$38)*'Modell Kapazität'!$D$2:$AZ$35))/1000</f>
        <v>12.109</v>
      </c>
      <c r="P54" s="26">
        <f>(SUMPRODUCT(('Modell Kapazität'!$C$2:$C$35='Abgleich Kapazität'!$A54)*('Modell Kapazität'!$D$1:$AZ$1='Abgleich Kapazität'!P$40)*'Modell Kapazität'!$D$2:$AZ$35)+SUMPRODUCT(('Modell Kapazität'!$C$2:$C$35='Abgleich Kapazität'!$A54)*('Modell Kapazität'!$D$1:$AZ$1='Abgleich Kapazität'!P$39)*'Modell Kapazität'!$D$2:$AZ$35)+SUMPRODUCT(('Modell Kapazität'!$C$2:$C$35='Abgleich Kapazität'!$A54)*('Modell Kapazität'!$D$1:$AZ$1='Abgleich Kapazität'!P$38)*'Modell Kapazität'!$D$2:$AZ$35))/1000</f>
        <v>8.0239999999999991</v>
      </c>
      <c r="Q54" s="26">
        <f>(SUMPRODUCT(('Modell Kapazität'!$C$2:$C$35='Abgleich Kapazität'!$A54)*('Modell Kapazität'!$D$1:$AZ$1='Abgleich Kapazität'!Q$40)*'Modell Kapazität'!$D$2:$AZ$35)+SUMPRODUCT(('Modell Kapazität'!$C$2:$C$35='Abgleich Kapazität'!$A54)*('Modell Kapazität'!$D$1:$AZ$1='Abgleich Kapazität'!Q$39)*'Modell Kapazität'!$D$2:$AZ$35)+SUMPRODUCT(('Modell Kapazität'!$C$2:$C$35='Abgleich Kapazität'!$A54)*('Modell Kapazität'!$D$1:$AZ$1='Abgleich Kapazität'!Q$38)*'Modell Kapazität'!$D$2:$AZ$35))/1000</f>
        <v>0</v>
      </c>
      <c r="R54" s="26">
        <f>(SUMPRODUCT(('Modell Kapazität'!$C$2:$C$35='Abgleich Kapazität'!$A54)*('Modell Kapazität'!$D$1:$AZ$1='Abgleich Kapazität'!R$40)*'Modell Kapazität'!$D$2:$AZ$35)+SUMPRODUCT(('Modell Kapazität'!$C$2:$C$35='Abgleich Kapazität'!$A54)*('Modell Kapazität'!$D$1:$AZ$1='Abgleich Kapazität'!R$39)*'Modell Kapazität'!$D$2:$AZ$35)+SUMPRODUCT(('Modell Kapazität'!$C$2:$C$35='Abgleich Kapazität'!$A54)*('Modell Kapazität'!$D$1:$AZ$1='Abgleich Kapazität'!R$38)*'Modell Kapazität'!$D$2:$AZ$35))/1000</f>
        <v>1.873</v>
      </c>
      <c r="S54" s="26">
        <f>(SUMPRODUCT(('Modell Kapazität'!$C$2:$C$35='Abgleich Kapazität'!$A54)*('Modell Kapazität'!$D$1:$AZ$1='Abgleich Kapazität'!S$40)*'Modell Kapazität'!$D$2:$AZ$35)+SUMPRODUCT(('Modell Kapazität'!$C$2:$C$35='Abgleich Kapazität'!$A54)*('Modell Kapazität'!$D$1:$AZ$1='Abgleich Kapazität'!S$39)*'Modell Kapazität'!$D$2:$AZ$35)+SUMPRODUCT(('Modell Kapazität'!$C$2:$C$35='Abgleich Kapazität'!$A54)*('Modell Kapazität'!$D$1:$AZ$1='Abgleich Kapazität'!S$38)*'Modell Kapazität'!$D$2:$AZ$35))/1000</f>
        <v>0</v>
      </c>
      <c r="T54" s="26">
        <f>(SUMPRODUCT(('Modell Kapazität'!$C$2:$C$35='Abgleich Kapazität'!$A54)*('Modell Kapazität'!$D$1:$AZ$1='Abgleich Kapazität'!T$40)*'Modell Kapazität'!$D$2:$AZ$35)+SUMPRODUCT(('Modell Kapazität'!$C$2:$C$35='Abgleich Kapazität'!$A54)*('Modell Kapazität'!$D$1:$AZ$1='Abgleich Kapazität'!T$39)*'Modell Kapazität'!$D$2:$AZ$35)+SUMPRODUCT(('Modell Kapazität'!$C$2:$C$35='Abgleich Kapazität'!$A54)*('Modell Kapazität'!$D$1:$AZ$1='Abgleich Kapazität'!T$38)*'Modell Kapazität'!$D$2:$AZ$35))/1000</f>
        <v>0</v>
      </c>
      <c r="U54" s="26">
        <f>(SUMPRODUCT(('Modell Kapazität'!$C$2:$C$35='Abgleich Kapazität'!$A54)*('Modell Kapazität'!$D$1:$AZ$1='Abgleich Kapazität'!U$40)*'Modell Kapazität'!$D$2:$AZ$35)+SUMPRODUCT(('Modell Kapazität'!$C$2:$C$35='Abgleich Kapazität'!$A54)*('Modell Kapazität'!$D$1:$AZ$1='Abgleich Kapazität'!U$39)*'Modell Kapazität'!$D$2:$AZ$35)+SUMPRODUCT(('Modell Kapazität'!$C$2:$C$35='Abgleich Kapazität'!$A54)*('Modell Kapazität'!$D$1:$AZ$1='Abgleich Kapazität'!U$38)*'Modell Kapazität'!$D$2:$AZ$35))/1000</f>
        <v>0</v>
      </c>
      <c r="V54" s="27">
        <f t="shared" si="76"/>
        <v>125.941</v>
      </c>
    </row>
    <row r="55" spans="1:22" x14ac:dyDescent="0.25">
      <c r="A55" s="14" t="s">
        <v>22</v>
      </c>
      <c r="B55" s="57">
        <f t="shared" si="73"/>
        <v>71.547838799999994</v>
      </c>
      <c r="C55" s="58">
        <f>(SUMPRODUCT(('Modell Kapazität'!$C$2:$C$35='Abgleich Kapazität'!$A55)*('Modell Kapazität'!$D$1:$AZ$1='Abgleich Kapazität'!C$40)*'Modell Kapazität'!$D$2:$AZ$35)+SUMPRODUCT(('Modell Kapazität'!$C$2:$C$35='Abgleich Kapazität'!$A55)*('Modell Kapazität'!$D$1:$AZ$1='Abgleich Kapazität'!C$39)*'Modell Kapazität'!$D$2:$AZ$35)+SUMPRODUCT(('Modell Kapazität'!$C$2:$C$35='Abgleich Kapazität'!$A55)*('Modell Kapazität'!$D$1:$AZ$1='Abgleich Kapazität'!C$38)*'Modell Kapazität'!$D$2:$AZ$35))/1000</f>
        <v>8.8829999999999991</v>
      </c>
      <c r="D55" s="58">
        <f t="shared" si="74"/>
        <v>62.664838799999998</v>
      </c>
      <c r="E55" s="58">
        <f>(SUMPRODUCT(('Modell Kapazität'!$C$2:$C$35='Abgleich Kapazität'!$A55)*('Modell Kapazität'!$D$1:$AZ$1='Abgleich Kapazität'!E$40)*'Modell Kapazität'!$D$2:$AZ$35)+SUMPRODUCT(('Modell Kapazität'!$C$2:$C$35='Abgleich Kapazität'!$A55)*('Modell Kapazität'!$D$1:$AZ$1='Abgleich Kapazität'!E$39)*'Modell Kapazität'!$D$2:$AZ$35)+SUMPRODUCT(('Modell Kapazität'!$C$2:$C$35='Abgleich Kapazität'!$A55)*('Modell Kapazität'!$D$1:$AZ$1='Abgleich Kapazität'!E$38)*'Modell Kapazität'!$D$2:$AZ$35))/1000</f>
        <v>0</v>
      </c>
      <c r="F55" s="58">
        <f>(SUMPRODUCT(('Modell Kapazität'!$C$2:$C$35='Abgleich Kapazität'!$A55)*('Modell Kapazität'!$D$1:$AZ$1='Abgleich Kapazität'!F$40)*'Modell Kapazität'!$D$2:$AZ$35)+SUMPRODUCT(('Modell Kapazität'!$C$2:$C$35='Abgleich Kapazität'!$A55)*('Modell Kapazität'!$D$1:$AZ$1='Abgleich Kapazität'!F$39)*'Modell Kapazität'!$D$2:$AZ$35)+SUMPRODUCT(('Modell Kapazität'!$C$2:$C$35='Abgleich Kapazität'!$A55)*('Modell Kapazität'!$D$1:$AZ$1='Abgleich Kapazität'!F$38)*'Modell Kapazität'!$D$2:$AZ$35))/1000</f>
        <v>45.982373799999998</v>
      </c>
      <c r="G55" s="58">
        <f>(SUMPRODUCT(('Modell Kapazität'!$C$2:$C$35='Abgleich Kapazität'!$A55)*('Modell Kapazität'!$D$1:$AZ$1='Abgleich Kapazität'!G$40)*'Modell Kapazität'!$D$2:$AZ$35)+SUMPRODUCT(('Modell Kapazität'!$C$2:$C$35='Abgleich Kapazität'!$A55)*('Modell Kapazität'!$D$1:$AZ$1='Abgleich Kapazität'!G$39)*'Modell Kapazität'!$D$2:$AZ$35)+SUMPRODUCT(('Modell Kapazität'!$C$2:$C$35='Abgleich Kapazität'!$A55)*('Modell Kapazität'!$D$1:$AZ$1='Abgleich Kapazität'!G$38)*'Modell Kapazität'!$D$2:$AZ$35))/1000</f>
        <v>15.770754999999999</v>
      </c>
      <c r="H55" s="58">
        <f>(SUMPRODUCT(('Modell Kapazität'!$C$2:$C$35='Abgleich Kapazität'!$A55)*('Modell Kapazität'!$D$1:$AZ$1='Abgleich Kapazität'!H$40)*'Modell Kapazität'!$D$2:$AZ$35)+SUMPRODUCT(('Modell Kapazität'!$C$2:$C$35='Abgleich Kapazität'!$A55)*('Modell Kapazität'!$D$1:$AZ$1='Abgleich Kapazität'!H$39)*'Modell Kapazität'!$D$2:$AZ$35)+SUMPRODUCT(('Modell Kapazität'!$C$2:$C$35='Abgleich Kapazität'!$A55)*('Modell Kapazität'!$D$1:$AZ$1='Abgleich Kapazität'!H$38)*'Modell Kapazität'!$D$2:$AZ$35))/1000</f>
        <v>0</v>
      </c>
      <c r="I55" s="58">
        <f>(SUMPRODUCT(('Modell Kapazität'!$C$2:$C$35='Abgleich Kapazität'!$A55)*('Modell Kapazität'!$D$1:$AZ$1='Abgleich Kapazität'!I$40)*'Modell Kapazität'!$D$2:$AZ$35)+SUMPRODUCT(('Modell Kapazität'!$C$2:$C$35='Abgleich Kapazität'!$A55)*('Modell Kapazität'!$D$1:$AZ$1='Abgleich Kapazität'!I$39)*'Modell Kapazität'!$D$2:$AZ$35)+SUMPRODUCT(('Modell Kapazität'!$C$2:$C$35='Abgleich Kapazität'!$A55)*('Modell Kapazität'!$D$1:$AZ$1='Abgleich Kapazität'!I$38)*'Modell Kapazität'!$D$2:$AZ$35))/1000</f>
        <v>0</v>
      </c>
      <c r="J55" s="58">
        <f>(SUMPRODUCT(('Modell Kapazität'!$C$2:$C$35='Abgleich Kapazität'!$A55)*('Modell Kapazität'!$D$1:$AZ$1='Abgleich Kapazität'!J$40)*'Modell Kapazität'!$D$2:$AZ$35)+SUMPRODUCT(('Modell Kapazität'!$C$2:$C$35='Abgleich Kapazität'!$A55)*('Modell Kapazität'!$D$1:$AZ$1='Abgleich Kapazität'!J$39)*'Modell Kapazität'!$D$2:$AZ$35)+SUMPRODUCT(('Modell Kapazität'!$C$2:$C$35='Abgleich Kapazität'!$A55)*('Modell Kapazität'!$D$1:$AZ$1='Abgleich Kapazität'!J$38)*'Modell Kapazität'!$D$2:$AZ$35))/1000</f>
        <v>0.91171000000000002</v>
      </c>
      <c r="K55" s="59">
        <f t="shared" si="75"/>
        <v>38.453676300000005</v>
      </c>
      <c r="L55" s="58">
        <f>(SUMPRODUCT(('Modell Kapazität'!$C$2:$C$35='Abgleich Kapazität'!$A55)*('Modell Kapazität'!$D$1:$AZ$1='Abgleich Kapazität'!L$40)*'Modell Kapazität'!$D$2:$AZ$35)+SUMPRODUCT(('Modell Kapazität'!$C$2:$C$35='Abgleich Kapazität'!$A55)*('Modell Kapazität'!$D$1:$AZ$1='Abgleich Kapazität'!L$39)*'Modell Kapazität'!$D$2:$AZ$35)+SUMPRODUCT(('Modell Kapazität'!$C$2:$C$35='Abgleich Kapazität'!$A55)*('Modell Kapazität'!$D$1:$AZ$1='Abgleich Kapazität'!L$38)*'Modell Kapazität'!$D$2:$AZ$35))/1000</f>
        <v>4.5583971000000005</v>
      </c>
      <c r="M55" s="58">
        <f>(SUMPRODUCT(('Modell Kapazität'!$C$2:$C$35='Abgleich Kapazität'!$A55)*('Modell Kapazität'!$D$1:$AZ$1='Abgleich Kapazität'!M$40)*'Modell Kapazität'!$D$2:$AZ$35)+SUMPRODUCT(('Modell Kapazität'!$C$2:$C$35='Abgleich Kapazität'!$A55)*('Modell Kapazität'!$D$1:$AZ$1='Abgleich Kapazität'!M$39)*'Modell Kapazität'!$D$2:$AZ$35)+SUMPRODUCT(('Modell Kapazität'!$C$2:$C$35='Abgleich Kapazität'!$A55)*('Modell Kapazität'!$D$1:$AZ$1='Abgleich Kapazität'!M$38)*'Modell Kapazität'!$D$2:$AZ$35))/1000</f>
        <v>0</v>
      </c>
      <c r="N55" s="58">
        <f>(SUMPRODUCT(('Modell Kapazität'!$C$2:$C$35='Abgleich Kapazität'!$A55)*('Modell Kapazität'!$D$1:$AZ$1='Abgleich Kapazität'!N$40)*'Modell Kapazität'!$D$2:$AZ$35)+SUMPRODUCT(('Modell Kapazität'!$C$2:$C$35='Abgleich Kapazität'!$A55)*('Modell Kapazität'!$D$1:$AZ$1='Abgleich Kapazität'!N$39)*'Modell Kapazität'!$D$2:$AZ$35)+SUMPRODUCT(('Modell Kapazität'!$C$2:$C$35='Abgleich Kapazität'!$A55)*('Modell Kapazität'!$D$1:$AZ$1='Abgleich Kapazität'!N$38)*'Modell Kapazität'!$D$2:$AZ$35))/1000</f>
        <v>5.7317999999999998</v>
      </c>
      <c r="O55" s="58">
        <f>(SUMPRODUCT(('Modell Kapazität'!$C$2:$C$35='Abgleich Kapazität'!$A55)*('Modell Kapazität'!$D$1:$AZ$1='Abgleich Kapazität'!O$40)*'Modell Kapazität'!$D$2:$AZ$35)+SUMPRODUCT(('Modell Kapazität'!$C$2:$C$35='Abgleich Kapazität'!$A55)*('Modell Kapazität'!$D$1:$AZ$1='Abgleich Kapazität'!O$39)*'Modell Kapazität'!$D$2:$AZ$35)+SUMPRODUCT(('Modell Kapazität'!$C$2:$C$35='Abgleich Kapazität'!$A55)*('Modell Kapazität'!$D$1:$AZ$1='Abgleich Kapazität'!O$38)*'Modell Kapazität'!$D$2:$AZ$35))/1000</f>
        <v>11.4127317</v>
      </c>
      <c r="P55" s="58">
        <f>(SUMPRODUCT(('Modell Kapazität'!$C$2:$C$35='Abgleich Kapazität'!$A55)*('Modell Kapazität'!$D$1:$AZ$1='Abgleich Kapazität'!P$40)*'Modell Kapazität'!$D$2:$AZ$35)+SUMPRODUCT(('Modell Kapazität'!$C$2:$C$35='Abgleich Kapazität'!$A55)*('Modell Kapazität'!$D$1:$AZ$1='Abgleich Kapazität'!P$39)*'Modell Kapazität'!$D$2:$AZ$35)+SUMPRODUCT(('Modell Kapazität'!$C$2:$C$35='Abgleich Kapazität'!$A55)*('Modell Kapazität'!$D$1:$AZ$1='Abgleich Kapazität'!P$38)*'Modell Kapazität'!$D$2:$AZ$35))/1000</f>
        <v>12.263747499999999</v>
      </c>
      <c r="Q55" s="58">
        <f>(SUMPRODUCT(('Modell Kapazität'!$C$2:$C$35='Abgleich Kapazität'!$A55)*('Modell Kapazität'!$D$1:$AZ$1='Abgleich Kapazität'!Q$40)*'Modell Kapazität'!$D$2:$AZ$35)+SUMPRODUCT(('Modell Kapazität'!$C$2:$C$35='Abgleich Kapazität'!$A55)*('Modell Kapazität'!$D$1:$AZ$1='Abgleich Kapazität'!Q$39)*'Modell Kapazität'!$D$2:$AZ$35)+SUMPRODUCT(('Modell Kapazität'!$C$2:$C$35='Abgleich Kapazität'!$A55)*('Modell Kapazität'!$D$1:$AZ$1='Abgleich Kapazität'!Q$38)*'Modell Kapazität'!$D$2:$AZ$35))/1000</f>
        <v>0</v>
      </c>
      <c r="R55" s="58">
        <f>(SUMPRODUCT(('Modell Kapazität'!$C$2:$C$35='Abgleich Kapazität'!$A55)*('Modell Kapazität'!$D$1:$AZ$1='Abgleich Kapazität'!R$40)*'Modell Kapazität'!$D$2:$AZ$35)+SUMPRODUCT(('Modell Kapazität'!$C$2:$C$35='Abgleich Kapazität'!$A55)*('Modell Kapazität'!$D$1:$AZ$1='Abgleich Kapazität'!R$39)*'Modell Kapazität'!$D$2:$AZ$35)+SUMPRODUCT(('Modell Kapazität'!$C$2:$C$35='Abgleich Kapazität'!$A55)*('Modell Kapazität'!$D$1:$AZ$1='Abgleich Kapazität'!R$38)*'Modell Kapazität'!$D$2:$AZ$35))/1000</f>
        <v>4.4870000000000001</v>
      </c>
      <c r="S55" s="58">
        <f>(SUMPRODUCT(('Modell Kapazität'!$C$2:$C$35='Abgleich Kapazität'!$A55)*('Modell Kapazität'!$D$1:$AZ$1='Abgleich Kapazität'!S$40)*'Modell Kapazität'!$D$2:$AZ$35)+SUMPRODUCT(('Modell Kapazität'!$C$2:$C$35='Abgleich Kapazität'!$A55)*('Modell Kapazität'!$D$1:$AZ$1='Abgleich Kapazität'!S$39)*'Modell Kapazität'!$D$2:$AZ$35)+SUMPRODUCT(('Modell Kapazität'!$C$2:$C$35='Abgleich Kapazität'!$A55)*('Modell Kapazität'!$D$1:$AZ$1='Abgleich Kapazität'!S$38)*'Modell Kapazität'!$D$2:$AZ$35))/1000</f>
        <v>0</v>
      </c>
      <c r="T55" s="58">
        <f>(SUMPRODUCT(('Modell Kapazität'!$C$2:$C$35='Abgleich Kapazität'!$A55)*('Modell Kapazität'!$D$1:$AZ$1='Abgleich Kapazität'!T$40)*'Modell Kapazität'!$D$2:$AZ$35)+SUMPRODUCT(('Modell Kapazität'!$C$2:$C$35='Abgleich Kapazität'!$A55)*('Modell Kapazität'!$D$1:$AZ$1='Abgleich Kapazität'!T$39)*'Modell Kapazität'!$D$2:$AZ$35)+SUMPRODUCT(('Modell Kapazität'!$C$2:$C$35='Abgleich Kapazität'!$A55)*('Modell Kapazität'!$D$1:$AZ$1='Abgleich Kapazität'!T$38)*'Modell Kapazität'!$D$2:$AZ$35))/1000</f>
        <v>0</v>
      </c>
      <c r="U55" s="58">
        <f>(SUMPRODUCT(('Modell Kapazität'!$C$2:$C$35='Abgleich Kapazität'!$A55)*('Modell Kapazität'!$D$1:$AZ$1='Abgleich Kapazität'!U$40)*'Modell Kapazität'!$D$2:$AZ$35)+SUMPRODUCT(('Modell Kapazität'!$C$2:$C$35='Abgleich Kapazität'!$A55)*('Modell Kapazität'!$D$1:$AZ$1='Abgleich Kapazität'!U$39)*'Modell Kapazität'!$D$2:$AZ$35)+SUMPRODUCT(('Modell Kapazität'!$C$2:$C$35='Abgleich Kapazität'!$A55)*('Modell Kapazität'!$D$1:$AZ$1='Abgleich Kapazität'!U$38)*'Modell Kapazität'!$D$2:$AZ$35))/1000</f>
        <v>0</v>
      </c>
      <c r="V55" s="59">
        <f t="shared" si="76"/>
        <v>110.00151510000001</v>
      </c>
    </row>
    <row r="56" spans="1:22" x14ac:dyDescent="0.25">
      <c r="A56" s="14" t="s">
        <v>23</v>
      </c>
      <c r="B56" s="25">
        <f t="shared" si="73"/>
        <v>11.275593299999999</v>
      </c>
      <c r="C56" s="26">
        <f>(SUMPRODUCT(('Modell Kapazität'!$C$2:$C$35='Abgleich Kapazität'!$A56)*('Modell Kapazität'!$D$1:$AZ$1='Abgleich Kapazität'!C$40)*'Modell Kapazität'!$D$2:$AZ$35)+SUMPRODUCT(('Modell Kapazität'!$C$2:$C$35='Abgleich Kapazität'!$A56)*('Modell Kapazität'!$D$1:$AZ$1='Abgleich Kapazität'!C$39)*'Modell Kapazität'!$D$2:$AZ$35)+SUMPRODUCT(('Modell Kapazität'!$C$2:$C$35='Abgleich Kapazität'!$A56)*('Modell Kapazität'!$D$1:$AZ$1='Abgleich Kapazität'!C$38)*'Modell Kapazität'!$D$2:$AZ$35))/1000</f>
        <v>0</v>
      </c>
      <c r="D56" s="26">
        <f t="shared" si="74"/>
        <v>11.275593299999999</v>
      </c>
      <c r="E56" s="26">
        <f>(SUMPRODUCT(('Modell Kapazität'!$C$2:$C$35='Abgleich Kapazität'!$A56)*('Modell Kapazität'!$D$1:$AZ$1='Abgleich Kapazität'!E$40)*'Modell Kapazität'!$D$2:$AZ$35)+SUMPRODUCT(('Modell Kapazität'!$C$2:$C$35='Abgleich Kapazität'!$A56)*('Modell Kapazität'!$D$1:$AZ$1='Abgleich Kapazität'!E$39)*'Modell Kapazität'!$D$2:$AZ$35)+SUMPRODUCT(('Modell Kapazität'!$C$2:$C$35='Abgleich Kapazität'!$A56)*('Modell Kapazität'!$D$1:$AZ$1='Abgleich Kapazität'!E$38)*'Modell Kapazität'!$D$2:$AZ$35))/1000</f>
        <v>4.6326749999999999</v>
      </c>
      <c r="F56" s="26">
        <f>(SUMPRODUCT(('Modell Kapazität'!$C$2:$C$35='Abgleich Kapazität'!$A56)*('Modell Kapazität'!$D$1:$AZ$1='Abgleich Kapazität'!F$40)*'Modell Kapazität'!$D$2:$AZ$35)+SUMPRODUCT(('Modell Kapazität'!$C$2:$C$35='Abgleich Kapazität'!$A56)*('Modell Kapazität'!$D$1:$AZ$1='Abgleich Kapazität'!F$39)*'Modell Kapazität'!$D$2:$AZ$35)+SUMPRODUCT(('Modell Kapazität'!$C$2:$C$35='Abgleich Kapazität'!$A56)*('Modell Kapazität'!$D$1:$AZ$1='Abgleich Kapazität'!F$38)*'Modell Kapazität'!$D$2:$AZ$35))/1000</f>
        <v>5.1441394000000003</v>
      </c>
      <c r="G56" s="26">
        <f>(SUMPRODUCT(('Modell Kapazität'!$C$2:$C$35='Abgleich Kapazität'!$A56)*('Modell Kapazität'!$D$1:$AZ$1='Abgleich Kapazität'!G$40)*'Modell Kapazität'!$D$2:$AZ$35)+SUMPRODUCT(('Modell Kapazität'!$C$2:$C$35='Abgleich Kapazität'!$A56)*('Modell Kapazität'!$D$1:$AZ$1='Abgleich Kapazität'!G$39)*'Modell Kapazität'!$D$2:$AZ$35)+SUMPRODUCT(('Modell Kapazität'!$C$2:$C$35='Abgleich Kapazität'!$A56)*('Modell Kapazität'!$D$1:$AZ$1='Abgleich Kapazität'!G$38)*'Modell Kapazität'!$D$2:$AZ$35))/1000</f>
        <v>0</v>
      </c>
      <c r="H56" s="26">
        <f>(SUMPRODUCT(('Modell Kapazität'!$C$2:$C$35='Abgleich Kapazität'!$A56)*('Modell Kapazität'!$D$1:$AZ$1='Abgleich Kapazität'!H$40)*'Modell Kapazität'!$D$2:$AZ$35)+SUMPRODUCT(('Modell Kapazität'!$C$2:$C$35='Abgleich Kapazität'!$A56)*('Modell Kapazität'!$D$1:$AZ$1='Abgleich Kapazität'!H$39)*'Modell Kapazität'!$D$2:$AZ$35)+SUMPRODUCT(('Modell Kapazität'!$C$2:$C$35='Abgleich Kapazität'!$A56)*('Modell Kapazität'!$D$1:$AZ$1='Abgleich Kapazität'!H$38)*'Modell Kapazität'!$D$2:$AZ$35))/1000</f>
        <v>0</v>
      </c>
      <c r="I56" s="26">
        <f>(SUMPRODUCT(('Modell Kapazität'!$C$2:$C$35='Abgleich Kapazität'!$A56)*('Modell Kapazität'!$D$1:$AZ$1='Abgleich Kapazität'!I$40)*'Modell Kapazität'!$D$2:$AZ$35)+SUMPRODUCT(('Modell Kapazität'!$C$2:$C$35='Abgleich Kapazität'!$A56)*('Modell Kapazität'!$D$1:$AZ$1='Abgleich Kapazität'!I$39)*'Modell Kapazität'!$D$2:$AZ$35)+SUMPRODUCT(('Modell Kapazität'!$C$2:$C$35='Abgleich Kapazität'!$A56)*('Modell Kapazität'!$D$1:$AZ$1='Abgleich Kapazität'!I$38)*'Modell Kapazität'!$D$2:$AZ$35))/1000</f>
        <v>0</v>
      </c>
      <c r="J56" s="26">
        <f>(SUMPRODUCT(('Modell Kapazität'!$C$2:$C$35='Abgleich Kapazität'!$A56)*('Modell Kapazität'!$D$1:$AZ$1='Abgleich Kapazität'!J$40)*'Modell Kapazität'!$D$2:$AZ$35)+SUMPRODUCT(('Modell Kapazität'!$C$2:$C$35='Abgleich Kapazität'!$A56)*('Modell Kapazität'!$D$1:$AZ$1='Abgleich Kapazität'!J$39)*'Modell Kapazität'!$D$2:$AZ$35)+SUMPRODUCT(('Modell Kapazität'!$C$2:$C$35='Abgleich Kapazität'!$A56)*('Modell Kapazität'!$D$1:$AZ$1='Abgleich Kapazität'!J$38)*'Modell Kapazität'!$D$2:$AZ$35))/1000</f>
        <v>1.4987789</v>
      </c>
      <c r="K56" s="27">
        <f t="shared" si="75"/>
        <v>11.6038114</v>
      </c>
      <c r="L56" s="26">
        <f>(SUMPRODUCT(('Modell Kapazität'!$C$2:$C$35='Abgleich Kapazität'!$A56)*('Modell Kapazität'!$D$1:$AZ$1='Abgleich Kapazität'!L$40)*'Modell Kapazität'!$D$2:$AZ$35)+SUMPRODUCT(('Modell Kapazität'!$C$2:$C$35='Abgleich Kapazität'!$A56)*('Modell Kapazität'!$D$1:$AZ$1='Abgleich Kapazität'!L$39)*'Modell Kapazität'!$D$2:$AZ$35)+SUMPRODUCT(('Modell Kapazität'!$C$2:$C$35='Abgleich Kapazität'!$A56)*('Modell Kapazität'!$D$1:$AZ$1='Abgleich Kapazität'!L$38)*'Modell Kapazität'!$D$2:$AZ$35))/1000</f>
        <v>3.1768114000000001</v>
      </c>
      <c r="M56" s="26">
        <f>(SUMPRODUCT(('Modell Kapazität'!$C$2:$C$35='Abgleich Kapazität'!$A56)*('Modell Kapazität'!$D$1:$AZ$1='Abgleich Kapazität'!M$40)*'Modell Kapazität'!$D$2:$AZ$35)+SUMPRODUCT(('Modell Kapazität'!$C$2:$C$35='Abgleich Kapazität'!$A56)*('Modell Kapazität'!$D$1:$AZ$1='Abgleich Kapazität'!M$39)*'Modell Kapazität'!$D$2:$AZ$35)+SUMPRODUCT(('Modell Kapazität'!$C$2:$C$35='Abgleich Kapazität'!$A56)*('Modell Kapazität'!$D$1:$AZ$1='Abgleich Kapazität'!M$38)*'Modell Kapazität'!$D$2:$AZ$35))/1000</f>
        <v>0</v>
      </c>
      <c r="N56" s="26">
        <f>(SUMPRODUCT(('Modell Kapazität'!$C$2:$C$35='Abgleich Kapazität'!$A56)*('Modell Kapazität'!$D$1:$AZ$1='Abgleich Kapazität'!N$40)*'Modell Kapazität'!$D$2:$AZ$35)+SUMPRODUCT(('Modell Kapazität'!$C$2:$C$35='Abgleich Kapazität'!$A56)*('Modell Kapazität'!$D$1:$AZ$1='Abgleich Kapazität'!N$39)*'Modell Kapazität'!$D$2:$AZ$35)+SUMPRODUCT(('Modell Kapazität'!$C$2:$C$35='Abgleich Kapazität'!$A56)*('Modell Kapazität'!$D$1:$AZ$1='Abgleich Kapazität'!N$38)*'Modell Kapazität'!$D$2:$AZ$35))/1000</f>
        <v>0.1</v>
      </c>
      <c r="O56" s="26">
        <f>(SUMPRODUCT(('Modell Kapazität'!$C$2:$C$35='Abgleich Kapazität'!$A56)*('Modell Kapazität'!$D$1:$AZ$1='Abgleich Kapazität'!O$40)*'Modell Kapazität'!$D$2:$AZ$35)+SUMPRODUCT(('Modell Kapazität'!$C$2:$C$35='Abgleich Kapazität'!$A56)*('Modell Kapazität'!$D$1:$AZ$1='Abgleich Kapazität'!O$39)*'Modell Kapazität'!$D$2:$AZ$35)+SUMPRODUCT(('Modell Kapazität'!$C$2:$C$35='Abgleich Kapazität'!$A56)*('Modell Kapazität'!$D$1:$AZ$1='Abgleich Kapazität'!O$38)*'Modell Kapazität'!$D$2:$AZ$35))/1000</f>
        <v>5.43</v>
      </c>
      <c r="P56" s="26">
        <f>(SUMPRODUCT(('Modell Kapazität'!$C$2:$C$35='Abgleich Kapazität'!$A56)*('Modell Kapazität'!$D$1:$AZ$1='Abgleich Kapazität'!P$40)*'Modell Kapazität'!$D$2:$AZ$35)+SUMPRODUCT(('Modell Kapazität'!$C$2:$C$35='Abgleich Kapazität'!$A56)*('Modell Kapazität'!$D$1:$AZ$1='Abgleich Kapazität'!P$39)*'Modell Kapazität'!$D$2:$AZ$35)+SUMPRODUCT(('Modell Kapazität'!$C$2:$C$35='Abgleich Kapazität'!$A56)*('Modell Kapazität'!$D$1:$AZ$1='Abgleich Kapazität'!P$38)*'Modell Kapazität'!$D$2:$AZ$35))/1000</f>
        <v>2.7170000000000001</v>
      </c>
      <c r="Q56" s="26">
        <f>(SUMPRODUCT(('Modell Kapazität'!$C$2:$C$35='Abgleich Kapazität'!$A56)*('Modell Kapazität'!$D$1:$AZ$1='Abgleich Kapazität'!Q$40)*'Modell Kapazität'!$D$2:$AZ$35)+SUMPRODUCT(('Modell Kapazität'!$C$2:$C$35='Abgleich Kapazität'!$A56)*('Modell Kapazität'!$D$1:$AZ$1='Abgleich Kapazität'!Q$39)*'Modell Kapazität'!$D$2:$AZ$35)+SUMPRODUCT(('Modell Kapazität'!$C$2:$C$35='Abgleich Kapazität'!$A56)*('Modell Kapazität'!$D$1:$AZ$1='Abgleich Kapazität'!Q$38)*'Modell Kapazität'!$D$2:$AZ$35))/1000</f>
        <v>0</v>
      </c>
      <c r="R56" s="26">
        <f>(SUMPRODUCT(('Modell Kapazität'!$C$2:$C$35='Abgleich Kapazität'!$A56)*('Modell Kapazität'!$D$1:$AZ$1='Abgleich Kapazität'!R$40)*'Modell Kapazität'!$D$2:$AZ$35)+SUMPRODUCT(('Modell Kapazität'!$C$2:$C$35='Abgleich Kapazität'!$A56)*('Modell Kapazität'!$D$1:$AZ$1='Abgleich Kapazität'!R$39)*'Modell Kapazität'!$D$2:$AZ$35)+SUMPRODUCT(('Modell Kapazität'!$C$2:$C$35='Abgleich Kapazität'!$A56)*('Modell Kapazität'!$D$1:$AZ$1='Abgleich Kapazität'!R$38)*'Modell Kapazität'!$D$2:$AZ$35))/1000</f>
        <v>0.18</v>
      </c>
      <c r="S56" s="26">
        <f>(SUMPRODUCT(('Modell Kapazität'!$C$2:$C$35='Abgleich Kapazität'!$A56)*('Modell Kapazität'!$D$1:$AZ$1='Abgleich Kapazität'!S$40)*'Modell Kapazität'!$D$2:$AZ$35)+SUMPRODUCT(('Modell Kapazität'!$C$2:$C$35='Abgleich Kapazität'!$A56)*('Modell Kapazität'!$D$1:$AZ$1='Abgleich Kapazität'!S$39)*'Modell Kapazität'!$D$2:$AZ$35)+SUMPRODUCT(('Modell Kapazität'!$C$2:$C$35='Abgleich Kapazität'!$A56)*('Modell Kapazität'!$D$1:$AZ$1='Abgleich Kapazität'!S$38)*'Modell Kapazität'!$D$2:$AZ$35))/1000</f>
        <v>0</v>
      </c>
      <c r="T56" s="26">
        <f>(SUMPRODUCT(('Modell Kapazität'!$C$2:$C$35='Abgleich Kapazität'!$A56)*('Modell Kapazität'!$D$1:$AZ$1='Abgleich Kapazität'!T$40)*'Modell Kapazität'!$D$2:$AZ$35)+SUMPRODUCT(('Modell Kapazität'!$C$2:$C$35='Abgleich Kapazität'!$A56)*('Modell Kapazität'!$D$1:$AZ$1='Abgleich Kapazität'!T$39)*'Modell Kapazität'!$D$2:$AZ$35)+SUMPRODUCT(('Modell Kapazität'!$C$2:$C$35='Abgleich Kapazität'!$A56)*('Modell Kapazität'!$D$1:$AZ$1='Abgleich Kapazität'!T$38)*'Modell Kapazität'!$D$2:$AZ$35))/1000</f>
        <v>0</v>
      </c>
      <c r="U56" s="26">
        <f>(SUMPRODUCT(('Modell Kapazität'!$C$2:$C$35='Abgleich Kapazität'!$A56)*('Modell Kapazität'!$D$1:$AZ$1='Abgleich Kapazität'!U$40)*'Modell Kapazität'!$D$2:$AZ$35)+SUMPRODUCT(('Modell Kapazität'!$C$2:$C$35='Abgleich Kapazität'!$A56)*('Modell Kapazität'!$D$1:$AZ$1='Abgleich Kapazität'!U$39)*'Modell Kapazität'!$D$2:$AZ$35)+SUMPRODUCT(('Modell Kapazität'!$C$2:$C$35='Abgleich Kapazität'!$A56)*('Modell Kapazität'!$D$1:$AZ$1='Abgleich Kapazität'!U$38)*'Modell Kapazität'!$D$2:$AZ$35))/1000</f>
        <v>0</v>
      </c>
      <c r="V56" s="27">
        <f t="shared" si="76"/>
        <v>22.879404699999998</v>
      </c>
    </row>
    <row r="57" spans="1:22" x14ac:dyDescent="0.25">
      <c r="A57" s="14" t="s">
        <v>24</v>
      </c>
      <c r="B57" s="57">
        <f t="shared" si="73"/>
        <v>2.2719250000000004</v>
      </c>
      <c r="C57" s="58">
        <f>(SUMPRODUCT(('Modell Kapazität'!$C$2:$C$35='Abgleich Kapazität'!$A57)*('Modell Kapazität'!$D$1:$AZ$1='Abgleich Kapazität'!C$40)*'Modell Kapazität'!$D$2:$AZ$35)+SUMPRODUCT(('Modell Kapazität'!$C$2:$C$35='Abgleich Kapazität'!$A57)*('Modell Kapazität'!$D$1:$AZ$1='Abgleich Kapazität'!C$39)*'Modell Kapazität'!$D$2:$AZ$35)+SUMPRODUCT(('Modell Kapazität'!$C$2:$C$35='Abgleich Kapazität'!$A57)*('Modell Kapazität'!$D$1:$AZ$1='Abgleich Kapazität'!C$38)*'Modell Kapazität'!$D$2:$AZ$35))/1000</f>
        <v>0</v>
      </c>
      <c r="D57" s="58">
        <f t="shared" si="74"/>
        <v>2.2719250000000004</v>
      </c>
      <c r="E57" s="58">
        <f>(SUMPRODUCT(('Modell Kapazität'!$C$2:$C$35='Abgleich Kapazität'!$A57)*('Modell Kapazität'!$D$1:$AZ$1='Abgleich Kapazität'!E$40)*'Modell Kapazität'!$D$2:$AZ$35)+SUMPRODUCT(('Modell Kapazität'!$C$2:$C$35='Abgleich Kapazität'!$A57)*('Modell Kapazität'!$D$1:$AZ$1='Abgleich Kapazität'!E$39)*'Modell Kapazität'!$D$2:$AZ$35)+SUMPRODUCT(('Modell Kapazität'!$C$2:$C$35='Abgleich Kapazität'!$A57)*('Modell Kapazität'!$D$1:$AZ$1='Abgleich Kapazität'!E$38)*'Modell Kapazität'!$D$2:$AZ$35))/1000</f>
        <v>0</v>
      </c>
      <c r="F57" s="58">
        <f>(SUMPRODUCT(('Modell Kapazität'!$C$2:$C$35='Abgleich Kapazität'!$A57)*('Modell Kapazität'!$D$1:$AZ$1='Abgleich Kapazität'!F$40)*'Modell Kapazität'!$D$2:$AZ$35)+SUMPRODUCT(('Modell Kapazität'!$C$2:$C$35='Abgleich Kapazität'!$A57)*('Modell Kapazität'!$D$1:$AZ$1='Abgleich Kapazität'!F$39)*'Modell Kapazität'!$D$2:$AZ$35)+SUMPRODUCT(('Modell Kapazität'!$C$2:$C$35='Abgleich Kapazität'!$A57)*('Modell Kapazität'!$D$1:$AZ$1='Abgleich Kapazität'!F$38)*'Modell Kapazität'!$D$2:$AZ$35))/1000</f>
        <v>1.5380500000000001</v>
      </c>
      <c r="G57" s="58">
        <f>(SUMPRODUCT(('Modell Kapazität'!$C$2:$C$35='Abgleich Kapazität'!$A57)*('Modell Kapazität'!$D$1:$AZ$1='Abgleich Kapazität'!G$40)*'Modell Kapazität'!$D$2:$AZ$35)+SUMPRODUCT(('Modell Kapazität'!$C$2:$C$35='Abgleich Kapazität'!$A57)*('Modell Kapazität'!$D$1:$AZ$1='Abgleich Kapazität'!G$39)*'Modell Kapazität'!$D$2:$AZ$35)+SUMPRODUCT(('Modell Kapazität'!$C$2:$C$35='Abgleich Kapazität'!$A57)*('Modell Kapazität'!$D$1:$AZ$1='Abgleich Kapazität'!G$38)*'Modell Kapazität'!$D$2:$AZ$35))/1000</f>
        <v>0.33487499999999998</v>
      </c>
      <c r="H57" s="58">
        <f>(SUMPRODUCT(('Modell Kapazität'!$C$2:$C$35='Abgleich Kapazität'!$A57)*('Modell Kapazität'!$D$1:$AZ$1='Abgleich Kapazität'!H$40)*'Modell Kapazität'!$D$2:$AZ$35)+SUMPRODUCT(('Modell Kapazität'!$C$2:$C$35='Abgleich Kapazität'!$A57)*('Modell Kapazität'!$D$1:$AZ$1='Abgleich Kapazität'!H$39)*'Modell Kapazität'!$D$2:$AZ$35)+SUMPRODUCT(('Modell Kapazität'!$C$2:$C$35='Abgleich Kapazität'!$A57)*('Modell Kapazität'!$D$1:$AZ$1='Abgleich Kapazität'!H$38)*'Modell Kapazität'!$D$2:$AZ$35))/1000</f>
        <v>0</v>
      </c>
      <c r="I57" s="58">
        <f>(SUMPRODUCT(('Modell Kapazität'!$C$2:$C$35='Abgleich Kapazität'!$A57)*('Modell Kapazität'!$D$1:$AZ$1='Abgleich Kapazität'!I$40)*'Modell Kapazität'!$D$2:$AZ$35)+SUMPRODUCT(('Modell Kapazität'!$C$2:$C$35='Abgleich Kapazität'!$A57)*('Modell Kapazität'!$D$1:$AZ$1='Abgleich Kapazität'!I$39)*'Modell Kapazität'!$D$2:$AZ$35)+SUMPRODUCT(('Modell Kapazität'!$C$2:$C$35='Abgleich Kapazität'!$A57)*('Modell Kapazität'!$D$1:$AZ$1='Abgleich Kapazität'!I$38)*'Modell Kapazität'!$D$2:$AZ$35))/1000</f>
        <v>0</v>
      </c>
      <c r="J57" s="58">
        <f>(SUMPRODUCT(('Modell Kapazität'!$C$2:$C$35='Abgleich Kapazität'!$A57)*('Modell Kapazität'!$D$1:$AZ$1='Abgleich Kapazität'!J$40)*'Modell Kapazität'!$D$2:$AZ$35)+SUMPRODUCT(('Modell Kapazität'!$C$2:$C$35='Abgleich Kapazität'!$A57)*('Modell Kapazität'!$D$1:$AZ$1='Abgleich Kapazität'!J$39)*'Modell Kapazität'!$D$2:$AZ$35)+SUMPRODUCT(('Modell Kapazität'!$C$2:$C$35='Abgleich Kapazität'!$A57)*('Modell Kapazität'!$D$1:$AZ$1='Abgleich Kapazität'!J$38)*'Modell Kapazität'!$D$2:$AZ$35))/1000</f>
        <v>0.39900000000000002</v>
      </c>
      <c r="K57" s="59">
        <f t="shared" si="75"/>
        <v>2.4967713045600002</v>
      </c>
      <c r="L57" s="58">
        <f>(SUMPRODUCT(('Modell Kapazität'!$C$2:$C$35='Abgleich Kapazität'!$A57)*('Modell Kapazität'!$D$1:$AZ$1='Abgleich Kapazität'!L$40)*'Modell Kapazität'!$D$2:$AZ$35)+SUMPRODUCT(('Modell Kapazität'!$C$2:$C$35='Abgleich Kapazität'!$A57)*('Modell Kapazität'!$D$1:$AZ$1='Abgleich Kapazität'!L$39)*'Modell Kapazität'!$D$2:$AZ$35)+SUMPRODUCT(('Modell Kapazität'!$C$2:$C$35='Abgleich Kapazität'!$A57)*('Modell Kapazität'!$D$1:$AZ$1='Abgleich Kapazität'!L$38)*'Modell Kapazität'!$D$2:$AZ$35))/1000</f>
        <v>2.0181258500000001</v>
      </c>
      <c r="M57" s="58">
        <f>(SUMPRODUCT(('Modell Kapazität'!$C$2:$C$35='Abgleich Kapazität'!$A57)*('Modell Kapazität'!$D$1:$AZ$1='Abgleich Kapazität'!M$40)*'Modell Kapazität'!$D$2:$AZ$35)+SUMPRODUCT(('Modell Kapazität'!$C$2:$C$35='Abgleich Kapazität'!$A57)*('Modell Kapazität'!$D$1:$AZ$1='Abgleich Kapazität'!M$39)*'Modell Kapazität'!$D$2:$AZ$35)+SUMPRODUCT(('Modell Kapazität'!$C$2:$C$35='Abgleich Kapazität'!$A57)*('Modell Kapazität'!$D$1:$AZ$1='Abgleich Kapazität'!M$38)*'Modell Kapazität'!$D$2:$AZ$35))/1000</f>
        <v>0</v>
      </c>
      <c r="N57" s="58">
        <f>(SUMPRODUCT(('Modell Kapazität'!$C$2:$C$35='Abgleich Kapazität'!$A57)*('Modell Kapazität'!$D$1:$AZ$1='Abgleich Kapazität'!N$40)*'Modell Kapazität'!$D$2:$AZ$35)+SUMPRODUCT(('Modell Kapazität'!$C$2:$C$35='Abgleich Kapazität'!$A57)*('Modell Kapazität'!$D$1:$AZ$1='Abgleich Kapazität'!N$39)*'Modell Kapazität'!$D$2:$AZ$35)+SUMPRODUCT(('Modell Kapazität'!$C$2:$C$35='Abgleich Kapazität'!$A57)*('Modell Kapazität'!$D$1:$AZ$1='Abgleich Kapazität'!N$38)*'Modell Kapazität'!$D$2:$AZ$35))/1000</f>
        <v>0</v>
      </c>
      <c r="O57" s="58">
        <f>(SUMPRODUCT(('Modell Kapazität'!$C$2:$C$35='Abgleich Kapazität'!$A57)*('Modell Kapazität'!$D$1:$AZ$1='Abgleich Kapazität'!O$40)*'Modell Kapazität'!$D$2:$AZ$35)+SUMPRODUCT(('Modell Kapazität'!$C$2:$C$35='Abgleich Kapazität'!$A57)*('Modell Kapazität'!$D$1:$AZ$1='Abgleich Kapazität'!O$39)*'Modell Kapazität'!$D$2:$AZ$35)+SUMPRODUCT(('Modell Kapazität'!$C$2:$C$35='Abgleich Kapazität'!$A57)*('Modell Kapazität'!$D$1:$AZ$1='Abgleich Kapazität'!O$38)*'Modell Kapazität'!$D$2:$AZ$35))/1000</f>
        <v>0.33895454549999998</v>
      </c>
      <c r="P57" s="58">
        <f>(SUMPRODUCT(('Modell Kapazität'!$C$2:$C$35='Abgleich Kapazität'!$A57)*('Modell Kapazität'!$D$1:$AZ$1='Abgleich Kapazität'!P$40)*'Modell Kapazität'!$D$2:$AZ$35)+SUMPRODUCT(('Modell Kapazität'!$C$2:$C$35='Abgleich Kapazität'!$A57)*('Modell Kapazität'!$D$1:$AZ$1='Abgleich Kapazität'!P$39)*'Modell Kapazität'!$D$2:$AZ$35)+SUMPRODUCT(('Modell Kapazität'!$C$2:$C$35='Abgleich Kapazität'!$A57)*('Modell Kapazität'!$D$1:$AZ$1='Abgleich Kapazität'!P$38)*'Modell Kapazität'!$D$2:$AZ$35))/1000</f>
        <v>3.636363636E-2</v>
      </c>
      <c r="Q57" s="58">
        <f>(SUMPRODUCT(('Modell Kapazität'!$C$2:$C$35='Abgleich Kapazität'!$A57)*('Modell Kapazität'!$D$1:$AZ$1='Abgleich Kapazität'!Q$40)*'Modell Kapazität'!$D$2:$AZ$35)+SUMPRODUCT(('Modell Kapazität'!$C$2:$C$35='Abgleich Kapazität'!$A57)*('Modell Kapazität'!$D$1:$AZ$1='Abgleich Kapazität'!Q$39)*'Modell Kapazität'!$D$2:$AZ$35)+SUMPRODUCT(('Modell Kapazität'!$C$2:$C$35='Abgleich Kapazität'!$A57)*('Modell Kapazität'!$D$1:$AZ$1='Abgleich Kapazität'!Q$38)*'Modell Kapazität'!$D$2:$AZ$35))/1000</f>
        <v>0</v>
      </c>
      <c r="R57" s="58">
        <f>(SUMPRODUCT(('Modell Kapazität'!$C$2:$C$35='Abgleich Kapazität'!$A57)*('Modell Kapazität'!$D$1:$AZ$1='Abgleich Kapazität'!R$40)*'Modell Kapazität'!$D$2:$AZ$35)+SUMPRODUCT(('Modell Kapazität'!$C$2:$C$35='Abgleich Kapazität'!$A57)*('Modell Kapazität'!$D$1:$AZ$1='Abgleich Kapazität'!R$39)*'Modell Kapazität'!$D$2:$AZ$35)+SUMPRODUCT(('Modell Kapazität'!$C$2:$C$35='Abgleich Kapazität'!$A57)*('Modell Kapazität'!$D$1:$AZ$1='Abgleich Kapazität'!R$38)*'Modell Kapazität'!$D$2:$AZ$35))/1000</f>
        <v>0.1033272727</v>
      </c>
      <c r="S57" s="58">
        <f>(SUMPRODUCT(('Modell Kapazität'!$C$2:$C$35='Abgleich Kapazität'!$A57)*('Modell Kapazität'!$D$1:$AZ$1='Abgleich Kapazität'!S$40)*'Modell Kapazität'!$D$2:$AZ$35)+SUMPRODUCT(('Modell Kapazität'!$C$2:$C$35='Abgleich Kapazität'!$A57)*('Modell Kapazität'!$D$1:$AZ$1='Abgleich Kapazität'!S$39)*'Modell Kapazität'!$D$2:$AZ$35)+SUMPRODUCT(('Modell Kapazität'!$C$2:$C$35='Abgleich Kapazität'!$A57)*('Modell Kapazität'!$D$1:$AZ$1='Abgleich Kapazität'!S$38)*'Modell Kapazität'!$D$2:$AZ$35))/1000</f>
        <v>0</v>
      </c>
      <c r="T57" s="58">
        <f>(SUMPRODUCT(('Modell Kapazität'!$C$2:$C$35='Abgleich Kapazität'!$A57)*('Modell Kapazität'!$D$1:$AZ$1='Abgleich Kapazität'!T$40)*'Modell Kapazität'!$D$2:$AZ$35)+SUMPRODUCT(('Modell Kapazität'!$C$2:$C$35='Abgleich Kapazität'!$A57)*('Modell Kapazität'!$D$1:$AZ$1='Abgleich Kapazität'!T$39)*'Modell Kapazität'!$D$2:$AZ$35)+SUMPRODUCT(('Modell Kapazität'!$C$2:$C$35='Abgleich Kapazität'!$A57)*('Modell Kapazität'!$D$1:$AZ$1='Abgleich Kapazität'!T$38)*'Modell Kapazität'!$D$2:$AZ$35))/1000</f>
        <v>0</v>
      </c>
      <c r="U57" s="58">
        <f>(SUMPRODUCT(('Modell Kapazität'!$C$2:$C$35='Abgleich Kapazität'!$A57)*('Modell Kapazität'!$D$1:$AZ$1='Abgleich Kapazität'!U$40)*'Modell Kapazität'!$D$2:$AZ$35)+SUMPRODUCT(('Modell Kapazität'!$C$2:$C$35='Abgleich Kapazität'!$A57)*('Modell Kapazität'!$D$1:$AZ$1='Abgleich Kapazität'!U$39)*'Modell Kapazität'!$D$2:$AZ$35)+SUMPRODUCT(('Modell Kapazität'!$C$2:$C$35='Abgleich Kapazität'!$A57)*('Modell Kapazität'!$D$1:$AZ$1='Abgleich Kapazität'!U$38)*'Modell Kapazität'!$D$2:$AZ$35))/1000</f>
        <v>0</v>
      </c>
      <c r="V57" s="59">
        <f t="shared" si="76"/>
        <v>4.7686963045600006</v>
      </c>
    </row>
    <row r="58" spans="1:22" x14ac:dyDescent="0.25">
      <c r="A58" s="14" t="s">
        <v>25</v>
      </c>
      <c r="B58" s="25">
        <f t="shared" si="73"/>
        <v>7.2619994000000005</v>
      </c>
      <c r="C58" s="26">
        <f>(SUMPRODUCT(('Modell Kapazität'!$C$2:$C$35='Abgleich Kapazität'!$A58)*('Modell Kapazität'!$D$1:$AZ$1='Abgleich Kapazität'!C$40)*'Modell Kapazität'!$D$2:$AZ$35)+SUMPRODUCT(('Modell Kapazität'!$C$2:$C$35='Abgleich Kapazität'!$A58)*('Modell Kapazität'!$D$1:$AZ$1='Abgleich Kapazität'!C$39)*'Modell Kapazität'!$D$2:$AZ$35)+SUMPRODUCT(('Modell Kapazität'!$C$2:$C$35='Abgleich Kapazität'!$A58)*('Modell Kapazität'!$D$1:$AZ$1='Abgleich Kapazität'!C$38)*'Modell Kapazität'!$D$2:$AZ$35))/1000</f>
        <v>1.9</v>
      </c>
      <c r="D58" s="26">
        <f t="shared" si="74"/>
        <v>5.3619994000000002</v>
      </c>
      <c r="E58" s="26">
        <f>(SUMPRODUCT(('Modell Kapazität'!$C$2:$C$35='Abgleich Kapazität'!$A58)*('Modell Kapazität'!$D$1:$AZ$1='Abgleich Kapazität'!E$40)*'Modell Kapazität'!$D$2:$AZ$35)+SUMPRODUCT(('Modell Kapazität'!$C$2:$C$35='Abgleich Kapazität'!$A58)*('Modell Kapazität'!$D$1:$AZ$1='Abgleich Kapazität'!E$39)*'Modell Kapazität'!$D$2:$AZ$35)+SUMPRODUCT(('Modell Kapazität'!$C$2:$C$35='Abgleich Kapazität'!$A58)*('Modell Kapazität'!$D$1:$AZ$1='Abgleich Kapazität'!E$38)*'Modell Kapazität'!$D$2:$AZ$35))/1000</f>
        <v>0.88400000000000001</v>
      </c>
      <c r="F58" s="26">
        <f>(SUMPRODUCT(('Modell Kapazität'!$C$2:$C$35='Abgleich Kapazität'!$A58)*('Modell Kapazität'!$D$1:$AZ$1='Abgleich Kapazität'!F$40)*'Modell Kapazität'!$D$2:$AZ$35)+SUMPRODUCT(('Modell Kapazität'!$C$2:$C$35='Abgleich Kapazität'!$A58)*('Modell Kapazität'!$D$1:$AZ$1='Abgleich Kapazität'!F$39)*'Modell Kapazität'!$D$2:$AZ$35)+SUMPRODUCT(('Modell Kapazität'!$C$2:$C$35='Abgleich Kapazität'!$A58)*('Modell Kapazität'!$D$1:$AZ$1='Abgleich Kapazität'!F$38)*'Modell Kapazität'!$D$2:$AZ$35))/1000</f>
        <v>4.2103649999999995</v>
      </c>
      <c r="G58" s="26">
        <f>(SUMPRODUCT(('Modell Kapazität'!$C$2:$C$35='Abgleich Kapazität'!$A58)*('Modell Kapazität'!$D$1:$AZ$1='Abgleich Kapazität'!G$40)*'Modell Kapazität'!$D$2:$AZ$35)+SUMPRODUCT(('Modell Kapazität'!$C$2:$C$35='Abgleich Kapazität'!$A58)*('Modell Kapazität'!$D$1:$AZ$1='Abgleich Kapazität'!G$39)*'Modell Kapazität'!$D$2:$AZ$35)+SUMPRODUCT(('Modell Kapazität'!$C$2:$C$35='Abgleich Kapazität'!$A58)*('Modell Kapazität'!$D$1:$AZ$1='Abgleich Kapazität'!G$38)*'Modell Kapazität'!$D$2:$AZ$35))/1000</f>
        <v>0.10199999999999999</v>
      </c>
      <c r="H58" s="26">
        <f>(SUMPRODUCT(('Modell Kapazität'!$C$2:$C$35='Abgleich Kapazität'!$A58)*('Modell Kapazität'!$D$1:$AZ$1='Abgleich Kapazität'!H$40)*'Modell Kapazität'!$D$2:$AZ$35)+SUMPRODUCT(('Modell Kapazität'!$C$2:$C$35='Abgleich Kapazität'!$A58)*('Modell Kapazität'!$D$1:$AZ$1='Abgleich Kapazität'!H$39)*'Modell Kapazität'!$D$2:$AZ$35)+SUMPRODUCT(('Modell Kapazität'!$C$2:$C$35='Abgleich Kapazität'!$A58)*('Modell Kapazität'!$D$1:$AZ$1='Abgleich Kapazität'!H$38)*'Modell Kapazität'!$D$2:$AZ$35))/1000</f>
        <v>0</v>
      </c>
      <c r="I58" s="26">
        <f>(SUMPRODUCT(('Modell Kapazität'!$C$2:$C$35='Abgleich Kapazität'!$A58)*('Modell Kapazität'!$D$1:$AZ$1='Abgleich Kapazität'!I$40)*'Modell Kapazität'!$D$2:$AZ$35)+SUMPRODUCT(('Modell Kapazität'!$C$2:$C$35='Abgleich Kapazität'!$A58)*('Modell Kapazität'!$D$1:$AZ$1='Abgleich Kapazität'!I$39)*'Modell Kapazität'!$D$2:$AZ$35)+SUMPRODUCT(('Modell Kapazität'!$C$2:$C$35='Abgleich Kapazität'!$A58)*('Modell Kapazität'!$D$1:$AZ$1='Abgleich Kapazität'!I$38)*'Modell Kapazität'!$D$2:$AZ$35))/1000</f>
        <v>0</v>
      </c>
      <c r="J58" s="26">
        <f>(SUMPRODUCT(('Modell Kapazität'!$C$2:$C$35='Abgleich Kapazität'!$A58)*('Modell Kapazität'!$D$1:$AZ$1='Abgleich Kapazität'!J$40)*'Modell Kapazität'!$D$2:$AZ$35)+SUMPRODUCT(('Modell Kapazität'!$C$2:$C$35='Abgleich Kapazität'!$A58)*('Modell Kapazität'!$D$1:$AZ$1='Abgleich Kapazität'!J$39)*'Modell Kapazität'!$D$2:$AZ$35)+SUMPRODUCT(('Modell Kapazität'!$C$2:$C$35='Abgleich Kapazität'!$A58)*('Modell Kapazität'!$D$1:$AZ$1='Abgleich Kapazität'!J$38)*'Modell Kapazität'!$D$2:$AZ$35))/1000</f>
        <v>0.16563439999999999</v>
      </c>
      <c r="K58" s="27">
        <f t="shared" si="75"/>
        <v>1.3557999999999999</v>
      </c>
      <c r="L58" s="26">
        <f>(SUMPRODUCT(('Modell Kapazität'!$C$2:$C$35='Abgleich Kapazität'!$A58)*('Modell Kapazität'!$D$1:$AZ$1='Abgleich Kapazität'!L$40)*'Modell Kapazität'!$D$2:$AZ$35)+SUMPRODUCT(('Modell Kapazität'!$C$2:$C$35='Abgleich Kapazität'!$A58)*('Modell Kapazität'!$D$1:$AZ$1='Abgleich Kapazität'!L$39)*'Modell Kapazität'!$D$2:$AZ$35)+SUMPRODUCT(('Modell Kapazität'!$C$2:$C$35='Abgleich Kapazität'!$A58)*('Modell Kapazität'!$D$1:$AZ$1='Abgleich Kapazität'!L$38)*'Modell Kapazität'!$D$2:$AZ$35))/1000</f>
        <v>5.0999999999999997E-2</v>
      </c>
      <c r="M58" s="26">
        <f>(SUMPRODUCT(('Modell Kapazität'!$C$2:$C$35='Abgleich Kapazität'!$A58)*('Modell Kapazität'!$D$1:$AZ$1='Abgleich Kapazität'!M$40)*'Modell Kapazität'!$D$2:$AZ$35)+SUMPRODUCT(('Modell Kapazität'!$C$2:$C$35='Abgleich Kapazität'!$A58)*('Modell Kapazität'!$D$1:$AZ$1='Abgleich Kapazität'!M$39)*'Modell Kapazität'!$D$2:$AZ$35)+SUMPRODUCT(('Modell Kapazität'!$C$2:$C$35='Abgleich Kapazität'!$A58)*('Modell Kapazität'!$D$1:$AZ$1='Abgleich Kapazität'!M$38)*'Modell Kapazität'!$D$2:$AZ$35))/1000</f>
        <v>0</v>
      </c>
      <c r="N58" s="26">
        <f>(SUMPRODUCT(('Modell Kapazität'!$C$2:$C$35='Abgleich Kapazität'!$A58)*('Modell Kapazität'!$D$1:$AZ$1='Abgleich Kapazität'!N$40)*'Modell Kapazität'!$D$2:$AZ$35)+SUMPRODUCT(('Modell Kapazität'!$C$2:$C$35='Abgleich Kapazität'!$A58)*('Modell Kapazität'!$D$1:$AZ$1='Abgleich Kapazität'!N$39)*'Modell Kapazität'!$D$2:$AZ$35)+SUMPRODUCT(('Modell Kapazität'!$C$2:$C$35='Abgleich Kapazität'!$A58)*('Modell Kapazität'!$D$1:$AZ$1='Abgleich Kapazität'!N$38)*'Modell Kapazität'!$D$2:$AZ$35))/1000</f>
        <v>0</v>
      </c>
      <c r="O58" s="26">
        <f>(SUMPRODUCT(('Modell Kapazität'!$C$2:$C$35='Abgleich Kapazität'!$A58)*('Modell Kapazität'!$D$1:$AZ$1='Abgleich Kapazität'!O$40)*'Modell Kapazität'!$D$2:$AZ$35)+SUMPRODUCT(('Modell Kapazität'!$C$2:$C$35='Abgleich Kapazität'!$A58)*('Modell Kapazität'!$D$1:$AZ$1='Abgleich Kapazität'!O$39)*'Modell Kapazität'!$D$2:$AZ$35)+SUMPRODUCT(('Modell Kapazität'!$C$2:$C$35='Abgleich Kapazität'!$A58)*('Modell Kapazität'!$D$1:$AZ$1='Abgleich Kapazität'!O$38)*'Modell Kapazität'!$D$2:$AZ$35))/1000</f>
        <v>0.33</v>
      </c>
      <c r="P58" s="26">
        <f>(SUMPRODUCT(('Modell Kapazität'!$C$2:$C$35='Abgleich Kapazität'!$A58)*('Modell Kapazität'!$D$1:$AZ$1='Abgleich Kapazität'!P$40)*'Modell Kapazität'!$D$2:$AZ$35)+SUMPRODUCT(('Modell Kapazität'!$C$2:$C$35='Abgleich Kapazität'!$A58)*('Modell Kapazität'!$D$1:$AZ$1='Abgleich Kapazität'!P$39)*'Modell Kapazität'!$D$2:$AZ$35)+SUMPRODUCT(('Modell Kapazität'!$C$2:$C$35='Abgleich Kapazität'!$A58)*('Modell Kapazität'!$D$1:$AZ$1='Abgleich Kapazität'!P$38)*'Modell Kapazität'!$D$2:$AZ$35))/1000</f>
        <v>0.59399999999999997</v>
      </c>
      <c r="Q58" s="26">
        <f>(SUMPRODUCT(('Modell Kapazität'!$C$2:$C$35='Abgleich Kapazität'!$A58)*('Modell Kapazität'!$D$1:$AZ$1='Abgleich Kapazität'!Q$40)*'Modell Kapazität'!$D$2:$AZ$35)+SUMPRODUCT(('Modell Kapazität'!$C$2:$C$35='Abgleich Kapazität'!$A58)*('Modell Kapazität'!$D$1:$AZ$1='Abgleich Kapazität'!Q$39)*'Modell Kapazität'!$D$2:$AZ$35)+SUMPRODUCT(('Modell Kapazität'!$C$2:$C$35='Abgleich Kapazität'!$A58)*('Modell Kapazität'!$D$1:$AZ$1='Abgleich Kapazität'!Q$38)*'Modell Kapazität'!$D$2:$AZ$35))/1000</f>
        <v>0</v>
      </c>
      <c r="R58" s="26">
        <f>(SUMPRODUCT(('Modell Kapazität'!$C$2:$C$35='Abgleich Kapazität'!$A58)*('Modell Kapazität'!$D$1:$AZ$1='Abgleich Kapazität'!R$40)*'Modell Kapazität'!$D$2:$AZ$35)+SUMPRODUCT(('Modell Kapazität'!$C$2:$C$35='Abgleich Kapazität'!$A58)*('Modell Kapazität'!$D$1:$AZ$1='Abgleich Kapazität'!R$39)*'Modell Kapazität'!$D$2:$AZ$35)+SUMPRODUCT(('Modell Kapazität'!$C$2:$C$35='Abgleich Kapazität'!$A58)*('Modell Kapazität'!$D$1:$AZ$1='Abgleich Kapazität'!R$38)*'Modell Kapazität'!$D$2:$AZ$35))/1000</f>
        <v>0.38080000000000003</v>
      </c>
      <c r="S58" s="26">
        <f>(SUMPRODUCT(('Modell Kapazität'!$C$2:$C$35='Abgleich Kapazität'!$A58)*('Modell Kapazität'!$D$1:$AZ$1='Abgleich Kapazität'!S$40)*'Modell Kapazität'!$D$2:$AZ$35)+SUMPRODUCT(('Modell Kapazität'!$C$2:$C$35='Abgleich Kapazität'!$A58)*('Modell Kapazität'!$D$1:$AZ$1='Abgleich Kapazität'!S$39)*'Modell Kapazität'!$D$2:$AZ$35)+SUMPRODUCT(('Modell Kapazität'!$C$2:$C$35='Abgleich Kapazität'!$A58)*('Modell Kapazität'!$D$1:$AZ$1='Abgleich Kapazität'!S$38)*'Modell Kapazität'!$D$2:$AZ$35))/1000</f>
        <v>0</v>
      </c>
      <c r="T58" s="26">
        <f>(SUMPRODUCT(('Modell Kapazität'!$C$2:$C$35='Abgleich Kapazität'!$A58)*('Modell Kapazität'!$D$1:$AZ$1='Abgleich Kapazität'!T$40)*'Modell Kapazität'!$D$2:$AZ$35)+SUMPRODUCT(('Modell Kapazität'!$C$2:$C$35='Abgleich Kapazität'!$A58)*('Modell Kapazität'!$D$1:$AZ$1='Abgleich Kapazität'!T$39)*'Modell Kapazität'!$D$2:$AZ$35)+SUMPRODUCT(('Modell Kapazität'!$C$2:$C$35='Abgleich Kapazität'!$A58)*('Modell Kapazität'!$D$1:$AZ$1='Abgleich Kapazität'!T$38)*'Modell Kapazität'!$D$2:$AZ$35))/1000</f>
        <v>0</v>
      </c>
      <c r="U58" s="26">
        <f>(SUMPRODUCT(('Modell Kapazität'!$C$2:$C$35='Abgleich Kapazität'!$A58)*('Modell Kapazität'!$D$1:$AZ$1='Abgleich Kapazität'!U$40)*'Modell Kapazität'!$D$2:$AZ$35)+SUMPRODUCT(('Modell Kapazität'!$C$2:$C$35='Abgleich Kapazität'!$A58)*('Modell Kapazität'!$D$1:$AZ$1='Abgleich Kapazität'!U$39)*'Modell Kapazität'!$D$2:$AZ$35)+SUMPRODUCT(('Modell Kapazität'!$C$2:$C$35='Abgleich Kapazität'!$A58)*('Modell Kapazität'!$D$1:$AZ$1='Abgleich Kapazität'!U$38)*'Modell Kapazität'!$D$2:$AZ$35))/1000</f>
        <v>0</v>
      </c>
      <c r="V58" s="27">
        <f t="shared" si="76"/>
        <v>8.6177994000000009</v>
      </c>
    </row>
    <row r="59" spans="1:22" x14ac:dyDescent="0.25">
      <c r="A59" s="14" t="s">
        <v>26</v>
      </c>
      <c r="B59" s="57">
        <f t="shared" si="73"/>
        <v>13</v>
      </c>
      <c r="C59" s="58">
        <f>(SUMPRODUCT(('Modell Kapazität'!$C$2:$C$35='Abgleich Kapazität'!$A59)*('Modell Kapazität'!$D$1:$AZ$1='Abgleich Kapazität'!C$40)*'Modell Kapazität'!$D$2:$AZ$35)+SUMPRODUCT(('Modell Kapazität'!$C$2:$C$35='Abgleich Kapazität'!$A59)*('Modell Kapazität'!$D$1:$AZ$1='Abgleich Kapazität'!C$39)*'Modell Kapazität'!$D$2:$AZ$35)+SUMPRODUCT(('Modell Kapazität'!$C$2:$C$35='Abgleich Kapazität'!$A59)*('Modell Kapazität'!$D$1:$AZ$1='Abgleich Kapazität'!C$38)*'Modell Kapazität'!$D$2:$AZ$35))/1000</f>
        <v>0</v>
      </c>
      <c r="D59" s="58">
        <f t="shared" si="74"/>
        <v>13</v>
      </c>
      <c r="E59" s="58">
        <f>(SUMPRODUCT(('Modell Kapazität'!$C$2:$C$35='Abgleich Kapazität'!$A59)*('Modell Kapazität'!$D$1:$AZ$1='Abgleich Kapazität'!E$40)*'Modell Kapazität'!$D$2:$AZ$35)+SUMPRODUCT(('Modell Kapazität'!$C$2:$C$35='Abgleich Kapazität'!$A59)*('Modell Kapazität'!$D$1:$AZ$1='Abgleich Kapazität'!E$39)*'Modell Kapazität'!$D$2:$AZ$35)+SUMPRODUCT(('Modell Kapazität'!$C$2:$C$35='Abgleich Kapazität'!$A59)*('Modell Kapazität'!$D$1:$AZ$1='Abgleich Kapazität'!E$38)*'Modell Kapazität'!$D$2:$AZ$35))/1000</f>
        <v>0</v>
      </c>
      <c r="F59" s="58">
        <f>(SUMPRODUCT(('Modell Kapazität'!$C$2:$C$35='Abgleich Kapazität'!$A59)*('Modell Kapazität'!$D$1:$AZ$1='Abgleich Kapazität'!F$40)*'Modell Kapazität'!$D$2:$AZ$35)+SUMPRODUCT(('Modell Kapazität'!$C$2:$C$35='Abgleich Kapazität'!$A59)*('Modell Kapazität'!$D$1:$AZ$1='Abgleich Kapazität'!F$39)*'Modell Kapazität'!$D$2:$AZ$35)+SUMPRODUCT(('Modell Kapazität'!$C$2:$C$35='Abgleich Kapazität'!$A59)*('Modell Kapazität'!$D$1:$AZ$1='Abgleich Kapazität'!F$38)*'Modell Kapazität'!$D$2:$AZ$35))/1000</f>
        <v>13</v>
      </c>
      <c r="G59" s="58">
        <f>(SUMPRODUCT(('Modell Kapazität'!$C$2:$C$35='Abgleich Kapazität'!$A59)*('Modell Kapazität'!$D$1:$AZ$1='Abgleich Kapazität'!G$40)*'Modell Kapazität'!$D$2:$AZ$35)+SUMPRODUCT(('Modell Kapazität'!$C$2:$C$35='Abgleich Kapazität'!$A59)*('Modell Kapazität'!$D$1:$AZ$1='Abgleich Kapazität'!G$39)*'Modell Kapazität'!$D$2:$AZ$35)+SUMPRODUCT(('Modell Kapazität'!$C$2:$C$35='Abgleich Kapazität'!$A59)*('Modell Kapazität'!$D$1:$AZ$1='Abgleich Kapazität'!G$38)*'Modell Kapazität'!$D$2:$AZ$35))/1000</f>
        <v>0</v>
      </c>
      <c r="H59" s="58">
        <f>(SUMPRODUCT(('Modell Kapazität'!$C$2:$C$35='Abgleich Kapazität'!$A59)*('Modell Kapazität'!$D$1:$AZ$1='Abgleich Kapazität'!H$40)*'Modell Kapazität'!$D$2:$AZ$35)+SUMPRODUCT(('Modell Kapazität'!$C$2:$C$35='Abgleich Kapazität'!$A59)*('Modell Kapazität'!$D$1:$AZ$1='Abgleich Kapazität'!H$39)*'Modell Kapazität'!$D$2:$AZ$35)+SUMPRODUCT(('Modell Kapazität'!$C$2:$C$35='Abgleich Kapazität'!$A59)*('Modell Kapazität'!$D$1:$AZ$1='Abgleich Kapazität'!H$38)*'Modell Kapazität'!$D$2:$AZ$35))/1000</f>
        <v>0</v>
      </c>
      <c r="I59" s="58">
        <f>(SUMPRODUCT(('Modell Kapazität'!$C$2:$C$35='Abgleich Kapazität'!$A59)*('Modell Kapazität'!$D$1:$AZ$1='Abgleich Kapazität'!I$40)*'Modell Kapazität'!$D$2:$AZ$35)+SUMPRODUCT(('Modell Kapazität'!$C$2:$C$35='Abgleich Kapazität'!$A59)*('Modell Kapazität'!$D$1:$AZ$1='Abgleich Kapazität'!I$39)*'Modell Kapazität'!$D$2:$AZ$35)+SUMPRODUCT(('Modell Kapazität'!$C$2:$C$35='Abgleich Kapazität'!$A59)*('Modell Kapazität'!$D$1:$AZ$1='Abgleich Kapazität'!I$38)*'Modell Kapazität'!$D$2:$AZ$35))/1000</f>
        <v>0</v>
      </c>
      <c r="J59" s="58">
        <f>(SUMPRODUCT(('Modell Kapazität'!$C$2:$C$35='Abgleich Kapazität'!$A59)*('Modell Kapazität'!$D$1:$AZ$1='Abgleich Kapazität'!J$40)*'Modell Kapazität'!$D$2:$AZ$35)+SUMPRODUCT(('Modell Kapazität'!$C$2:$C$35='Abgleich Kapazität'!$A59)*('Modell Kapazität'!$D$1:$AZ$1='Abgleich Kapazität'!J$39)*'Modell Kapazität'!$D$2:$AZ$35)+SUMPRODUCT(('Modell Kapazität'!$C$2:$C$35='Abgleich Kapazität'!$A59)*('Modell Kapazität'!$D$1:$AZ$1='Abgleich Kapazität'!J$38)*'Modell Kapazität'!$D$2:$AZ$35))/1000</f>
        <v>0</v>
      </c>
      <c r="K59" s="59">
        <f t="shared" si="75"/>
        <v>0</v>
      </c>
      <c r="L59" s="58">
        <f>(SUMPRODUCT(('Modell Kapazität'!$C$2:$C$35='Abgleich Kapazität'!$A59)*('Modell Kapazität'!$D$1:$AZ$1='Abgleich Kapazität'!L$40)*'Modell Kapazität'!$D$2:$AZ$35)+SUMPRODUCT(('Modell Kapazität'!$C$2:$C$35='Abgleich Kapazität'!$A59)*('Modell Kapazität'!$D$1:$AZ$1='Abgleich Kapazität'!L$39)*'Modell Kapazität'!$D$2:$AZ$35)+SUMPRODUCT(('Modell Kapazität'!$C$2:$C$35='Abgleich Kapazität'!$A59)*('Modell Kapazität'!$D$1:$AZ$1='Abgleich Kapazität'!L$38)*'Modell Kapazität'!$D$2:$AZ$35))/1000</f>
        <v>0</v>
      </c>
      <c r="M59" s="58">
        <f>(SUMPRODUCT(('Modell Kapazität'!$C$2:$C$35='Abgleich Kapazität'!$A59)*('Modell Kapazität'!$D$1:$AZ$1='Abgleich Kapazität'!M$40)*'Modell Kapazität'!$D$2:$AZ$35)+SUMPRODUCT(('Modell Kapazität'!$C$2:$C$35='Abgleich Kapazität'!$A59)*('Modell Kapazität'!$D$1:$AZ$1='Abgleich Kapazität'!M$39)*'Modell Kapazität'!$D$2:$AZ$35)+SUMPRODUCT(('Modell Kapazität'!$C$2:$C$35='Abgleich Kapazität'!$A59)*('Modell Kapazität'!$D$1:$AZ$1='Abgleich Kapazität'!M$38)*'Modell Kapazität'!$D$2:$AZ$35))/1000</f>
        <v>0</v>
      </c>
      <c r="N59" s="58">
        <f>(SUMPRODUCT(('Modell Kapazität'!$C$2:$C$35='Abgleich Kapazität'!$A59)*('Modell Kapazität'!$D$1:$AZ$1='Abgleich Kapazität'!N$40)*'Modell Kapazität'!$D$2:$AZ$35)+SUMPRODUCT(('Modell Kapazität'!$C$2:$C$35='Abgleich Kapazität'!$A59)*('Modell Kapazität'!$D$1:$AZ$1='Abgleich Kapazität'!N$39)*'Modell Kapazität'!$D$2:$AZ$35)+SUMPRODUCT(('Modell Kapazität'!$C$2:$C$35='Abgleich Kapazität'!$A59)*('Modell Kapazität'!$D$1:$AZ$1='Abgleich Kapazität'!N$38)*'Modell Kapazität'!$D$2:$AZ$35))/1000</f>
        <v>0</v>
      </c>
      <c r="O59" s="58">
        <f>(SUMPRODUCT(('Modell Kapazität'!$C$2:$C$35='Abgleich Kapazität'!$A59)*('Modell Kapazität'!$D$1:$AZ$1='Abgleich Kapazität'!O$40)*'Modell Kapazität'!$D$2:$AZ$35)+SUMPRODUCT(('Modell Kapazität'!$C$2:$C$35='Abgleich Kapazität'!$A59)*('Modell Kapazität'!$D$1:$AZ$1='Abgleich Kapazität'!O$39)*'Modell Kapazität'!$D$2:$AZ$35)+SUMPRODUCT(('Modell Kapazität'!$C$2:$C$35='Abgleich Kapazität'!$A59)*('Modell Kapazität'!$D$1:$AZ$1='Abgleich Kapazität'!O$38)*'Modell Kapazität'!$D$2:$AZ$35))/1000</f>
        <v>0</v>
      </c>
      <c r="P59" s="58">
        <f>(SUMPRODUCT(('Modell Kapazität'!$C$2:$C$35='Abgleich Kapazität'!$A59)*('Modell Kapazität'!$D$1:$AZ$1='Abgleich Kapazität'!P$40)*'Modell Kapazität'!$D$2:$AZ$35)+SUMPRODUCT(('Modell Kapazität'!$C$2:$C$35='Abgleich Kapazität'!$A59)*('Modell Kapazität'!$D$1:$AZ$1='Abgleich Kapazität'!P$39)*'Modell Kapazität'!$D$2:$AZ$35)+SUMPRODUCT(('Modell Kapazität'!$C$2:$C$35='Abgleich Kapazität'!$A59)*('Modell Kapazität'!$D$1:$AZ$1='Abgleich Kapazität'!P$38)*'Modell Kapazität'!$D$2:$AZ$35))/1000</f>
        <v>0</v>
      </c>
      <c r="Q59" s="58">
        <f>(SUMPRODUCT(('Modell Kapazität'!$C$2:$C$35='Abgleich Kapazität'!$A59)*('Modell Kapazität'!$D$1:$AZ$1='Abgleich Kapazität'!Q$40)*'Modell Kapazität'!$D$2:$AZ$35)+SUMPRODUCT(('Modell Kapazität'!$C$2:$C$35='Abgleich Kapazität'!$A59)*('Modell Kapazität'!$D$1:$AZ$1='Abgleich Kapazität'!Q$39)*'Modell Kapazität'!$D$2:$AZ$35)+SUMPRODUCT(('Modell Kapazität'!$C$2:$C$35='Abgleich Kapazität'!$A59)*('Modell Kapazität'!$D$1:$AZ$1='Abgleich Kapazität'!Q$38)*'Modell Kapazität'!$D$2:$AZ$35))/1000</f>
        <v>0</v>
      </c>
      <c r="R59" s="58">
        <f>(SUMPRODUCT(('Modell Kapazität'!$C$2:$C$35='Abgleich Kapazität'!$A59)*('Modell Kapazität'!$D$1:$AZ$1='Abgleich Kapazität'!R$40)*'Modell Kapazität'!$D$2:$AZ$35)+SUMPRODUCT(('Modell Kapazität'!$C$2:$C$35='Abgleich Kapazität'!$A59)*('Modell Kapazität'!$D$1:$AZ$1='Abgleich Kapazität'!R$39)*'Modell Kapazität'!$D$2:$AZ$35)+SUMPRODUCT(('Modell Kapazität'!$C$2:$C$35='Abgleich Kapazität'!$A59)*('Modell Kapazität'!$D$1:$AZ$1='Abgleich Kapazität'!R$38)*'Modell Kapazität'!$D$2:$AZ$35))/1000</f>
        <v>0</v>
      </c>
      <c r="S59" s="58">
        <f>(SUMPRODUCT(('Modell Kapazität'!$C$2:$C$35='Abgleich Kapazität'!$A59)*('Modell Kapazität'!$D$1:$AZ$1='Abgleich Kapazität'!S$40)*'Modell Kapazität'!$D$2:$AZ$35)+SUMPRODUCT(('Modell Kapazität'!$C$2:$C$35='Abgleich Kapazität'!$A59)*('Modell Kapazität'!$D$1:$AZ$1='Abgleich Kapazität'!S$39)*'Modell Kapazität'!$D$2:$AZ$35)+SUMPRODUCT(('Modell Kapazität'!$C$2:$C$35='Abgleich Kapazität'!$A59)*('Modell Kapazität'!$D$1:$AZ$1='Abgleich Kapazität'!S$38)*'Modell Kapazität'!$D$2:$AZ$35))/1000</f>
        <v>0</v>
      </c>
      <c r="T59" s="58">
        <f>(SUMPRODUCT(('Modell Kapazität'!$C$2:$C$35='Abgleich Kapazität'!$A59)*('Modell Kapazität'!$D$1:$AZ$1='Abgleich Kapazität'!T$40)*'Modell Kapazität'!$D$2:$AZ$35)+SUMPRODUCT(('Modell Kapazität'!$C$2:$C$35='Abgleich Kapazität'!$A59)*('Modell Kapazität'!$D$1:$AZ$1='Abgleich Kapazität'!T$39)*'Modell Kapazität'!$D$2:$AZ$35)+SUMPRODUCT(('Modell Kapazität'!$C$2:$C$35='Abgleich Kapazität'!$A59)*('Modell Kapazität'!$D$1:$AZ$1='Abgleich Kapazität'!T$38)*'Modell Kapazität'!$D$2:$AZ$35))/1000</f>
        <v>0</v>
      </c>
      <c r="U59" s="58">
        <f>(SUMPRODUCT(('Modell Kapazität'!$C$2:$C$35='Abgleich Kapazität'!$A59)*('Modell Kapazität'!$D$1:$AZ$1='Abgleich Kapazität'!U$40)*'Modell Kapazität'!$D$2:$AZ$35)+SUMPRODUCT(('Modell Kapazität'!$C$2:$C$35='Abgleich Kapazität'!$A59)*('Modell Kapazität'!$D$1:$AZ$1='Abgleich Kapazität'!U$39)*'Modell Kapazität'!$D$2:$AZ$35)+SUMPRODUCT(('Modell Kapazität'!$C$2:$C$35='Abgleich Kapazität'!$A59)*('Modell Kapazität'!$D$1:$AZ$1='Abgleich Kapazität'!U$38)*'Modell Kapazität'!$D$2:$AZ$35))/1000</f>
        <v>0</v>
      </c>
      <c r="V59" s="59">
        <f t="shared" si="76"/>
        <v>13</v>
      </c>
    </row>
    <row r="60" spans="1:22" x14ac:dyDescent="0.25">
      <c r="A60" s="14" t="s">
        <v>27</v>
      </c>
      <c r="B60" s="25">
        <f t="shared" si="73"/>
        <v>54.822413999999995</v>
      </c>
      <c r="C60" s="26">
        <f>(SUMPRODUCT(('Modell Kapazität'!$C$2:$C$35='Abgleich Kapazität'!$A60)*('Modell Kapazität'!$D$1:$AZ$1='Abgleich Kapazität'!C$40)*'Modell Kapazität'!$D$2:$AZ$35)+SUMPRODUCT(('Modell Kapazität'!$C$2:$C$35='Abgleich Kapazität'!$A60)*('Modell Kapazität'!$D$1:$AZ$1='Abgleich Kapazität'!C$39)*'Modell Kapazität'!$D$2:$AZ$35)+SUMPRODUCT(('Modell Kapazität'!$C$2:$C$35='Abgleich Kapazität'!$A60)*('Modell Kapazität'!$D$1:$AZ$1='Abgleich Kapazität'!C$38)*'Modell Kapazität'!$D$2:$AZ$35))/1000</f>
        <v>0</v>
      </c>
      <c r="D60" s="26">
        <f t="shared" si="74"/>
        <v>54.822413999999995</v>
      </c>
      <c r="E60" s="26">
        <f>(SUMPRODUCT(('Modell Kapazität'!$C$2:$C$35='Abgleich Kapazität'!$A60)*('Modell Kapazität'!$D$1:$AZ$1='Abgleich Kapazität'!E$40)*'Modell Kapazität'!$D$2:$AZ$35)+SUMPRODUCT(('Modell Kapazität'!$C$2:$C$35='Abgleich Kapazität'!$A60)*('Modell Kapazität'!$D$1:$AZ$1='Abgleich Kapazität'!E$39)*'Modell Kapazität'!$D$2:$AZ$35)+SUMPRODUCT(('Modell Kapazität'!$C$2:$C$35='Abgleich Kapazität'!$A60)*('Modell Kapazität'!$D$1:$AZ$1='Abgleich Kapazität'!E$38)*'Modell Kapazität'!$D$2:$AZ$35))/1000</f>
        <v>0</v>
      </c>
      <c r="F60" s="26">
        <f>(SUMPRODUCT(('Modell Kapazität'!$C$2:$C$35='Abgleich Kapazität'!$A60)*('Modell Kapazität'!$D$1:$AZ$1='Abgleich Kapazität'!F$40)*'Modell Kapazität'!$D$2:$AZ$35)+SUMPRODUCT(('Modell Kapazität'!$C$2:$C$35='Abgleich Kapazität'!$A60)*('Modell Kapazität'!$D$1:$AZ$1='Abgleich Kapazität'!F$39)*'Modell Kapazität'!$D$2:$AZ$35)+SUMPRODUCT(('Modell Kapazität'!$C$2:$C$35='Abgleich Kapazität'!$A60)*('Modell Kapazität'!$D$1:$AZ$1='Abgleich Kapazität'!F$38)*'Modell Kapazität'!$D$2:$AZ$35))/1000</f>
        <v>46.107813999999998</v>
      </c>
      <c r="G60" s="26">
        <f>(SUMPRODUCT(('Modell Kapazität'!$C$2:$C$35='Abgleich Kapazität'!$A60)*('Modell Kapazität'!$D$1:$AZ$1='Abgleich Kapazität'!G$40)*'Modell Kapazität'!$D$2:$AZ$35)+SUMPRODUCT(('Modell Kapazität'!$C$2:$C$35='Abgleich Kapazität'!$A60)*('Modell Kapazität'!$D$1:$AZ$1='Abgleich Kapazität'!G$39)*'Modell Kapazität'!$D$2:$AZ$35)+SUMPRODUCT(('Modell Kapazität'!$C$2:$C$35='Abgleich Kapazität'!$A60)*('Modell Kapazität'!$D$1:$AZ$1='Abgleich Kapazität'!G$38)*'Modell Kapazität'!$D$2:$AZ$35))/1000</f>
        <v>7.266</v>
      </c>
      <c r="H60" s="26">
        <f>(SUMPRODUCT(('Modell Kapazität'!$C$2:$C$35='Abgleich Kapazität'!$A60)*('Modell Kapazität'!$D$1:$AZ$1='Abgleich Kapazität'!H$40)*'Modell Kapazität'!$D$2:$AZ$35)+SUMPRODUCT(('Modell Kapazität'!$C$2:$C$35='Abgleich Kapazität'!$A60)*('Modell Kapazität'!$D$1:$AZ$1='Abgleich Kapazität'!H$39)*'Modell Kapazität'!$D$2:$AZ$35)+SUMPRODUCT(('Modell Kapazität'!$C$2:$C$35='Abgleich Kapazität'!$A60)*('Modell Kapazität'!$D$1:$AZ$1='Abgleich Kapazität'!H$38)*'Modell Kapazität'!$D$2:$AZ$35))/1000</f>
        <v>0</v>
      </c>
      <c r="I60" s="26">
        <f>(SUMPRODUCT(('Modell Kapazität'!$C$2:$C$35='Abgleich Kapazität'!$A60)*('Modell Kapazität'!$D$1:$AZ$1='Abgleich Kapazität'!I$40)*'Modell Kapazität'!$D$2:$AZ$35)+SUMPRODUCT(('Modell Kapazität'!$C$2:$C$35='Abgleich Kapazität'!$A60)*('Modell Kapazität'!$D$1:$AZ$1='Abgleich Kapazität'!I$39)*'Modell Kapazität'!$D$2:$AZ$35)+SUMPRODUCT(('Modell Kapazität'!$C$2:$C$35='Abgleich Kapazität'!$A60)*('Modell Kapazität'!$D$1:$AZ$1='Abgleich Kapazität'!I$38)*'Modell Kapazität'!$D$2:$AZ$35))/1000</f>
        <v>0</v>
      </c>
      <c r="J60" s="26">
        <f>(SUMPRODUCT(('Modell Kapazität'!$C$2:$C$35='Abgleich Kapazität'!$A60)*('Modell Kapazität'!$D$1:$AZ$1='Abgleich Kapazität'!J$40)*'Modell Kapazität'!$D$2:$AZ$35)+SUMPRODUCT(('Modell Kapazität'!$C$2:$C$35='Abgleich Kapazität'!$A60)*('Modell Kapazität'!$D$1:$AZ$1='Abgleich Kapazität'!J$39)*'Modell Kapazität'!$D$2:$AZ$35)+SUMPRODUCT(('Modell Kapazität'!$C$2:$C$35='Abgleich Kapazität'!$A60)*('Modell Kapazität'!$D$1:$AZ$1='Abgleich Kapazität'!J$38)*'Modell Kapazität'!$D$2:$AZ$35))/1000</f>
        <v>1.4485999999999999</v>
      </c>
      <c r="K60" s="27">
        <f t="shared" si="75"/>
        <v>57.822768876310001</v>
      </c>
      <c r="L60" s="26">
        <f>(SUMPRODUCT(('Modell Kapazität'!$C$2:$C$35='Abgleich Kapazität'!$A60)*('Modell Kapazität'!$D$1:$AZ$1='Abgleich Kapazität'!L$40)*'Modell Kapazität'!$D$2:$AZ$35)+SUMPRODUCT(('Modell Kapazität'!$C$2:$C$35='Abgleich Kapazität'!$A60)*('Modell Kapazität'!$D$1:$AZ$1='Abgleich Kapazität'!L$39)*'Modell Kapazität'!$D$2:$AZ$35)+SUMPRODUCT(('Modell Kapazität'!$C$2:$C$35='Abgleich Kapazität'!$A60)*('Modell Kapazität'!$D$1:$AZ$1='Abgleich Kapazität'!L$38)*'Modell Kapazität'!$D$2:$AZ$35))/1000</f>
        <v>22.175999999999998</v>
      </c>
      <c r="M60" s="26">
        <f>(SUMPRODUCT(('Modell Kapazität'!$C$2:$C$35='Abgleich Kapazität'!$A60)*('Modell Kapazität'!$D$1:$AZ$1='Abgleich Kapazität'!M$40)*'Modell Kapazität'!$D$2:$AZ$35)+SUMPRODUCT(('Modell Kapazität'!$C$2:$C$35='Abgleich Kapazität'!$A60)*('Modell Kapazität'!$D$1:$AZ$1='Abgleich Kapazität'!M$39)*'Modell Kapazität'!$D$2:$AZ$35)+SUMPRODUCT(('Modell Kapazität'!$C$2:$C$35='Abgleich Kapazität'!$A60)*('Modell Kapazität'!$D$1:$AZ$1='Abgleich Kapazität'!M$38)*'Modell Kapazität'!$D$2:$AZ$35))/1000</f>
        <v>0</v>
      </c>
      <c r="N60" s="26">
        <f>(SUMPRODUCT(('Modell Kapazität'!$C$2:$C$35='Abgleich Kapazität'!$A60)*('Modell Kapazität'!$D$1:$AZ$1='Abgleich Kapazität'!N$40)*'Modell Kapazität'!$D$2:$AZ$35)+SUMPRODUCT(('Modell Kapazität'!$C$2:$C$35='Abgleich Kapazität'!$A60)*('Modell Kapazität'!$D$1:$AZ$1='Abgleich Kapazität'!N$39)*'Modell Kapazität'!$D$2:$AZ$35)+SUMPRODUCT(('Modell Kapazität'!$C$2:$C$35='Abgleich Kapazität'!$A60)*('Modell Kapazität'!$D$1:$AZ$1='Abgleich Kapazität'!N$38)*'Modell Kapazität'!$D$2:$AZ$35))/1000</f>
        <v>0</v>
      </c>
      <c r="O60" s="26">
        <f>(SUMPRODUCT(('Modell Kapazität'!$C$2:$C$35='Abgleich Kapazität'!$A60)*('Modell Kapazität'!$D$1:$AZ$1='Abgleich Kapazität'!O$40)*'Modell Kapazität'!$D$2:$AZ$35)+SUMPRODUCT(('Modell Kapazität'!$C$2:$C$35='Abgleich Kapazität'!$A60)*('Modell Kapazität'!$D$1:$AZ$1='Abgleich Kapazität'!O$39)*'Modell Kapazität'!$D$2:$AZ$35)+SUMPRODUCT(('Modell Kapazität'!$C$2:$C$35='Abgleich Kapazität'!$A60)*('Modell Kapazität'!$D$1:$AZ$1='Abgleich Kapazität'!O$38)*'Modell Kapazität'!$D$2:$AZ$35))/1000</f>
        <v>9.4570300000000014</v>
      </c>
      <c r="P60" s="26">
        <f>(SUMPRODUCT(('Modell Kapazität'!$C$2:$C$35='Abgleich Kapazität'!$A60)*('Modell Kapazität'!$D$1:$AZ$1='Abgleich Kapazität'!P$40)*'Modell Kapazität'!$D$2:$AZ$35)+SUMPRODUCT(('Modell Kapazität'!$C$2:$C$35='Abgleich Kapazität'!$A60)*('Modell Kapazität'!$D$1:$AZ$1='Abgleich Kapazität'!P$39)*'Modell Kapazität'!$D$2:$AZ$35)+SUMPRODUCT(('Modell Kapazität'!$C$2:$C$35='Abgleich Kapazität'!$A60)*('Modell Kapazität'!$D$1:$AZ$1='Abgleich Kapazität'!P$38)*'Modell Kapazität'!$D$2:$AZ$35))/1000</f>
        <v>21.526</v>
      </c>
      <c r="Q60" s="26">
        <f>(SUMPRODUCT(('Modell Kapazität'!$C$2:$C$35='Abgleich Kapazität'!$A60)*('Modell Kapazität'!$D$1:$AZ$1='Abgleich Kapazität'!Q$40)*'Modell Kapazität'!$D$2:$AZ$35)+SUMPRODUCT(('Modell Kapazität'!$C$2:$C$35='Abgleich Kapazität'!$A60)*('Modell Kapazität'!$D$1:$AZ$1='Abgleich Kapazität'!Q$39)*'Modell Kapazität'!$D$2:$AZ$35)+SUMPRODUCT(('Modell Kapazität'!$C$2:$C$35='Abgleich Kapazität'!$A60)*('Modell Kapazität'!$D$1:$AZ$1='Abgleich Kapazität'!Q$38)*'Modell Kapazität'!$D$2:$AZ$35))/1000</f>
        <v>0</v>
      </c>
      <c r="R60" s="26">
        <f>(SUMPRODUCT(('Modell Kapazität'!$C$2:$C$35='Abgleich Kapazität'!$A60)*('Modell Kapazität'!$D$1:$AZ$1='Abgleich Kapazität'!R$40)*'Modell Kapazität'!$D$2:$AZ$35)+SUMPRODUCT(('Modell Kapazität'!$C$2:$C$35='Abgleich Kapazität'!$A60)*('Modell Kapazität'!$D$1:$AZ$1='Abgleich Kapazität'!R$39)*'Modell Kapazität'!$D$2:$AZ$35)+SUMPRODUCT(('Modell Kapazität'!$C$2:$C$35='Abgleich Kapazität'!$A60)*('Modell Kapazität'!$D$1:$AZ$1='Abgleich Kapazität'!R$38)*'Modell Kapazität'!$D$2:$AZ$35))/1000</f>
        <v>4.6637388763100001</v>
      </c>
      <c r="S60" s="26">
        <f>(SUMPRODUCT(('Modell Kapazität'!$C$2:$C$35='Abgleich Kapazität'!$A60)*('Modell Kapazität'!$D$1:$AZ$1='Abgleich Kapazität'!S$40)*'Modell Kapazität'!$D$2:$AZ$35)+SUMPRODUCT(('Modell Kapazität'!$C$2:$C$35='Abgleich Kapazität'!$A60)*('Modell Kapazität'!$D$1:$AZ$1='Abgleich Kapazität'!S$39)*'Modell Kapazität'!$D$2:$AZ$35)+SUMPRODUCT(('Modell Kapazität'!$C$2:$C$35='Abgleich Kapazität'!$A60)*('Modell Kapazität'!$D$1:$AZ$1='Abgleich Kapazität'!S$38)*'Modell Kapazität'!$D$2:$AZ$35))/1000</f>
        <v>0</v>
      </c>
      <c r="T60" s="26">
        <f>(SUMPRODUCT(('Modell Kapazität'!$C$2:$C$35='Abgleich Kapazität'!$A60)*('Modell Kapazität'!$D$1:$AZ$1='Abgleich Kapazität'!T$40)*'Modell Kapazität'!$D$2:$AZ$35)+SUMPRODUCT(('Modell Kapazität'!$C$2:$C$35='Abgleich Kapazität'!$A60)*('Modell Kapazität'!$D$1:$AZ$1='Abgleich Kapazität'!T$39)*'Modell Kapazität'!$D$2:$AZ$35)+SUMPRODUCT(('Modell Kapazität'!$C$2:$C$35='Abgleich Kapazität'!$A60)*('Modell Kapazität'!$D$1:$AZ$1='Abgleich Kapazität'!T$38)*'Modell Kapazität'!$D$2:$AZ$35))/1000</f>
        <v>0</v>
      </c>
      <c r="U60" s="26">
        <f>(SUMPRODUCT(('Modell Kapazität'!$C$2:$C$35='Abgleich Kapazität'!$A60)*('Modell Kapazität'!$D$1:$AZ$1='Abgleich Kapazität'!U$40)*'Modell Kapazität'!$D$2:$AZ$35)+SUMPRODUCT(('Modell Kapazität'!$C$2:$C$35='Abgleich Kapazität'!$A60)*('Modell Kapazität'!$D$1:$AZ$1='Abgleich Kapazität'!U$39)*'Modell Kapazität'!$D$2:$AZ$35)+SUMPRODUCT(('Modell Kapazität'!$C$2:$C$35='Abgleich Kapazität'!$A60)*('Modell Kapazität'!$D$1:$AZ$1='Abgleich Kapazität'!U$38)*'Modell Kapazität'!$D$2:$AZ$35))/1000</f>
        <v>0</v>
      </c>
      <c r="V60" s="27">
        <f t="shared" si="76"/>
        <v>112.64518287631</v>
      </c>
    </row>
    <row r="61" spans="1:22" x14ac:dyDescent="0.25">
      <c r="A61" s="14" t="s">
        <v>28</v>
      </c>
      <c r="B61" s="57">
        <f t="shared" si="73"/>
        <v>1.554</v>
      </c>
      <c r="C61" s="58">
        <f>(SUMPRODUCT(('Modell Kapazität'!$C$2:$C$35='Abgleich Kapazität'!$A61)*('Modell Kapazität'!$D$1:$AZ$1='Abgleich Kapazität'!C$40)*'Modell Kapazität'!$D$2:$AZ$35)+SUMPRODUCT(('Modell Kapazität'!$C$2:$C$35='Abgleich Kapazität'!$A61)*('Modell Kapazität'!$D$1:$AZ$1='Abgleich Kapazität'!C$39)*'Modell Kapazität'!$D$2:$AZ$35)+SUMPRODUCT(('Modell Kapazität'!$C$2:$C$35='Abgleich Kapazität'!$A61)*('Modell Kapazität'!$D$1:$AZ$1='Abgleich Kapazität'!C$38)*'Modell Kapazität'!$D$2:$AZ$35))/1000</f>
        <v>0</v>
      </c>
      <c r="D61" s="58">
        <f t="shared" si="74"/>
        <v>1.554</v>
      </c>
      <c r="E61" s="58">
        <f>(SUMPRODUCT(('Modell Kapazität'!$C$2:$C$35='Abgleich Kapazität'!$A61)*('Modell Kapazität'!$D$1:$AZ$1='Abgleich Kapazität'!E$40)*'Modell Kapazität'!$D$2:$AZ$35)+SUMPRODUCT(('Modell Kapazität'!$C$2:$C$35='Abgleich Kapazität'!$A61)*('Modell Kapazität'!$D$1:$AZ$1='Abgleich Kapazität'!E$39)*'Modell Kapazität'!$D$2:$AZ$35)+SUMPRODUCT(('Modell Kapazität'!$C$2:$C$35='Abgleich Kapazität'!$A61)*('Modell Kapazität'!$D$1:$AZ$1='Abgleich Kapazität'!E$38)*'Modell Kapazität'!$D$2:$AZ$35))/1000</f>
        <v>0</v>
      </c>
      <c r="F61" s="58">
        <f>(SUMPRODUCT(('Modell Kapazität'!$C$2:$C$35='Abgleich Kapazität'!$A61)*('Modell Kapazität'!$D$1:$AZ$1='Abgleich Kapazität'!F$40)*'Modell Kapazität'!$D$2:$AZ$35)+SUMPRODUCT(('Modell Kapazität'!$C$2:$C$35='Abgleich Kapazität'!$A61)*('Modell Kapazität'!$D$1:$AZ$1='Abgleich Kapazität'!F$39)*'Modell Kapazität'!$D$2:$AZ$35)+SUMPRODUCT(('Modell Kapazität'!$C$2:$C$35='Abgleich Kapazität'!$A61)*('Modell Kapazität'!$D$1:$AZ$1='Abgleich Kapazität'!F$38)*'Modell Kapazität'!$D$2:$AZ$35))/1000</f>
        <v>1.554</v>
      </c>
      <c r="G61" s="58">
        <f>(SUMPRODUCT(('Modell Kapazität'!$C$2:$C$35='Abgleich Kapazität'!$A61)*('Modell Kapazität'!$D$1:$AZ$1='Abgleich Kapazität'!G$40)*'Modell Kapazität'!$D$2:$AZ$35)+SUMPRODUCT(('Modell Kapazität'!$C$2:$C$35='Abgleich Kapazität'!$A61)*('Modell Kapazität'!$D$1:$AZ$1='Abgleich Kapazität'!G$39)*'Modell Kapazität'!$D$2:$AZ$35)+SUMPRODUCT(('Modell Kapazität'!$C$2:$C$35='Abgleich Kapazität'!$A61)*('Modell Kapazität'!$D$1:$AZ$1='Abgleich Kapazität'!G$38)*'Modell Kapazität'!$D$2:$AZ$35))/1000</f>
        <v>0</v>
      </c>
      <c r="H61" s="58">
        <f>(SUMPRODUCT(('Modell Kapazität'!$C$2:$C$35='Abgleich Kapazität'!$A61)*('Modell Kapazität'!$D$1:$AZ$1='Abgleich Kapazität'!H$40)*'Modell Kapazität'!$D$2:$AZ$35)+SUMPRODUCT(('Modell Kapazität'!$C$2:$C$35='Abgleich Kapazität'!$A61)*('Modell Kapazität'!$D$1:$AZ$1='Abgleich Kapazität'!H$39)*'Modell Kapazität'!$D$2:$AZ$35)+SUMPRODUCT(('Modell Kapazität'!$C$2:$C$35='Abgleich Kapazität'!$A61)*('Modell Kapazität'!$D$1:$AZ$1='Abgleich Kapazität'!H$38)*'Modell Kapazität'!$D$2:$AZ$35))/1000</f>
        <v>0</v>
      </c>
      <c r="I61" s="58">
        <f>(SUMPRODUCT(('Modell Kapazität'!$C$2:$C$35='Abgleich Kapazität'!$A61)*('Modell Kapazität'!$D$1:$AZ$1='Abgleich Kapazität'!I$40)*'Modell Kapazität'!$D$2:$AZ$35)+SUMPRODUCT(('Modell Kapazität'!$C$2:$C$35='Abgleich Kapazität'!$A61)*('Modell Kapazität'!$D$1:$AZ$1='Abgleich Kapazität'!I$39)*'Modell Kapazität'!$D$2:$AZ$35)+SUMPRODUCT(('Modell Kapazität'!$C$2:$C$35='Abgleich Kapazität'!$A61)*('Modell Kapazität'!$D$1:$AZ$1='Abgleich Kapazität'!I$38)*'Modell Kapazität'!$D$2:$AZ$35))/1000</f>
        <v>0</v>
      </c>
      <c r="J61" s="58">
        <f>(SUMPRODUCT(('Modell Kapazität'!$C$2:$C$35='Abgleich Kapazität'!$A61)*('Modell Kapazität'!$D$1:$AZ$1='Abgleich Kapazität'!J$40)*'Modell Kapazität'!$D$2:$AZ$35)+SUMPRODUCT(('Modell Kapazität'!$C$2:$C$35='Abgleich Kapazität'!$A61)*('Modell Kapazität'!$D$1:$AZ$1='Abgleich Kapazität'!J$39)*'Modell Kapazität'!$D$2:$AZ$35)+SUMPRODUCT(('Modell Kapazität'!$C$2:$C$35='Abgleich Kapazität'!$A61)*('Modell Kapazität'!$D$1:$AZ$1='Abgleich Kapazität'!J$38)*'Modell Kapazität'!$D$2:$AZ$35))/1000</f>
        <v>0</v>
      </c>
      <c r="K61" s="59">
        <f t="shared" si="75"/>
        <v>1.85</v>
      </c>
      <c r="L61" s="58">
        <f>(SUMPRODUCT(('Modell Kapazität'!$C$2:$C$35='Abgleich Kapazität'!$A61)*('Modell Kapazität'!$D$1:$AZ$1='Abgleich Kapazität'!L$40)*'Modell Kapazität'!$D$2:$AZ$35)+SUMPRODUCT(('Modell Kapazität'!$C$2:$C$35='Abgleich Kapazität'!$A61)*('Modell Kapazität'!$D$1:$AZ$1='Abgleich Kapazität'!L$39)*'Modell Kapazität'!$D$2:$AZ$35)+SUMPRODUCT(('Modell Kapazität'!$C$2:$C$35='Abgleich Kapazität'!$A61)*('Modell Kapazität'!$D$1:$AZ$1='Abgleich Kapazität'!L$38)*'Modell Kapazität'!$D$2:$AZ$35))/1000</f>
        <v>1.25</v>
      </c>
      <c r="M61" s="58">
        <f>(SUMPRODUCT(('Modell Kapazität'!$C$2:$C$35='Abgleich Kapazität'!$A61)*('Modell Kapazität'!$D$1:$AZ$1='Abgleich Kapazität'!M$40)*'Modell Kapazität'!$D$2:$AZ$35)+SUMPRODUCT(('Modell Kapazität'!$C$2:$C$35='Abgleich Kapazität'!$A61)*('Modell Kapazität'!$D$1:$AZ$1='Abgleich Kapazität'!M$39)*'Modell Kapazität'!$D$2:$AZ$35)+SUMPRODUCT(('Modell Kapazität'!$C$2:$C$35='Abgleich Kapazität'!$A61)*('Modell Kapazität'!$D$1:$AZ$1='Abgleich Kapazität'!M$38)*'Modell Kapazität'!$D$2:$AZ$35))/1000</f>
        <v>0</v>
      </c>
      <c r="N61" s="58">
        <f>(SUMPRODUCT(('Modell Kapazität'!$C$2:$C$35='Abgleich Kapazität'!$A61)*('Modell Kapazität'!$D$1:$AZ$1='Abgleich Kapazität'!N$40)*'Modell Kapazität'!$D$2:$AZ$35)+SUMPRODUCT(('Modell Kapazität'!$C$2:$C$35='Abgleich Kapazität'!$A61)*('Modell Kapazität'!$D$1:$AZ$1='Abgleich Kapazität'!N$39)*'Modell Kapazität'!$D$2:$AZ$35)+SUMPRODUCT(('Modell Kapazität'!$C$2:$C$35='Abgleich Kapazität'!$A61)*('Modell Kapazität'!$D$1:$AZ$1='Abgleich Kapazität'!N$38)*'Modell Kapazität'!$D$2:$AZ$35))/1000</f>
        <v>0</v>
      </c>
      <c r="O61" s="58">
        <f>(SUMPRODUCT(('Modell Kapazität'!$C$2:$C$35='Abgleich Kapazität'!$A61)*('Modell Kapazität'!$D$1:$AZ$1='Abgleich Kapazität'!O$40)*'Modell Kapazität'!$D$2:$AZ$35)+SUMPRODUCT(('Modell Kapazität'!$C$2:$C$35='Abgleich Kapazität'!$A61)*('Modell Kapazität'!$D$1:$AZ$1='Abgleich Kapazität'!O$39)*'Modell Kapazität'!$D$2:$AZ$35)+SUMPRODUCT(('Modell Kapazität'!$C$2:$C$35='Abgleich Kapazität'!$A61)*('Modell Kapazität'!$D$1:$AZ$1='Abgleich Kapazität'!O$38)*'Modell Kapazität'!$D$2:$AZ$35))/1000</f>
        <v>0.6</v>
      </c>
      <c r="P61" s="58">
        <f>(SUMPRODUCT(('Modell Kapazität'!$C$2:$C$35='Abgleich Kapazität'!$A61)*('Modell Kapazität'!$D$1:$AZ$1='Abgleich Kapazität'!P$40)*'Modell Kapazität'!$D$2:$AZ$35)+SUMPRODUCT(('Modell Kapazität'!$C$2:$C$35='Abgleich Kapazität'!$A61)*('Modell Kapazität'!$D$1:$AZ$1='Abgleich Kapazität'!P$39)*'Modell Kapazität'!$D$2:$AZ$35)+SUMPRODUCT(('Modell Kapazität'!$C$2:$C$35='Abgleich Kapazität'!$A61)*('Modell Kapazität'!$D$1:$AZ$1='Abgleich Kapazität'!P$38)*'Modell Kapazität'!$D$2:$AZ$35))/1000</f>
        <v>0</v>
      </c>
      <c r="Q61" s="58">
        <f>(SUMPRODUCT(('Modell Kapazität'!$C$2:$C$35='Abgleich Kapazität'!$A61)*('Modell Kapazität'!$D$1:$AZ$1='Abgleich Kapazität'!Q$40)*'Modell Kapazität'!$D$2:$AZ$35)+SUMPRODUCT(('Modell Kapazität'!$C$2:$C$35='Abgleich Kapazität'!$A61)*('Modell Kapazität'!$D$1:$AZ$1='Abgleich Kapazität'!Q$39)*'Modell Kapazität'!$D$2:$AZ$35)+SUMPRODUCT(('Modell Kapazität'!$C$2:$C$35='Abgleich Kapazität'!$A61)*('Modell Kapazität'!$D$1:$AZ$1='Abgleich Kapazität'!Q$38)*'Modell Kapazität'!$D$2:$AZ$35))/1000</f>
        <v>0</v>
      </c>
      <c r="R61" s="58">
        <f>(SUMPRODUCT(('Modell Kapazität'!$C$2:$C$35='Abgleich Kapazität'!$A61)*('Modell Kapazität'!$D$1:$AZ$1='Abgleich Kapazität'!R$40)*'Modell Kapazität'!$D$2:$AZ$35)+SUMPRODUCT(('Modell Kapazität'!$C$2:$C$35='Abgleich Kapazität'!$A61)*('Modell Kapazität'!$D$1:$AZ$1='Abgleich Kapazität'!R$39)*'Modell Kapazität'!$D$2:$AZ$35)+SUMPRODUCT(('Modell Kapazität'!$C$2:$C$35='Abgleich Kapazität'!$A61)*('Modell Kapazität'!$D$1:$AZ$1='Abgleich Kapazität'!R$38)*'Modell Kapazität'!$D$2:$AZ$35))/1000</f>
        <v>0</v>
      </c>
      <c r="S61" s="58">
        <f>(SUMPRODUCT(('Modell Kapazität'!$C$2:$C$35='Abgleich Kapazität'!$A61)*('Modell Kapazität'!$D$1:$AZ$1='Abgleich Kapazität'!S$40)*'Modell Kapazität'!$D$2:$AZ$35)+SUMPRODUCT(('Modell Kapazität'!$C$2:$C$35='Abgleich Kapazität'!$A61)*('Modell Kapazität'!$D$1:$AZ$1='Abgleich Kapazität'!S$39)*'Modell Kapazität'!$D$2:$AZ$35)+SUMPRODUCT(('Modell Kapazität'!$C$2:$C$35='Abgleich Kapazität'!$A61)*('Modell Kapazität'!$D$1:$AZ$1='Abgleich Kapazität'!S$38)*'Modell Kapazität'!$D$2:$AZ$35))/1000</f>
        <v>0</v>
      </c>
      <c r="T61" s="58">
        <f>(SUMPRODUCT(('Modell Kapazität'!$C$2:$C$35='Abgleich Kapazität'!$A61)*('Modell Kapazität'!$D$1:$AZ$1='Abgleich Kapazität'!T$40)*'Modell Kapazität'!$D$2:$AZ$35)+SUMPRODUCT(('Modell Kapazität'!$C$2:$C$35='Abgleich Kapazität'!$A61)*('Modell Kapazität'!$D$1:$AZ$1='Abgleich Kapazität'!T$39)*'Modell Kapazität'!$D$2:$AZ$35)+SUMPRODUCT(('Modell Kapazität'!$C$2:$C$35='Abgleich Kapazität'!$A61)*('Modell Kapazität'!$D$1:$AZ$1='Abgleich Kapazität'!T$38)*'Modell Kapazität'!$D$2:$AZ$35))/1000</f>
        <v>0</v>
      </c>
      <c r="U61" s="58">
        <f>(SUMPRODUCT(('Modell Kapazität'!$C$2:$C$35='Abgleich Kapazität'!$A61)*('Modell Kapazität'!$D$1:$AZ$1='Abgleich Kapazität'!U$40)*'Modell Kapazität'!$D$2:$AZ$35)+SUMPRODUCT(('Modell Kapazität'!$C$2:$C$35='Abgleich Kapazität'!$A61)*('Modell Kapazität'!$D$1:$AZ$1='Abgleich Kapazität'!U$39)*'Modell Kapazität'!$D$2:$AZ$35)+SUMPRODUCT(('Modell Kapazität'!$C$2:$C$35='Abgleich Kapazität'!$A61)*('Modell Kapazität'!$D$1:$AZ$1='Abgleich Kapazität'!U$38)*'Modell Kapazität'!$D$2:$AZ$35))/1000</f>
        <v>0</v>
      </c>
      <c r="V61" s="59">
        <f t="shared" si="76"/>
        <v>3.4039999999999999</v>
      </c>
    </row>
    <row r="62" spans="1:22" x14ac:dyDescent="0.25">
      <c r="A62" s="14" t="s">
        <v>29</v>
      </c>
      <c r="B62" s="25">
        <f t="shared" si="73"/>
        <v>0.22</v>
      </c>
      <c r="C62" s="26">
        <f>(SUMPRODUCT(('Modell Kapazität'!$C$2:$C$35='Abgleich Kapazität'!$A62)*('Modell Kapazität'!$D$1:$AZ$1='Abgleich Kapazität'!C$40)*'Modell Kapazität'!$D$2:$AZ$35)+SUMPRODUCT(('Modell Kapazität'!$C$2:$C$35='Abgleich Kapazität'!$A62)*('Modell Kapazität'!$D$1:$AZ$1='Abgleich Kapazität'!C$39)*'Modell Kapazität'!$D$2:$AZ$35)+SUMPRODUCT(('Modell Kapazität'!$C$2:$C$35='Abgleich Kapazität'!$A62)*('Modell Kapazität'!$D$1:$AZ$1='Abgleich Kapazität'!C$38)*'Modell Kapazität'!$D$2:$AZ$35))/1000</f>
        <v>0</v>
      </c>
      <c r="D62" s="26">
        <f t="shared" si="74"/>
        <v>0.22</v>
      </c>
      <c r="E62" s="26">
        <f>(SUMPRODUCT(('Modell Kapazität'!$C$2:$C$35='Abgleich Kapazität'!$A62)*('Modell Kapazität'!$D$1:$AZ$1='Abgleich Kapazität'!E$40)*'Modell Kapazität'!$D$2:$AZ$35)+SUMPRODUCT(('Modell Kapazität'!$C$2:$C$35='Abgleich Kapazität'!$A62)*('Modell Kapazität'!$D$1:$AZ$1='Abgleich Kapazität'!E$39)*'Modell Kapazität'!$D$2:$AZ$35)+SUMPRODUCT(('Modell Kapazität'!$C$2:$C$35='Abgleich Kapazität'!$A62)*('Modell Kapazität'!$D$1:$AZ$1='Abgleich Kapazität'!E$38)*'Modell Kapazität'!$D$2:$AZ$35))/1000</f>
        <v>0.22</v>
      </c>
      <c r="F62" s="26">
        <f>(SUMPRODUCT(('Modell Kapazität'!$C$2:$C$35='Abgleich Kapazität'!$A62)*('Modell Kapazität'!$D$1:$AZ$1='Abgleich Kapazität'!F$40)*'Modell Kapazität'!$D$2:$AZ$35)+SUMPRODUCT(('Modell Kapazität'!$C$2:$C$35='Abgleich Kapazität'!$A62)*('Modell Kapazität'!$D$1:$AZ$1='Abgleich Kapazität'!F$39)*'Modell Kapazität'!$D$2:$AZ$35)+SUMPRODUCT(('Modell Kapazität'!$C$2:$C$35='Abgleich Kapazität'!$A62)*('Modell Kapazität'!$D$1:$AZ$1='Abgleich Kapazität'!F$38)*'Modell Kapazität'!$D$2:$AZ$35))/1000</f>
        <v>0</v>
      </c>
      <c r="G62" s="26">
        <f>(SUMPRODUCT(('Modell Kapazität'!$C$2:$C$35='Abgleich Kapazität'!$A62)*('Modell Kapazität'!$D$1:$AZ$1='Abgleich Kapazität'!G$40)*'Modell Kapazität'!$D$2:$AZ$35)+SUMPRODUCT(('Modell Kapazität'!$C$2:$C$35='Abgleich Kapazität'!$A62)*('Modell Kapazität'!$D$1:$AZ$1='Abgleich Kapazität'!G$39)*'Modell Kapazität'!$D$2:$AZ$35)+SUMPRODUCT(('Modell Kapazität'!$C$2:$C$35='Abgleich Kapazität'!$A62)*('Modell Kapazität'!$D$1:$AZ$1='Abgleich Kapazität'!G$38)*'Modell Kapazität'!$D$2:$AZ$35))/1000</f>
        <v>0</v>
      </c>
      <c r="H62" s="26">
        <f>(SUMPRODUCT(('Modell Kapazität'!$C$2:$C$35='Abgleich Kapazität'!$A62)*('Modell Kapazität'!$D$1:$AZ$1='Abgleich Kapazität'!H$40)*'Modell Kapazität'!$D$2:$AZ$35)+SUMPRODUCT(('Modell Kapazität'!$C$2:$C$35='Abgleich Kapazität'!$A62)*('Modell Kapazität'!$D$1:$AZ$1='Abgleich Kapazität'!H$39)*'Modell Kapazität'!$D$2:$AZ$35)+SUMPRODUCT(('Modell Kapazität'!$C$2:$C$35='Abgleich Kapazität'!$A62)*('Modell Kapazität'!$D$1:$AZ$1='Abgleich Kapazität'!H$38)*'Modell Kapazität'!$D$2:$AZ$35))/1000</f>
        <v>0</v>
      </c>
      <c r="I62" s="26">
        <f>(SUMPRODUCT(('Modell Kapazität'!$C$2:$C$35='Abgleich Kapazität'!$A62)*('Modell Kapazität'!$D$1:$AZ$1='Abgleich Kapazität'!I$40)*'Modell Kapazität'!$D$2:$AZ$35)+SUMPRODUCT(('Modell Kapazität'!$C$2:$C$35='Abgleich Kapazität'!$A62)*('Modell Kapazität'!$D$1:$AZ$1='Abgleich Kapazität'!I$39)*'Modell Kapazität'!$D$2:$AZ$35)+SUMPRODUCT(('Modell Kapazität'!$C$2:$C$35='Abgleich Kapazität'!$A62)*('Modell Kapazität'!$D$1:$AZ$1='Abgleich Kapazität'!I$38)*'Modell Kapazität'!$D$2:$AZ$35))/1000</f>
        <v>0</v>
      </c>
      <c r="J62" s="26">
        <f>(SUMPRODUCT(('Modell Kapazität'!$C$2:$C$35='Abgleich Kapazität'!$A62)*('Modell Kapazität'!$D$1:$AZ$1='Abgleich Kapazität'!J$40)*'Modell Kapazität'!$D$2:$AZ$35)+SUMPRODUCT(('Modell Kapazität'!$C$2:$C$35='Abgleich Kapazität'!$A62)*('Modell Kapazität'!$D$1:$AZ$1='Abgleich Kapazität'!J$39)*'Modell Kapazität'!$D$2:$AZ$35)+SUMPRODUCT(('Modell Kapazität'!$C$2:$C$35='Abgleich Kapazität'!$A62)*('Modell Kapazität'!$D$1:$AZ$1='Abgleich Kapazität'!J$38)*'Modell Kapazität'!$D$2:$AZ$35))/1000</f>
        <v>0</v>
      </c>
      <c r="K62" s="27">
        <f t="shared" si="75"/>
        <v>0.98145939389000003</v>
      </c>
      <c r="L62" s="26">
        <f>(SUMPRODUCT(('Modell Kapazität'!$C$2:$C$35='Abgleich Kapazität'!$A62)*('Modell Kapazität'!$D$1:$AZ$1='Abgleich Kapazität'!L$40)*'Modell Kapazität'!$D$2:$AZ$35)+SUMPRODUCT(('Modell Kapazität'!$C$2:$C$35='Abgleich Kapazität'!$A62)*('Modell Kapazität'!$D$1:$AZ$1='Abgleich Kapazität'!L$39)*'Modell Kapazität'!$D$2:$AZ$35)+SUMPRODUCT(('Modell Kapazität'!$C$2:$C$35='Abgleich Kapazität'!$A62)*('Modell Kapazität'!$D$1:$AZ$1='Abgleich Kapazität'!L$38)*'Modell Kapazität'!$D$2:$AZ$35))/1000</f>
        <v>0.82991999999999999</v>
      </c>
      <c r="M62" s="26">
        <f>(SUMPRODUCT(('Modell Kapazität'!$C$2:$C$35='Abgleich Kapazität'!$A62)*('Modell Kapazität'!$D$1:$AZ$1='Abgleich Kapazität'!M$40)*'Modell Kapazität'!$D$2:$AZ$35)+SUMPRODUCT(('Modell Kapazität'!$C$2:$C$35='Abgleich Kapazität'!$A62)*('Modell Kapazität'!$D$1:$AZ$1='Abgleich Kapazität'!M$39)*'Modell Kapazität'!$D$2:$AZ$35)+SUMPRODUCT(('Modell Kapazität'!$C$2:$C$35='Abgleich Kapazität'!$A62)*('Modell Kapazität'!$D$1:$AZ$1='Abgleich Kapazität'!M$38)*'Modell Kapazität'!$D$2:$AZ$35))/1000</f>
        <v>0</v>
      </c>
      <c r="N62" s="26">
        <f>(SUMPRODUCT(('Modell Kapazität'!$C$2:$C$35='Abgleich Kapazität'!$A62)*('Modell Kapazität'!$D$1:$AZ$1='Abgleich Kapazität'!N$40)*'Modell Kapazität'!$D$2:$AZ$35)+SUMPRODUCT(('Modell Kapazität'!$C$2:$C$35='Abgleich Kapazität'!$A62)*('Modell Kapazität'!$D$1:$AZ$1='Abgleich Kapazität'!N$39)*'Modell Kapazität'!$D$2:$AZ$35)+SUMPRODUCT(('Modell Kapazität'!$C$2:$C$35='Abgleich Kapazität'!$A62)*('Modell Kapazität'!$D$1:$AZ$1='Abgleich Kapazität'!N$38)*'Modell Kapazität'!$D$2:$AZ$35))/1000</f>
        <v>0</v>
      </c>
      <c r="O62" s="26">
        <f>(SUMPRODUCT(('Modell Kapazität'!$C$2:$C$35='Abgleich Kapazität'!$A62)*('Modell Kapazität'!$D$1:$AZ$1='Abgleich Kapazität'!O$40)*'Modell Kapazität'!$D$2:$AZ$35)+SUMPRODUCT(('Modell Kapazität'!$C$2:$C$35='Abgleich Kapazität'!$A62)*('Modell Kapazität'!$D$1:$AZ$1='Abgleich Kapazität'!O$39)*'Modell Kapazität'!$D$2:$AZ$35)+SUMPRODUCT(('Modell Kapazität'!$C$2:$C$35='Abgleich Kapazität'!$A62)*('Modell Kapazität'!$D$1:$AZ$1='Abgleich Kapazität'!O$38)*'Modell Kapazität'!$D$2:$AZ$35))/1000</f>
        <v>0.12654545450000002</v>
      </c>
      <c r="P62" s="26">
        <f>(SUMPRODUCT(('Modell Kapazität'!$C$2:$C$35='Abgleich Kapazität'!$A62)*('Modell Kapazität'!$D$1:$AZ$1='Abgleich Kapazität'!P$40)*'Modell Kapazität'!$D$2:$AZ$35)+SUMPRODUCT(('Modell Kapazität'!$C$2:$C$35='Abgleich Kapazität'!$A62)*('Modell Kapazität'!$D$1:$AZ$1='Abgleich Kapazität'!P$39)*'Modell Kapazität'!$D$2:$AZ$35)+SUMPRODUCT(('Modell Kapazität'!$C$2:$C$35='Abgleich Kapazität'!$A62)*('Modell Kapazität'!$D$1:$AZ$1='Abgleich Kapazität'!P$38)*'Modell Kapazität'!$D$2:$AZ$35))/1000</f>
        <v>1.03030303E-2</v>
      </c>
      <c r="Q62" s="26">
        <f>(SUMPRODUCT(('Modell Kapazität'!$C$2:$C$35='Abgleich Kapazität'!$A62)*('Modell Kapazität'!$D$1:$AZ$1='Abgleich Kapazität'!Q$40)*'Modell Kapazität'!$D$2:$AZ$35)+SUMPRODUCT(('Modell Kapazität'!$C$2:$C$35='Abgleich Kapazität'!$A62)*('Modell Kapazität'!$D$1:$AZ$1='Abgleich Kapazität'!Q$39)*'Modell Kapazität'!$D$2:$AZ$35)+SUMPRODUCT(('Modell Kapazität'!$C$2:$C$35='Abgleich Kapazität'!$A62)*('Modell Kapazität'!$D$1:$AZ$1='Abgleich Kapazität'!Q$38)*'Modell Kapazität'!$D$2:$AZ$35))/1000</f>
        <v>0</v>
      </c>
      <c r="R62" s="26">
        <f>(SUMPRODUCT(('Modell Kapazität'!$C$2:$C$35='Abgleich Kapazität'!$A62)*('Modell Kapazität'!$D$1:$AZ$1='Abgleich Kapazität'!R$40)*'Modell Kapazität'!$D$2:$AZ$35)+SUMPRODUCT(('Modell Kapazität'!$C$2:$C$35='Abgleich Kapazität'!$A62)*('Modell Kapazität'!$D$1:$AZ$1='Abgleich Kapazität'!R$39)*'Modell Kapazität'!$D$2:$AZ$35)+SUMPRODUCT(('Modell Kapazität'!$C$2:$C$35='Abgleich Kapazität'!$A62)*('Modell Kapazität'!$D$1:$AZ$1='Abgleich Kapazität'!R$38)*'Modell Kapazität'!$D$2:$AZ$35))/1000</f>
        <v>1.4690909089999999E-2</v>
      </c>
      <c r="S62" s="26">
        <f>(SUMPRODUCT(('Modell Kapazität'!$C$2:$C$35='Abgleich Kapazität'!$A62)*('Modell Kapazität'!$D$1:$AZ$1='Abgleich Kapazität'!S$40)*'Modell Kapazität'!$D$2:$AZ$35)+SUMPRODUCT(('Modell Kapazität'!$C$2:$C$35='Abgleich Kapazität'!$A62)*('Modell Kapazität'!$D$1:$AZ$1='Abgleich Kapazität'!S$39)*'Modell Kapazität'!$D$2:$AZ$35)+SUMPRODUCT(('Modell Kapazität'!$C$2:$C$35='Abgleich Kapazität'!$A62)*('Modell Kapazität'!$D$1:$AZ$1='Abgleich Kapazität'!S$38)*'Modell Kapazität'!$D$2:$AZ$35))/1000</f>
        <v>0</v>
      </c>
      <c r="T62" s="26">
        <f>(SUMPRODUCT(('Modell Kapazität'!$C$2:$C$35='Abgleich Kapazität'!$A62)*('Modell Kapazität'!$D$1:$AZ$1='Abgleich Kapazität'!T$40)*'Modell Kapazität'!$D$2:$AZ$35)+SUMPRODUCT(('Modell Kapazität'!$C$2:$C$35='Abgleich Kapazität'!$A62)*('Modell Kapazität'!$D$1:$AZ$1='Abgleich Kapazität'!T$39)*'Modell Kapazität'!$D$2:$AZ$35)+SUMPRODUCT(('Modell Kapazität'!$C$2:$C$35='Abgleich Kapazität'!$A62)*('Modell Kapazität'!$D$1:$AZ$1='Abgleich Kapazität'!T$38)*'Modell Kapazität'!$D$2:$AZ$35))/1000</f>
        <v>0</v>
      </c>
      <c r="U62" s="26">
        <f>(SUMPRODUCT(('Modell Kapazität'!$C$2:$C$35='Abgleich Kapazität'!$A62)*('Modell Kapazität'!$D$1:$AZ$1='Abgleich Kapazität'!U$40)*'Modell Kapazität'!$D$2:$AZ$35)+SUMPRODUCT(('Modell Kapazität'!$C$2:$C$35='Abgleich Kapazität'!$A62)*('Modell Kapazität'!$D$1:$AZ$1='Abgleich Kapazität'!U$39)*'Modell Kapazität'!$D$2:$AZ$35)+SUMPRODUCT(('Modell Kapazität'!$C$2:$C$35='Abgleich Kapazität'!$A62)*('Modell Kapazität'!$D$1:$AZ$1='Abgleich Kapazität'!U$38)*'Modell Kapazität'!$D$2:$AZ$35))/1000</f>
        <v>0</v>
      </c>
      <c r="V62" s="27">
        <f t="shared" si="76"/>
        <v>1.20145939389</v>
      </c>
    </row>
    <row r="63" spans="1:22" x14ac:dyDescent="0.25">
      <c r="A63" s="14" t="s">
        <v>30</v>
      </c>
      <c r="B63" s="57">
        <f t="shared" si="73"/>
        <v>1.774</v>
      </c>
      <c r="C63" s="58">
        <f>(SUMPRODUCT(('Modell Kapazität'!$C$2:$C$35='Abgleich Kapazität'!$A63)*('Modell Kapazität'!$D$1:$AZ$1='Abgleich Kapazität'!C$40)*'Modell Kapazität'!$D$2:$AZ$35)+SUMPRODUCT(('Modell Kapazität'!$C$2:$C$35='Abgleich Kapazität'!$A63)*('Modell Kapazität'!$D$1:$AZ$1='Abgleich Kapazität'!C$39)*'Modell Kapazität'!$D$2:$AZ$35)+SUMPRODUCT(('Modell Kapazität'!$C$2:$C$35='Abgleich Kapazität'!$A63)*('Modell Kapazität'!$D$1:$AZ$1='Abgleich Kapazität'!C$38)*'Modell Kapazität'!$D$2:$AZ$35))/1000</f>
        <v>0</v>
      </c>
      <c r="D63" s="58">
        <f t="shared" si="74"/>
        <v>1.774</v>
      </c>
      <c r="E63" s="58">
        <f>(SUMPRODUCT(('Modell Kapazität'!$C$2:$C$35='Abgleich Kapazität'!$A63)*('Modell Kapazität'!$D$1:$AZ$1='Abgleich Kapazität'!E$40)*'Modell Kapazität'!$D$2:$AZ$35)+SUMPRODUCT(('Modell Kapazität'!$C$2:$C$35='Abgleich Kapazität'!$A63)*('Modell Kapazität'!$D$1:$AZ$1='Abgleich Kapazität'!E$39)*'Modell Kapazität'!$D$2:$AZ$35)+SUMPRODUCT(('Modell Kapazität'!$C$2:$C$35='Abgleich Kapazität'!$A63)*('Modell Kapazität'!$D$1:$AZ$1='Abgleich Kapazität'!E$38)*'Modell Kapazität'!$D$2:$AZ$35))/1000</f>
        <v>1.284</v>
      </c>
      <c r="F63" s="58">
        <f>(SUMPRODUCT(('Modell Kapazität'!$C$2:$C$35='Abgleich Kapazität'!$A63)*('Modell Kapazität'!$D$1:$AZ$1='Abgleich Kapazität'!F$40)*'Modell Kapazität'!$D$2:$AZ$35)+SUMPRODUCT(('Modell Kapazität'!$C$2:$C$35='Abgleich Kapazität'!$A63)*('Modell Kapazität'!$D$1:$AZ$1='Abgleich Kapazität'!F$39)*'Modell Kapazität'!$D$2:$AZ$35)+SUMPRODUCT(('Modell Kapazität'!$C$2:$C$35='Abgleich Kapazität'!$A63)*('Modell Kapazität'!$D$1:$AZ$1='Abgleich Kapazität'!F$38)*'Modell Kapazität'!$D$2:$AZ$35))/1000</f>
        <v>0.49</v>
      </c>
      <c r="G63" s="58">
        <f>(SUMPRODUCT(('Modell Kapazität'!$C$2:$C$35='Abgleich Kapazität'!$A63)*('Modell Kapazität'!$D$1:$AZ$1='Abgleich Kapazität'!G$40)*'Modell Kapazität'!$D$2:$AZ$35)+SUMPRODUCT(('Modell Kapazität'!$C$2:$C$35='Abgleich Kapazität'!$A63)*('Modell Kapazität'!$D$1:$AZ$1='Abgleich Kapazität'!G$39)*'Modell Kapazität'!$D$2:$AZ$35)+SUMPRODUCT(('Modell Kapazität'!$C$2:$C$35='Abgleich Kapazität'!$A63)*('Modell Kapazität'!$D$1:$AZ$1='Abgleich Kapazität'!G$38)*'Modell Kapazität'!$D$2:$AZ$35))/1000</f>
        <v>0</v>
      </c>
      <c r="H63" s="58">
        <f>(SUMPRODUCT(('Modell Kapazität'!$C$2:$C$35='Abgleich Kapazität'!$A63)*('Modell Kapazität'!$D$1:$AZ$1='Abgleich Kapazität'!H$40)*'Modell Kapazität'!$D$2:$AZ$35)+SUMPRODUCT(('Modell Kapazität'!$C$2:$C$35='Abgleich Kapazität'!$A63)*('Modell Kapazität'!$D$1:$AZ$1='Abgleich Kapazität'!H$39)*'Modell Kapazität'!$D$2:$AZ$35)+SUMPRODUCT(('Modell Kapazität'!$C$2:$C$35='Abgleich Kapazität'!$A63)*('Modell Kapazität'!$D$1:$AZ$1='Abgleich Kapazität'!H$38)*'Modell Kapazität'!$D$2:$AZ$35))/1000</f>
        <v>0</v>
      </c>
      <c r="I63" s="58">
        <f>(SUMPRODUCT(('Modell Kapazität'!$C$2:$C$35='Abgleich Kapazität'!$A63)*('Modell Kapazität'!$D$1:$AZ$1='Abgleich Kapazität'!I$40)*'Modell Kapazität'!$D$2:$AZ$35)+SUMPRODUCT(('Modell Kapazität'!$C$2:$C$35='Abgleich Kapazität'!$A63)*('Modell Kapazität'!$D$1:$AZ$1='Abgleich Kapazität'!I$39)*'Modell Kapazität'!$D$2:$AZ$35)+SUMPRODUCT(('Modell Kapazität'!$C$2:$C$35='Abgleich Kapazität'!$A63)*('Modell Kapazität'!$D$1:$AZ$1='Abgleich Kapazität'!I$38)*'Modell Kapazität'!$D$2:$AZ$35))/1000</f>
        <v>0</v>
      </c>
      <c r="J63" s="58">
        <f>(SUMPRODUCT(('Modell Kapazität'!$C$2:$C$35='Abgleich Kapazität'!$A63)*('Modell Kapazität'!$D$1:$AZ$1='Abgleich Kapazität'!J$40)*'Modell Kapazität'!$D$2:$AZ$35)+SUMPRODUCT(('Modell Kapazität'!$C$2:$C$35='Abgleich Kapazität'!$A63)*('Modell Kapazität'!$D$1:$AZ$1='Abgleich Kapazität'!J$39)*'Modell Kapazität'!$D$2:$AZ$35)+SUMPRODUCT(('Modell Kapazität'!$C$2:$C$35='Abgleich Kapazität'!$A63)*('Modell Kapazität'!$D$1:$AZ$1='Abgleich Kapazität'!J$38)*'Modell Kapazität'!$D$2:$AZ$35))/1000</f>
        <v>0</v>
      </c>
      <c r="K63" s="59">
        <f t="shared" si="75"/>
        <v>0.69377466666699994</v>
      </c>
      <c r="L63" s="58">
        <f>(SUMPRODUCT(('Modell Kapazität'!$C$2:$C$35='Abgleich Kapazität'!$A63)*('Modell Kapazität'!$D$1:$AZ$1='Abgleich Kapazität'!L$40)*'Modell Kapazität'!$D$2:$AZ$35)+SUMPRODUCT(('Modell Kapazität'!$C$2:$C$35='Abgleich Kapazität'!$A63)*('Modell Kapazität'!$D$1:$AZ$1='Abgleich Kapazität'!L$39)*'Modell Kapazität'!$D$2:$AZ$35)+SUMPRODUCT(('Modell Kapazität'!$C$2:$C$35='Abgleich Kapazität'!$A63)*('Modell Kapazität'!$D$1:$AZ$1='Abgleich Kapazität'!L$38)*'Modell Kapazität'!$D$2:$AZ$35))/1000</f>
        <v>0.61460799999999993</v>
      </c>
      <c r="M63" s="58">
        <f>(SUMPRODUCT(('Modell Kapazität'!$C$2:$C$35='Abgleich Kapazität'!$A63)*('Modell Kapazität'!$D$1:$AZ$1='Abgleich Kapazität'!M$40)*'Modell Kapazität'!$D$2:$AZ$35)+SUMPRODUCT(('Modell Kapazität'!$C$2:$C$35='Abgleich Kapazität'!$A63)*('Modell Kapazität'!$D$1:$AZ$1='Abgleich Kapazität'!M$39)*'Modell Kapazität'!$D$2:$AZ$35)+SUMPRODUCT(('Modell Kapazität'!$C$2:$C$35='Abgleich Kapazität'!$A63)*('Modell Kapazität'!$D$1:$AZ$1='Abgleich Kapazität'!M$38)*'Modell Kapazität'!$D$2:$AZ$35))/1000</f>
        <v>0</v>
      </c>
      <c r="N63" s="58">
        <f>(SUMPRODUCT(('Modell Kapazität'!$C$2:$C$35='Abgleich Kapazität'!$A63)*('Modell Kapazität'!$D$1:$AZ$1='Abgleich Kapazität'!N$40)*'Modell Kapazität'!$D$2:$AZ$35)+SUMPRODUCT(('Modell Kapazität'!$C$2:$C$35='Abgleich Kapazität'!$A63)*('Modell Kapazität'!$D$1:$AZ$1='Abgleich Kapazität'!N$39)*'Modell Kapazität'!$D$2:$AZ$35)+SUMPRODUCT(('Modell Kapazität'!$C$2:$C$35='Abgleich Kapazität'!$A63)*('Modell Kapazität'!$D$1:$AZ$1='Abgleich Kapazität'!N$38)*'Modell Kapazität'!$D$2:$AZ$35))/1000</f>
        <v>0</v>
      </c>
      <c r="O63" s="58">
        <f>(SUMPRODUCT(('Modell Kapazität'!$C$2:$C$35='Abgleich Kapazität'!$A63)*('Modell Kapazität'!$D$1:$AZ$1='Abgleich Kapazität'!O$40)*'Modell Kapazität'!$D$2:$AZ$35)+SUMPRODUCT(('Modell Kapazität'!$C$2:$C$35='Abgleich Kapazität'!$A63)*('Modell Kapazität'!$D$1:$AZ$1='Abgleich Kapazität'!O$39)*'Modell Kapazität'!$D$2:$AZ$35)+SUMPRODUCT(('Modell Kapazität'!$C$2:$C$35='Abgleich Kapazität'!$A63)*('Modell Kapazität'!$D$1:$AZ$1='Abgleich Kapazität'!O$38)*'Modell Kapazität'!$D$2:$AZ$35))/1000</f>
        <v>6.3E-2</v>
      </c>
      <c r="P63" s="58">
        <f>(SUMPRODUCT(('Modell Kapazität'!$C$2:$C$35='Abgleich Kapazität'!$A63)*('Modell Kapazität'!$D$1:$AZ$1='Abgleich Kapazität'!P$40)*'Modell Kapazität'!$D$2:$AZ$35)+SUMPRODUCT(('Modell Kapazität'!$C$2:$C$35='Abgleich Kapazität'!$A63)*('Modell Kapazität'!$D$1:$AZ$1='Abgleich Kapazität'!P$39)*'Modell Kapazität'!$D$2:$AZ$35)+SUMPRODUCT(('Modell Kapazität'!$C$2:$C$35='Abgleich Kapazität'!$A63)*('Modell Kapazität'!$D$1:$AZ$1='Abgleich Kapazität'!P$38)*'Modell Kapazität'!$D$2:$AZ$35))/1000</f>
        <v>7.0000000000000001E-3</v>
      </c>
      <c r="Q63" s="58">
        <f>(SUMPRODUCT(('Modell Kapazität'!$C$2:$C$35='Abgleich Kapazität'!$A63)*('Modell Kapazität'!$D$1:$AZ$1='Abgleich Kapazität'!Q$40)*'Modell Kapazität'!$D$2:$AZ$35)+SUMPRODUCT(('Modell Kapazität'!$C$2:$C$35='Abgleich Kapazität'!$A63)*('Modell Kapazität'!$D$1:$AZ$1='Abgleich Kapazität'!Q$39)*'Modell Kapazität'!$D$2:$AZ$35)+SUMPRODUCT(('Modell Kapazität'!$C$2:$C$35='Abgleich Kapazität'!$A63)*('Modell Kapazität'!$D$1:$AZ$1='Abgleich Kapazität'!Q$38)*'Modell Kapazität'!$D$2:$AZ$35))/1000</f>
        <v>0</v>
      </c>
      <c r="R63" s="58">
        <f>(SUMPRODUCT(('Modell Kapazität'!$C$2:$C$35='Abgleich Kapazität'!$A63)*('Modell Kapazität'!$D$1:$AZ$1='Abgleich Kapazität'!R$40)*'Modell Kapazität'!$D$2:$AZ$35)+SUMPRODUCT(('Modell Kapazität'!$C$2:$C$35='Abgleich Kapazität'!$A63)*('Modell Kapazität'!$D$1:$AZ$1='Abgleich Kapazität'!R$39)*'Modell Kapazität'!$D$2:$AZ$35)+SUMPRODUCT(('Modell Kapazität'!$C$2:$C$35='Abgleich Kapazität'!$A63)*('Modell Kapazität'!$D$1:$AZ$1='Abgleich Kapazität'!R$38)*'Modell Kapazität'!$D$2:$AZ$35))/1000</f>
        <v>9.166666666999999E-3</v>
      </c>
      <c r="S63" s="58">
        <f>(SUMPRODUCT(('Modell Kapazität'!$C$2:$C$35='Abgleich Kapazität'!$A63)*('Modell Kapazität'!$D$1:$AZ$1='Abgleich Kapazität'!S$40)*'Modell Kapazität'!$D$2:$AZ$35)+SUMPRODUCT(('Modell Kapazität'!$C$2:$C$35='Abgleich Kapazität'!$A63)*('Modell Kapazität'!$D$1:$AZ$1='Abgleich Kapazität'!S$39)*'Modell Kapazität'!$D$2:$AZ$35)+SUMPRODUCT(('Modell Kapazität'!$C$2:$C$35='Abgleich Kapazität'!$A63)*('Modell Kapazität'!$D$1:$AZ$1='Abgleich Kapazität'!S$38)*'Modell Kapazität'!$D$2:$AZ$35))/1000</f>
        <v>0</v>
      </c>
      <c r="T63" s="58">
        <f>(SUMPRODUCT(('Modell Kapazität'!$C$2:$C$35='Abgleich Kapazität'!$A63)*('Modell Kapazität'!$D$1:$AZ$1='Abgleich Kapazität'!T$40)*'Modell Kapazität'!$D$2:$AZ$35)+SUMPRODUCT(('Modell Kapazität'!$C$2:$C$35='Abgleich Kapazität'!$A63)*('Modell Kapazität'!$D$1:$AZ$1='Abgleich Kapazität'!T$39)*'Modell Kapazität'!$D$2:$AZ$35)+SUMPRODUCT(('Modell Kapazität'!$C$2:$C$35='Abgleich Kapazität'!$A63)*('Modell Kapazität'!$D$1:$AZ$1='Abgleich Kapazität'!T$38)*'Modell Kapazität'!$D$2:$AZ$35))/1000</f>
        <v>0</v>
      </c>
      <c r="U63" s="58">
        <f>(SUMPRODUCT(('Modell Kapazität'!$C$2:$C$35='Abgleich Kapazität'!$A63)*('Modell Kapazität'!$D$1:$AZ$1='Abgleich Kapazität'!U$40)*'Modell Kapazität'!$D$2:$AZ$35)+SUMPRODUCT(('Modell Kapazität'!$C$2:$C$35='Abgleich Kapazität'!$A63)*('Modell Kapazität'!$D$1:$AZ$1='Abgleich Kapazität'!U$39)*'Modell Kapazität'!$D$2:$AZ$35)+SUMPRODUCT(('Modell Kapazität'!$C$2:$C$35='Abgleich Kapazität'!$A63)*('Modell Kapazität'!$D$1:$AZ$1='Abgleich Kapazität'!U$38)*'Modell Kapazität'!$D$2:$AZ$35))/1000</f>
        <v>0</v>
      </c>
      <c r="V63" s="59">
        <f t="shared" si="76"/>
        <v>2.4677746666670002</v>
      </c>
    </row>
    <row r="64" spans="1:22" x14ac:dyDescent="0.25">
      <c r="A64" s="14" t="s">
        <v>31</v>
      </c>
      <c r="B64" s="25">
        <f t="shared" si="73"/>
        <v>18.733057599999999</v>
      </c>
      <c r="C64" s="26">
        <f>(SUMPRODUCT(('Modell Kapazität'!$C$2:$C$35='Abgleich Kapazität'!$A64)*('Modell Kapazität'!$D$1:$AZ$1='Abgleich Kapazität'!C$40)*'Modell Kapazität'!$D$2:$AZ$35)+SUMPRODUCT(('Modell Kapazität'!$C$2:$C$35='Abgleich Kapazität'!$A64)*('Modell Kapazität'!$D$1:$AZ$1='Abgleich Kapazität'!C$39)*'Modell Kapazität'!$D$2:$AZ$35)+SUMPRODUCT(('Modell Kapazität'!$C$2:$C$35='Abgleich Kapazität'!$A64)*('Modell Kapazität'!$D$1:$AZ$1='Abgleich Kapazität'!C$38)*'Modell Kapazität'!$D$2:$AZ$35))/1000</f>
        <v>0.49</v>
      </c>
      <c r="D64" s="26">
        <f t="shared" si="74"/>
        <v>18.2430576</v>
      </c>
      <c r="E64" s="26">
        <f>(SUMPRODUCT(('Modell Kapazität'!$C$2:$C$35='Abgleich Kapazität'!$A64)*('Modell Kapazität'!$D$1:$AZ$1='Abgleich Kapazität'!E$40)*'Modell Kapazität'!$D$2:$AZ$35)+SUMPRODUCT(('Modell Kapazität'!$C$2:$C$35='Abgleich Kapazität'!$A64)*('Modell Kapazität'!$D$1:$AZ$1='Abgleich Kapazität'!E$39)*'Modell Kapazität'!$D$2:$AZ$35)+SUMPRODUCT(('Modell Kapazität'!$C$2:$C$35='Abgleich Kapazität'!$A64)*('Modell Kapazität'!$D$1:$AZ$1='Abgleich Kapazität'!E$38)*'Modell Kapazität'!$D$2:$AZ$35))/1000</f>
        <v>0</v>
      </c>
      <c r="F64" s="26">
        <f>(SUMPRODUCT(('Modell Kapazität'!$C$2:$C$35='Abgleich Kapazität'!$A64)*('Modell Kapazität'!$D$1:$AZ$1='Abgleich Kapazität'!F$40)*'Modell Kapazität'!$D$2:$AZ$35)+SUMPRODUCT(('Modell Kapazität'!$C$2:$C$35='Abgleich Kapazität'!$A64)*('Modell Kapazität'!$D$1:$AZ$1='Abgleich Kapazität'!F$39)*'Modell Kapazität'!$D$2:$AZ$35)+SUMPRODUCT(('Modell Kapazität'!$C$2:$C$35='Abgleich Kapazität'!$A64)*('Modell Kapazität'!$D$1:$AZ$1='Abgleich Kapazität'!F$38)*'Modell Kapazität'!$D$2:$AZ$35))/1000</f>
        <v>13.454057600000001</v>
      </c>
      <c r="G64" s="26">
        <f>(SUMPRODUCT(('Modell Kapazität'!$C$2:$C$35='Abgleich Kapazität'!$A64)*('Modell Kapazität'!$D$1:$AZ$1='Abgleich Kapazität'!G$40)*'Modell Kapazität'!$D$2:$AZ$35)+SUMPRODUCT(('Modell Kapazität'!$C$2:$C$35='Abgleich Kapazität'!$A64)*('Modell Kapazität'!$D$1:$AZ$1='Abgleich Kapazität'!G$39)*'Modell Kapazität'!$D$2:$AZ$35)+SUMPRODUCT(('Modell Kapazität'!$C$2:$C$35='Abgleich Kapazität'!$A64)*('Modell Kapazität'!$D$1:$AZ$1='Abgleich Kapazität'!G$38)*'Modell Kapazität'!$D$2:$AZ$35))/1000</f>
        <v>4.6449999999999996</v>
      </c>
      <c r="H64" s="26">
        <f>(SUMPRODUCT(('Modell Kapazität'!$C$2:$C$35='Abgleich Kapazität'!$A64)*('Modell Kapazität'!$D$1:$AZ$1='Abgleich Kapazität'!H$40)*'Modell Kapazität'!$D$2:$AZ$35)+SUMPRODUCT(('Modell Kapazität'!$C$2:$C$35='Abgleich Kapazität'!$A64)*('Modell Kapazität'!$D$1:$AZ$1='Abgleich Kapazität'!H$39)*'Modell Kapazität'!$D$2:$AZ$35)+SUMPRODUCT(('Modell Kapazität'!$C$2:$C$35='Abgleich Kapazität'!$A64)*('Modell Kapazität'!$D$1:$AZ$1='Abgleich Kapazität'!H$38)*'Modell Kapazität'!$D$2:$AZ$35))/1000</f>
        <v>0</v>
      </c>
      <c r="I64" s="26">
        <f>(SUMPRODUCT(('Modell Kapazität'!$C$2:$C$35='Abgleich Kapazität'!$A64)*('Modell Kapazität'!$D$1:$AZ$1='Abgleich Kapazität'!I$40)*'Modell Kapazität'!$D$2:$AZ$35)+SUMPRODUCT(('Modell Kapazität'!$C$2:$C$35='Abgleich Kapazität'!$A64)*('Modell Kapazität'!$D$1:$AZ$1='Abgleich Kapazität'!I$39)*'Modell Kapazität'!$D$2:$AZ$35)+SUMPRODUCT(('Modell Kapazität'!$C$2:$C$35='Abgleich Kapazität'!$A64)*('Modell Kapazität'!$D$1:$AZ$1='Abgleich Kapazität'!I$38)*'Modell Kapazität'!$D$2:$AZ$35))/1000</f>
        <v>0</v>
      </c>
      <c r="J64" s="26">
        <f>(SUMPRODUCT(('Modell Kapazität'!$C$2:$C$35='Abgleich Kapazität'!$A64)*('Modell Kapazität'!$D$1:$AZ$1='Abgleich Kapazität'!J$40)*'Modell Kapazität'!$D$2:$AZ$35)+SUMPRODUCT(('Modell Kapazität'!$C$2:$C$35='Abgleich Kapazität'!$A64)*('Modell Kapazität'!$D$1:$AZ$1='Abgleich Kapazität'!J$39)*'Modell Kapazität'!$D$2:$AZ$35)+SUMPRODUCT(('Modell Kapazität'!$C$2:$C$35='Abgleich Kapazität'!$A64)*('Modell Kapazität'!$D$1:$AZ$1='Abgleich Kapazität'!J$38)*'Modell Kapazität'!$D$2:$AZ$35))/1000</f>
        <v>0.14399999999999999</v>
      </c>
      <c r="K64" s="27">
        <f t="shared" si="75"/>
        <v>8.9919999999999991</v>
      </c>
      <c r="L64" s="26">
        <f>(SUMPRODUCT(('Modell Kapazität'!$C$2:$C$35='Abgleich Kapazität'!$A64)*('Modell Kapazität'!$D$1:$AZ$1='Abgleich Kapazität'!L$40)*'Modell Kapazität'!$D$2:$AZ$35)+SUMPRODUCT(('Modell Kapazität'!$C$2:$C$35='Abgleich Kapazität'!$A64)*('Modell Kapazität'!$D$1:$AZ$1='Abgleich Kapazität'!L$39)*'Modell Kapazität'!$D$2:$AZ$35)+SUMPRODUCT(('Modell Kapazität'!$C$2:$C$35='Abgleich Kapazität'!$A64)*('Modell Kapazität'!$D$1:$AZ$1='Abgleich Kapazität'!L$38)*'Modell Kapazität'!$D$2:$AZ$35))/1000</f>
        <v>3.7999999999999999E-2</v>
      </c>
      <c r="M64" s="26">
        <f>(SUMPRODUCT(('Modell Kapazität'!$C$2:$C$35='Abgleich Kapazität'!$A64)*('Modell Kapazität'!$D$1:$AZ$1='Abgleich Kapazität'!M$40)*'Modell Kapazität'!$D$2:$AZ$35)+SUMPRODUCT(('Modell Kapazität'!$C$2:$C$35='Abgleich Kapazität'!$A64)*('Modell Kapazität'!$D$1:$AZ$1='Abgleich Kapazität'!M$39)*'Modell Kapazität'!$D$2:$AZ$35)+SUMPRODUCT(('Modell Kapazität'!$C$2:$C$35='Abgleich Kapazität'!$A64)*('Modell Kapazität'!$D$1:$AZ$1='Abgleich Kapazität'!M$38)*'Modell Kapazität'!$D$2:$AZ$35))/1000</f>
        <v>0</v>
      </c>
      <c r="N64" s="26">
        <f>(SUMPRODUCT(('Modell Kapazität'!$C$2:$C$35='Abgleich Kapazität'!$A64)*('Modell Kapazität'!$D$1:$AZ$1='Abgleich Kapazität'!N$40)*'Modell Kapazität'!$D$2:$AZ$35)+SUMPRODUCT(('Modell Kapazität'!$C$2:$C$35='Abgleich Kapazität'!$A64)*('Modell Kapazität'!$D$1:$AZ$1='Abgleich Kapazität'!N$39)*'Modell Kapazität'!$D$2:$AZ$35)+SUMPRODUCT(('Modell Kapazität'!$C$2:$C$35='Abgleich Kapazität'!$A64)*('Modell Kapazität'!$D$1:$AZ$1='Abgleich Kapazität'!N$38)*'Modell Kapazität'!$D$2:$AZ$35))/1000</f>
        <v>1.464</v>
      </c>
      <c r="O64" s="26">
        <f>(SUMPRODUCT(('Modell Kapazität'!$C$2:$C$35='Abgleich Kapazität'!$A64)*('Modell Kapazität'!$D$1:$AZ$1='Abgleich Kapazität'!O$40)*'Modell Kapazität'!$D$2:$AZ$35)+SUMPRODUCT(('Modell Kapazität'!$C$2:$C$35='Abgleich Kapazität'!$A64)*('Modell Kapazität'!$D$1:$AZ$1='Abgleich Kapazität'!O$39)*'Modell Kapazität'!$D$2:$AZ$35)+SUMPRODUCT(('Modell Kapazität'!$C$2:$C$35='Abgleich Kapazität'!$A64)*('Modell Kapazität'!$D$1:$AZ$1='Abgleich Kapazität'!O$38)*'Modell Kapazität'!$D$2:$AZ$35))/1000</f>
        <v>3.75</v>
      </c>
      <c r="P64" s="26">
        <f>(SUMPRODUCT(('Modell Kapazität'!$C$2:$C$35='Abgleich Kapazität'!$A64)*('Modell Kapazität'!$D$1:$AZ$1='Abgleich Kapazität'!P$40)*'Modell Kapazität'!$D$2:$AZ$35)+SUMPRODUCT(('Modell Kapazität'!$C$2:$C$35='Abgleich Kapazität'!$A64)*('Modell Kapazität'!$D$1:$AZ$1='Abgleich Kapazität'!P$39)*'Modell Kapazität'!$D$2:$AZ$35)+SUMPRODUCT(('Modell Kapazität'!$C$2:$C$35='Abgleich Kapazität'!$A64)*('Modell Kapazität'!$D$1:$AZ$1='Abgleich Kapazität'!P$38)*'Modell Kapazität'!$D$2:$AZ$35))/1000</f>
        <v>2.64</v>
      </c>
      <c r="Q64" s="26">
        <f>(SUMPRODUCT(('Modell Kapazität'!$C$2:$C$35='Abgleich Kapazität'!$A64)*('Modell Kapazität'!$D$1:$AZ$1='Abgleich Kapazität'!Q$40)*'Modell Kapazität'!$D$2:$AZ$35)+SUMPRODUCT(('Modell Kapazität'!$C$2:$C$35='Abgleich Kapazität'!$A64)*('Modell Kapazität'!$D$1:$AZ$1='Abgleich Kapazität'!Q$39)*'Modell Kapazität'!$D$2:$AZ$35)+SUMPRODUCT(('Modell Kapazität'!$C$2:$C$35='Abgleich Kapazität'!$A64)*('Modell Kapazität'!$D$1:$AZ$1='Abgleich Kapazität'!Q$38)*'Modell Kapazität'!$D$2:$AZ$35))/1000</f>
        <v>0</v>
      </c>
      <c r="R64" s="26">
        <f>(SUMPRODUCT(('Modell Kapazität'!$C$2:$C$35='Abgleich Kapazität'!$A64)*('Modell Kapazität'!$D$1:$AZ$1='Abgleich Kapazität'!R$40)*'Modell Kapazität'!$D$2:$AZ$35)+SUMPRODUCT(('Modell Kapazität'!$C$2:$C$35='Abgleich Kapazität'!$A64)*('Modell Kapazität'!$D$1:$AZ$1='Abgleich Kapazität'!R$39)*'Modell Kapazität'!$D$2:$AZ$35)+SUMPRODUCT(('Modell Kapazität'!$C$2:$C$35='Abgleich Kapazität'!$A64)*('Modell Kapazität'!$D$1:$AZ$1='Abgleich Kapazität'!R$38)*'Modell Kapazität'!$D$2:$AZ$35))/1000</f>
        <v>1.1000000000000001</v>
      </c>
      <c r="S64" s="26">
        <f>(SUMPRODUCT(('Modell Kapazität'!$C$2:$C$35='Abgleich Kapazität'!$A64)*('Modell Kapazität'!$D$1:$AZ$1='Abgleich Kapazität'!S$40)*'Modell Kapazität'!$D$2:$AZ$35)+SUMPRODUCT(('Modell Kapazität'!$C$2:$C$35='Abgleich Kapazität'!$A64)*('Modell Kapazität'!$D$1:$AZ$1='Abgleich Kapazität'!S$39)*'Modell Kapazität'!$D$2:$AZ$35)+SUMPRODUCT(('Modell Kapazität'!$C$2:$C$35='Abgleich Kapazität'!$A64)*('Modell Kapazität'!$D$1:$AZ$1='Abgleich Kapazität'!S$38)*'Modell Kapazität'!$D$2:$AZ$35))/1000</f>
        <v>0</v>
      </c>
      <c r="T64" s="26">
        <f>(SUMPRODUCT(('Modell Kapazität'!$C$2:$C$35='Abgleich Kapazität'!$A64)*('Modell Kapazität'!$D$1:$AZ$1='Abgleich Kapazität'!T$40)*'Modell Kapazität'!$D$2:$AZ$35)+SUMPRODUCT(('Modell Kapazität'!$C$2:$C$35='Abgleich Kapazität'!$A64)*('Modell Kapazität'!$D$1:$AZ$1='Abgleich Kapazität'!T$39)*'Modell Kapazität'!$D$2:$AZ$35)+SUMPRODUCT(('Modell Kapazität'!$C$2:$C$35='Abgleich Kapazität'!$A64)*('Modell Kapazität'!$D$1:$AZ$1='Abgleich Kapazität'!T$38)*'Modell Kapazität'!$D$2:$AZ$35))/1000</f>
        <v>0</v>
      </c>
      <c r="U64" s="26">
        <f>(SUMPRODUCT(('Modell Kapazität'!$C$2:$C$35='Abgleich Kapazität'!$A64)*('Modell Kapazität'!$D$1:$AZ$1='Abgleich Kapazität'!U$40)*'Modell Kapazität'!$D$2:$AZ$35)+SUMPRODUCT(('Modell Kapazität'!$C$2:$C$35='Abgleich Kapazität'!$A64)*('Modell Kapazität'!$D$1:$AZ$1='Abgleich Kapazität'!U$39)*'Modell Kapazität'!$D$2:$AZ$35)+SUMPRODUCT(('Modell Kapazität'!$C$2:$C$35='Abgleich Kapazität'!$A64)*('Modell Kapazität'!$D$1:$AZ$1='Abgleich Kapazität'!U$38)*'Modell Kapazität'!$D$2:$AZ$35))/1000</f>
        <v>0</v>
      </c>
      <c r="V64" s="27">
        <f t="shared" si="76"/>
        <v>27.7250576</v>
      </c>
    </row>
    <row r="65" spans="1:22" x14ac:dyDescent="0.25">
      <c r="A65" s="14" t="s">
        <v>32</v>
      </c>
      <c r="B65" s="57">
        <f t="shared" si="73"/>
        <v>1.8532999999999999</v>
      </c>
      <c r="C65" s="58">
        <f>(SUMPRODUCT(('Modell Kapazität'!$C$2:$C$35='Abgleich Kapazität'!$A65)*('Modell Kapazität'!$D$1:$AZ$1='Abgleich Kapazität'!C$40)*'Modell Kapazität'!$D$2:$AZ$35)+SUMPRODUCT(('Modell Kapazität'!$C$2:$C$35='Abgleich Kapazität'!$A65)*('Modell Kapazität'!$D$1:$AZ$1='Abgleich Kapazität'!C$39)*'Modell Kapazität'!$D$2:$AZ$35)+SUMPRODUCT(('Modell Kapazität'!$C$2:$C$35='Abgleich Kapazität'!$A65)*('Modell Kapazität'!$D$1:$AZ$1='Abgleich Kapazität'!C$38)*'Modell Kapazität'!$D$2:$AZ$35))/1000</f>
        <v>0</v>
      </c>
      <c r="D65" s="58">
        <f t="shared" si="74"/>
        <v>1.8532999999999999</v>
      </c>
      <c r="E65" s="58">
        <f>(SUMPRODUCT(('Modell Kapazität'!$C$2:$C$35='Abgleich Kapazität'!$A65)*('Modell Kapazität'!$D$1:$AZ$1='Abgleich Kapazität'!E$40)*'Modell Kapazität'!$D$2:$AZ$35)+SUMPRODUCT(('Modell Kapazität'!$C$2:$C$35='Abgleich Kapazität'!$A65)*('Modell Kapazität'!$D$1:$AZ$1='Abgleich Kapazität'!E$39)*'Modell Kapazität'!$D$2:$AZ$35)+SUMPRODUCT(('Modell Kapazität'!$C$2:$C$35='Abgleich Kapazität'!$A65)*('Modell Kapazität'!$D$1:$AZ$1='Abgleich Kapazität'!E$38)*'Modell Kapazität'!$D$2:$AZ$35))/1000</f>
        <v>0</v>
      </c>
      <c r="F65" s="58">
        <f>(SUMPRODUCT(('Modell Kapazität'!$C$2:$C$35='Abgleich Kapazität'!$A65)*('Modell Kapazität'!$D$1:$AZ$1='Abgleich Kapazität'!F$40)*'Modell Kapazität'!$D$2:$AZ$35)+SUMPRODUCT(('Modell Kapazität'!$C$2:$C$35='Abgleich Kapazität'!$A65)*('Modell Kapazität'!$D$1:$AZ$1='Abgleich Kapazität'!F$39)*'Modell Kapazität'!$D$2:$AZ$35)+SUMPRODUCT(('Modell Kapazität'!$C$2:$C$35='Abgleich Kapazität'!$A65)*('Modell Kapazität'!$D$1:$AZ$1='Abgleich Kapazität'!F$38)*'Modell Kapazität'!$D$2:$AZ$35))/1000</f>
        <v>1.5782649999999998</v>
      </c>
      <c r="G65" s="58">
        <f>(SUMPRODUCT(('Modell Kapazität'!$C$2:$C$35='Abgleich Kapazität'!$A65)*('Modell Kapazität'!$D$1:$AZ$1='Abgleich Kapazität'!G$40)*'Modell Kapazität'!$D$2:$AZ$35)+SUMPRODUCT(('Modell Kapazität'!$C$2:$C$35='Abgleich Kapazität'!$A65)*('Modell Kapazität'!$D$1:$AZ$1='Abgleich Kapazität'!G$39)*'Modell Kapazität'!$D$2:$AZ$35)+SUMPRODUCT(('Modell Kapazität'!$C$2:$C$35='Abgleich Kapazität'!$A65)*('Modell Kapazität'!$D$1:$AZ$1='Abgleich Kapazität'!G$38)*'Modell Kapazität'!$D$2:$AZ$35))/1000</f>
        <v>0.21299999999999999</v>
      </c>
      <c r="H65" s="58">
        <f>(SUMPRODUCT(('Modell Kapazität'!$C$2:$C$35='Abgleich Kapazität'!$A65)*('Modell Kapazität'!$D$1:$AZ$1='Abgleich Kapazität'!H$40)*'Modell Kapazität'!$D$2:$AZ$35)+SUMPRODUCT(('Modell Kapazität'!$C$2:$C$35='Abgleich Kapazität'!$A65)*('Modell Kapazität'!$D$1:$AZ$1='Abgleich Kapazität'!H$39)*'Modell Kapazität'!$D$2:$AZ$35)+SUMPRODUCT(('Modell Kapazität'!$C$2:$C$35='Abgleich Kapazität'!$A65)*('Modell Kapazität'!$D$1:$AZ$1='Abgleich Kapazität'!H$38)*'Modell Kapazität'!$D$2:$AZ$35))/1000</f>
        <v>0</v>
      </c>
      <c r="I65" s="58">
        <f>(SUMPRODUCT(('Modell Kapazität'!$C$2:$C$35='Abgleich Kapazität'!$A65)*('Modell Kapazität'!$D$1:$AZ$1='Abgleich Kapazität'!I$40)*'Modell Kapazität'!$D$2:$AZ$35)+SUMPRODUCT(('Modell Kapazität'!$C$2:$C$35='Abgleich Kapazität'!$A65)*('Modell Kapazität'!$D$1:$AZ$1='Abgleich Kapazität'!I$39)*'Modell Kapazität'!$D$2:$AZ$35)+SUMPRODUCT(('Modell Kapazität'!$C$2:$C$35='Abgleich Kapazität'!$A65)*('Modell Kapazität'!$D$1:$AZ$1='Abgleich Kapazität'!I$38)*'Modell Kapazität'!$D$2:$AZ$35))/1000</f>
        <v>0</v>
      </c>
      <c r="J65" s="58">
        <f>(SUMPRODUCT(('Modell Kapazität'!$C$2:$C$35='Abgleich Kapazität'!$A65)*('Modell Kapazität'!$D$1:$AZ$1='Abgleich Kapazität'!J$40)*'Modell Kapazität'!$D$2:$AZ$35)+SUMPRODUCT(('Modell Kapazität'!$C$2:$C$35='Abgleich Kapazität'!$A65)*('Modell Kapazität'!$D$1:$AZ$1='Abgleich Kapazität'!J$39)*'Modell Kapazität'!$D$2:$AZ$35)+SUMPRODUCT(('Modell Kapazität'!$C$2:$C$35='Abgleich Kapazität'!$A65)*('Modell Kapazität'!$D$1:$AZ$1='Abgleich Kapazität'!J$38)*'Modell Kapazität'!$D$2:$AZ$35))/1000</f>
        <v>6.2035E-2</v>
      </c>
      <c r="K65" s="59">
        <f t="shared" si="75"/>
        <v>32.063326239622995</v>
      </c>
      <c r="L65" s="58">
        <f>(SUMPRODUCT(('Modell Kapazität'!$C$2:$C$35='Abgleich Kapazität'!$A65)*('Modell Kapazität'!$D$1:$AZ$1='Abgleich Kapazität'!L$40)*'Modell Kapazität'!$D$2:$AZ$35)+SUMPRODUCT(('Modell Kapazität'!$C$2:$C$35='Abgleich Kapazität'!$A65)*('Modell Kapazität'!$D$1:$AZ$1='Abgleich Kapazität'!L$39)*'Modell Kapazität'!$D$2:$AZ$35)+SUMPRODUCT(('Modell Kapazität'!$C$2:$C$35='Abgleich Kapazität'!$A65)*('Modell Kapazität'!$D$1:$AZ$1='Abgleich Kapazität'!L$38)*'Modell Kapazität'!$D$2:$AZ$35))/1000</f>
        <v>29.848169406289998</v>
      </c>
      <c r="M65" s="58">
        <f>(SUMPRODUCT(('Modell Kapazität'!$C$2:$C$35='Abgleich Kapazität'!$A65)*('Modell Kapazität'!$D$1:$AZ$1='Abgleich Kapazität'!M$40)*'Modell Kapazität'!$D$2:$AZ$35)+SUMPRODUCT(('Modell Kapazität'!$C$2:$C$35='Abgleich Kapazität'!$A65)*('Modell Kapazität'!$D$1:$AZ$1='Abgleich Kapazität'!M$39)*'Modell Kapazität'!$D$2:$AZ$35)+SUMPRODUCT(('Modell Kapazität'!$C$2:$C$35='Abgleich Kapazität'!$A65)*('Modell Kapazität'!$D$1:$AZ$1='Abgleich Kapazität'!M$38)*'Modell Kapazität'!$D$2:$AZ$35))/1000</f>
        <v>0</v>
      </c>
      <c r="N65" s="58">
        <f>(SUMPRODUCT(('Modell Kapazität'!$C$2:$C$35='Abgleich Kapazität'!$A65)*('Modell Kapazität'!$D$1:$AZ$1='Abgleich Kapazität'!N$40)*'Modell Kapazität'!$D$2:$AZ$35)+SUMPRODUCT(('Modell Kapazität'!$C$2:$C$35='Abgleich Kapazität'!$A65)*('Modell Kapazität'!$D$1:$AZ$1='Abgleich Kapazität'!N$39)*'Modell Kapazität'!$D$2:$AZ$35)+SUMPRODUCT(('Modell Kapazität'!$C$2:$C$35='Abgleich Kapazität'!$A65)*('Modell Kapazität'!$D$1:$AZ$1='Abgleich Kapazität'!N$38)*'Modell Kapazität'!$D$2:$AZ$35))/1000</f>
        <v>0</v>
      </c>
      <c r="O65" s="58">
        <f>(SUMPRODUCT(('Modell Kapazität'!$C$2:$C$35='Abgleich Kapazität'!$A65)*('Modell Kapazität'!$D$1:$AZ$1='Abgleich Kapazität'!O$40)*'Modell Kapazität'!$D$2:$AZ$35)+SUMPRODUCT(('Modell Kapazität'!$C$2:$C$35='Abgleich Kapazität'!$A65)*('Modell Kapazität'!$D$1:$AZ$1='Abgleich Kapazität'!O$39)*'Modell Kapazität'!$D$2:$AZ$35)+SUMPRODUCT(('Modell Kapazität'!$C$2:$C$35='Abgleich Kapazität'!$A65)*('Modell Kapazität'!$D$1:$AZ$1='Abgleich Kapazität'!O$38)*'Modell Kapazität'!$D$2:$AZ$35))/1000</f>
        <v>1.9830000000000001</v>
      </c>
      <c r="P65" s="58">
        <f>(SUMPRODUCT(('Modell Kapazität'!$C$2:$C$35='Abgleich Kapazität'!$A65)*('Modell Kapazität'!$D$1:$AZ$1='Abgleich Kapazität'!P$40)*'Modell Kapazität'!$D$2:$AZ$35)+SUMPRODUCT(('Modell Kapazität'!$C$2:$C$35='Abgleich Kapazität'!$A65)*('Modell Kapazität'!$D$1:$AZ$1='Abgleich Kapazität'!P$39)*'Modell Kapazität'!$D$2:$AZ$35)+SUMPRODUCT(('Modell Kapazität'!$C$2:$C$35='Abgleich Kapazität'!$A65)*('Modell Kapazität'!$D$1:$AZ$1='Abgleich Kapazität'!P$38)*'Modell Kapazität'!$D$2:$AZ$35))/1000</f>
        <v>1.8333333299999999E-4</v>
      </c>
      <c r="Q65" s="58">
        <f>(SUMPRODUCT(('Modell Kapazität'!$C$2:$C$35='Abgleich Kapazität'!$A65)*('Modell Kapazität'!$D$1:$AZ$1='Abgleich Kapazität'!Q$40)*'Modell Kapazität'!$D$2:$AZ$35)+SUMPRODUCT(('Modell Kapazität'!$C$2:$C$35='Abgleich Kapazität'!$A65)*('Modell Kapazität'!$D$1:$AZ$1='Abgleich Kapazität'!Q$39)*'Modell Kapazität'!$D$2:$AZ$35)+SUMPRODUCT(('Modell Kapazität'!$C$2:$C$35='Abgleich Kapazität'!$A65)*('Modell Kapazität'!$D$1:$AZ$1='Abgleich Kapazität'!Q$38)*'Modell Kapazität'!$D$2:$AZ$35))/1000</f>
        <v>0</v>
      </c>
      <c r="R65" s="58">
        <f>(SUMPRODUCT(('Modell Kapazität'!$C$2:$C$35='Abgleich Kapazität'!$A65)*('Modell Kapazität'!$D$1:$AZ$1='Abgleich Kapazität'!R$40)*'Modell Kapazität'!$D$2:$AZ$35)+SUMPRODUCT(('Modell Kapazität'!$C$2:$C$35='Abgleich Kapazität'!$A65)*('Modell Kapazität'!$D$1:$AZ$1='Abgleich Kapazität'!R$39)*'Modell Kapazität'!$D$2:$AZ$35)+SUMPRODUCT(('Modell Kapazität'!$C$2:$C$35='Abgleich Kapazität'!$A65)*('Modell Kapazität'!$D$1:$AZ$1='Abgleich Kapazität'!R$38)*'Modell Kapazität'!$D$2:$AZ$35))/1000</f>
        <v>0.2319735</v>
      </c>
      <c r="S65" s="58">
        <f>(SUMPRODUCT(('Modell Kapazität'!$C$2:$C$35='Abgleich Kapazität'!$A65)*('Modell Kapazität'!$D$1:$AZ$1='Abgleich Kapazität'!S$40)*'Modell Kapazität'!$D$2:$AZ$35)+SUMPRODUCT(('Modell Kapazität'!$C$2:$C$35='Abgleich Kapazität'!$A65)*('Modell Kapazität'!$D$1:$AZ$1='Abgleich Kapazität'!S$39)*'Modell Kapazität'!$D$2:$AZ$35)+SUMPRODUCT(('Modell Kapazität'!$C$2:$C$35='Abgleich Kapazität'!$A65)*('Modell Kapazität'!$D$1:$AZ$1='Abgleich Kapazität'!S$38)*'Modell Kapazität'!$D$2:$AZ$35))/1000</f>
        <v>0</v>
      </c>
      <c r="T65" s="58">
        <f>(SUMPRODUCT(('Modell Kapazität'!$C$2:$C$35='Abgleich Kapazität'!$A65)*('Modell Kapazität'!$D$1:$AZ$1='Abgleich Kapazität'!T$40)*'Modell Kapazität'!$D$2:$AZ$35)+SUMPRODUCT(('Modell Kapazität'!$C$2:$C$35='Abgleich Kapazität'!$A65)*('Modell Kapazität'!$D$1:$AZ$1='Abgleich Kapazität'!T$39)*'Modell Kapazität'!$D$2:$AZ$35)+SUMPRODUCT(('Modell Kapazität'!$C$2:$C$35='Abgleich Kapazität'!$A65)*('Modell Kapazität'!$D$1:$AZ$1='Abgleich Kapazität'!T$38)*'Modell Kapazität'!$D$2:$AZ$35))/1000</f>
        <v>0</v>
      </c>
      <c r="U65" s="58">
        <f>(SUMPRODUCT(('Modell Kapazität'!$C$2:$C$35='Abgleich Kapazität'!$A65)*('Modell Kapazität'!$D$1:$AZ$1='Abgleich Kapazität'!U$40)*'Modell Kapazität'!$D$2:$AZ$35)+SUMPRODUCT(('Modell Kapazität'!$C$2:$C$35='Abgleich Kapazität'!$A65)*('Modell Kapazität'!$D$1:$AZ$1='Abgleich Kapazität'!U$39)*'Modell Kapazität'!$D$2:$AZ$35)+SUMPRODUCT(('Modell Kapazität'!$C$2:$C$35='Abgleich Kapazität'!$A65)*('Modell Kapazität'!$D$1:$AZ$1='Abgleich Kapazität'!U$38)*'Modell Kapazität'!$D$2:$AZ$35))/1000</f>
        <v>0</v>
      </c>
      <c r="V65" s="59">
        <f t="shared" si="76"/>
        <v>33.916626239622993</v>
      </c>
    </row>
    <row r="66" spans="1:22" x14ac:dyDescent="0.25">
      <c r="A66" s="14" t="s">
        <v>33</v>
      </c>
      <c r="B66" s="25">
        <f t="shared" si="73"/>
        <v>34.098126000000001</v>
      </c>
      <c r="C66" s="26">
        <f>(SUMPRODUCT(('Modell Kapazität'!$C$2:$C$35='Abgleich Kapazität'!$A66)*('Modell Kapazität'!$D$1:$AZ$1='Abgleich Kapazität'!C$40)*'Modell Kapazität'!$D$2:$AZ$35)+SUMPRODUCT(('Modell Kapazität'!$C$2:$C$35='Abgleich Kapazität'!$A66)*('Modell Kapazität'!$D$1:$AZ$1='Abgleich Kapazität'!C$39)*'Modell Kapazität'!$D$2:$AZ$35)+SUMPRODUCT(('Modell Kapazität'!$C$2:$C$35='Abgleich Kapazität'!$A66)*('Modell Kapazität'!$D$1:$AZ$1='Abgleich Kapazität'!C$38)*'Modell Kapazität'!$D$2:$AZ$35))/1000</f>
        <v>0</v>
      </c>
      <c r="D66" s="26">
        <f t="shared" si="74"/>
        <v>34.098126000000001</v>
      </c>
      <c r="E66" s="26">
        <f>(SUMPRODUCT(('Modell Kapazität'!$C$2:$C$35='Abgleich Kapazität'!$A66)*('Modell Kapazität'!$D$1:$AZ$1='Abgleich Kapazität'!E$40)*'Modell Kapazität'!$D$2:$AZ$35)+SUMPRODUCT(('Modell Kapazität'!$C$2:$C$35='Abgleich Kapazität'!$A66)*('Modell Kapazität'!$D$1:$AZ$1='Abgleich Kapazität'!E$39)*'Modell Kapazität'!$D$2:$AZ$35)+SUMPRODUCT(('Modell Kapazität'!$C$2:$C$35='Abgleich Kapazität'!$A66)*('Modell Kapazität'!$D$1:$AZ$1='Abgleich Kapazität'!E$38)*'Modell Kapazität'!$D$2:$AZ$35))/1000</f>
        <v>9.3149999999999995</v>
      </c>
      <c r="F66" s="26">
        <f>(SUMPRODUCT(('Modell Kapazität'!$C$2:$C$35='Abgleich Kapazität'!$A66)*('Modell Kapazität'!$D$1:$AZ$1='Abgleich Kapazität'!F$40)*'Modell Kapazität'!$D$2:$AZ$35)+SUMPRODUCT(('Modell Kapazität'!$C$2:$C$35='Abgleich Kapazität'!$A66)*('Modell Kapazität'!$D$1:$AZ$1='Abgleich Kapazität'!F$39)*'Modell Kapazität'!$D$2:$AZ$35)+SUMPRODUCT(('Modell Kapazität'!$C$2:$C$35='Abgleich Kapazität'!$A66)*('Modell Kapazität'!$D$1:$AZ$1='Abgleich Kapazität'!F$38)*'Modell Kapazität'!$D$2:$AZ$35))/1000</f>
        <v>1.8327</v>
      </c>
      <c r="G66" s="26">
        <f>(SUMPRODUCT(('Modell Kapazität'!$C$2:$C$35='Abgleich Kapazität'!$A66)*('Modell Kapazität'!$D$1:$AZ$1='Abgleich Kapazität'!G$40)*'Modell Kapazität'!$D$2:$AZ$35)+SUMPRODUCT(('Modell Kapazität'!$C$2:$C$35='Abgleich Kapazität'!$A66)*('Modell Kapazität'!$D$1:$AZ$1='Abgleich Kapazität'!G$39)*'Modell Kapazität'!$D$2:$AZ$35)+SUMPRODUCT(('Modell Kapazität'!$C$2:$C$35='Abgleich Kapazität'!$A66)*('Modell Kapazität'!$D$1:$AZ$1='Abgleich Kapazität'!G$38)*'Modell Kapazität'!$D$2:$AZ$35))/1000</f>
        <v>22.950426</v>
      </c>
      <c r="H66" s="26">
        <f>(SUMPRODUCT(('Modell Kapazität'!$C$2:$C$35='Abgleich Kapazität'!$A66)*('Modell Kapazität'!$D$1:$AZ$1='Abgleich Kapazität'!H$40)*'Modell Kapazität'!$D$2:$AZ$35)+SUMPRODUCT(('Modell Kapazität'!$C$2:$C$35='Abgleich Kapazität'!$A66)*('Modell Kapazität'!$D$1:$AZ$1='Abgleich Kapazität'!H$39)*'Modell Kapazität'!$D$2:$AZ$35)+SUMPRODUCT(('Modell Kapazität'!$C$2:$C$35='Abgleich Kapazität'!$A66)*('Modell Kapazität'!$D$1:$AZ$1='Abgleich Kapazität'!H$38)*'Modell Kapazität'!$D$2:$AZ$35))/1000</f>
        <v>0</v>
      </c>
      <c r="I66" s="26">
        <f>(SUMPRODUCT(('Modell Kapazität'!$C$2:$C$35='Abgleich Kapazität'!$A66)*('Modell Kapazität'!$D$1:$AZ$1='Abgleich Kapazität'!I$40)*'Modell Kapazität'!$D$2:$AZ$35)+SUMPRODUCT(('Modell Kapazität'!$C$2:$C$35='Abgleich Kapazität'!$A66)*('Modell Kapazität'!$D$1:$AZ$1='Abgleich Kapazität'!I$39)*'Modell Kapazität'!$D$2:$AZ$35)+SUMPRODUCT(('Modell Kapazität'!$C$2:$C$35='Abgleich Kapazität'!$A66)*('Modell Kapazität'!$D$1:$AZ$1='Abgleich Kapazität'!I$38)*'Modell Kapazität'!$D$2:$AZ$35))/1000</f>
        <v>0</v>
      </c>
      <c r="J66" s="26">
        <f>(SUMPRODUCT(('Modell Kapazität'!$C$2:$C$35='Abgleich Kapazität'!$A66)*('Modell Kapazität'!$D$1:$AZ$1='Abgleich Kapazität'!J$40)*'Modell Kapazität'!$D$2:$AZ$35)+SUMPRODUCT(('Modell Kapazität'!$C$2:$C$35='Abgleich Kapazität'!$A66)*('Modell Kapazität'!$D$1:$AZ$1='Abgleich Kapazität'!J$39)*'Modell Kapazität'!$D$2:$AZ$35)+SUMPRODUCT(('Modell Kapazität'!$C$2:$C$35='Abgleich Kapazität'!$A66)*('Modell Kapazität'!$D$1:$AZ$1='Abgleich Kapazität'!J$38)*'Modell Kapazität'!$D$2:$AZ$35))/1000</f>
        <v>0</v>
      </c>
      <c r="K66" s="27">
        <f t="shared" si="75"/>
        <v>10.093500000000001</v>
      </c>
      <c r="L66" s="26">
        <f>(SUMPRODUCT(('Modell Kapazität'!$C$2:$C$35='Abgleich Kapazität'!$A66)*('Modell Kapazität'!$D$1:$AZ$1='Abgleich Kapazität'!L$40)*'Modell Kapazität'!$D$2:$AZ$35)+SUMPRODUCT(('Modell Kapazität'!$C$2:$C$35='Abgleich Kapazität'!$A66)*('Modell Kapazität'!$D$1:$AZ$1='Abgleich Kapazität'!L$39)*'Modell Kapazität'!$D$2:$AZ$35)+SUMPRODUCT(('Modell Kapazität'!$C$2:$C$35='Abgleich Kapazität'!$A66)*('Modell Kapazität'!$D$1:$AZ$1='Abgleich Kapazität'!L$38)*'Modell Kapazität'!$D$2:$AZ$35))/1000</f>
        <v>2.3374999999999999</v>
      </c>
      <c r="M66" s="26">
        <f>(SUMPRODUCT(('Modell Kapazität'!$C$2:$C$35='Abgleich Kapazität'!$A66)*('Modell Kapazität'!$D$1:$AZ$1='Abgleich Kapazität'!M$40)*'Modell Kapazität'!$D$2:$AZ$35)+SUMPRODUCT(('Modell Kapazität'!$C$2:$C$35='Abgleich Kapazität'!$A66)*('Modell Kapazität'!$D$1:$AZ$1='Abgleich Kapazität'!M$39)*'Modell Kapazität'!$D$2:$AZ$35)+SUMPRODUCT(('Modell Kapazität'!$C$2:$C$35='Abgleich Kapazität'!$A66)*('Modell Kapazität'!$D$1:$AZ$1='Abgleich Kapazität'!M$38)*'Modell Kapazität'!$D$2:$AZ$35))/1000</f>
        <v>0</v>
      </c>
      <c r="N66" s="26">
        <f>(SUMPRODUCT(('Modell Kapazität'!$C$2:$C$35='Abgleich Kapazität'!$A66)*('Modell Kapazität'!$D$1:$AZ$1='Abgleich Kapazität'!N$40)*'Modell Kapazität'!$D$2:$AZ$35)+SUMPRODUCT(('Modell Kapazität'!$C$2:$C$35='Abgleich Kapazität'!$A66)*('Modell Kapazität'!$D$1:$AZ$1='Abgleich Kapazität'!N$39)*'Modell Kapazität'!$D$2:$AZ$35)+SUMPRODUCT(('Modell Kapazität'!$C$2:$C$35='Abgleich Kapazität'!$A66)*('Modell Kapazität'!$D$1:$AZ$1='Abgleich Kapazität'!N$38)*'Modell Kapazität'!$D$2:$AZ$35))/1000</f>
        <v>0</v>
      </c>
      <c r="O66" s="26">
        <f>(SUMPRODUCT(('Modell Kapazität'!$C$2:$C$35='Abgleich Kapazität'!$A66)*('Modell Kapazität'!$D$1:$AZ$1='Abgleich Kapazität'!O$40)*'Modell Kapazität'!$D$2:$AZ$35)+SUMPRODUCT(('Modell Kapazität'!$C$2:$C$35='Abgleich Kapazität'!$A66)*('Modell Kapazität'!$D$1:$AZ$1='Abgleich Kapazität'!O$39)*'Modell Kapazität'!$D$2:$AZ$35)+SUMPRODUCT(('Modell Kapazität'!$C$2:$C$35='Abgleich Kapazität'!$A66)*('Modell Kapazität'!$D$1:$AZ$1='Abgleich Kapazität'!O$38)*'Modell Kapazität'!$D$2:$AZ$35))/1000</f>
        <v>5.85</v>
      </c>
      <c r="P66" s="26">
        <f>(SUMPRODUCT(('Modell Kapazität'!$C$2:$C$35='Abgleich Kapazität'!$A66)*('Modell Kapazität'!$D$1:$AZ$1='Abgleich Kapazität'!P$40)*'Modell Kapazität'!$D$2:$AZ$35)+SUMPRODUCT(('Modell Kapazität'!$C$2:$C$35='Abgleich Kapazität'!$A66)*('Modell Kapazität'!$D$1:$AZ$1='Abgleich Kapazität'!P$39)*'Modell Kapazität'!$D$2:$AZ$35)+SUMPRODUCT(('Modell Kapazität'!$C$2:$C$35='Abgleich Kapazität'!$A66)*('Modell Kapazität'!$D$1:$AZ$1='Abgleich Kapazität'!P$38)*'Modell Kapazität'!$D$2:$AZ$35))/1000</f>
        <v>0.28100000000000003</v>
      </c>
      <c r="Q66" s="26">
        <f>(SUMPRODUCT(('Modell Kapazität'!$C$2:$C$35='Abgleich Kapazität'!$A66)*('Modell Kapazität'!$D$1:$AZ$1='Abgleich Kapazität'!Q$40)*'Modell Kapazität'!$D$2:$AZ$35)+SUMPRODUCT(('Modell Kapazität'!$C$2:$C$35='Abgleich Kapazität'!$A66)*('Modell Kapazität'!$D$1:$AZ$1='Abgleich Kapazität'!Q$39)*'Modell Kapazität'!$D$2:$AZ$35)+SUMPRODUCT(('Modell Kapazität'!$C$2:$C$35='Abgleich Kapazität'!$A66)*('Modell Kapazität'!$D$1:$AZ$1='Abgleich Kapazität'!Q$38)*'Modell Kapazität'!$D$2:$AZ$35))/1000</f>
        <v>0</v>
      </c>
      <c r="R66" s="26">
        <f>(SUMPRODUCT(('Modell Kapazität'!$C$2:$C$35='Abgleich Kapazität'!$A66)*('Modell Kapazität'!$D$1:$AZ$1='Abgleich Kapazität'!R$40)*'Modell Kapazität'!$D$2:$AZ$35)+SUMPRODUCT(('Modell Kapazität'!$C$2:$C$35='Abgleich Kapazität'!$A66)*('Modell Kapazität'!$D$1:$AZ$1='Abgleich Kapazität'!R$39)*'Modell Kapazität'!$D$2:$AZ$35)+SUMPRODUCT(('Modell Kapazität'!$C$2:$C$35='Abgleich Kapazität'!$A66)*('Modell Kapazität'!$D$1:$AZ$1='Abgleich Kapazität'!R$38)*'Modell Kapazität'!$D$2:$AZ$35))/1000</f>
        <v>1.325</v>
      </c>
      <c r="S66" s="26">
        <f>(SUMPRODUCT(('Modell Kapazität'!$C$2:$C$35='Abgleich Kapazität'!$A66)*('Modell Kapazität'!$D$1:$AZ$1='Abgleich Kapazität'!S$40)*'Modell Kapazität'!$D$2:$AZ$35)+SUMPRODUCT(('Modell Kapazität'!$C$2:$C$35='Abgleich Kapazität'!$A66)*('Modell Kapazität'!$D$1:$AZ$1='Abgleich Kapazität'!S$39)*'Modell Kapazität'!$D$2:$AZ$35)+SUMPRODUCT(('Modell Kapazität'!$C$2:$C$35='Abgleich Kapazität'!$A66)*('Modell Kapazität'!$D$1:$AZ$1='Abgleich Kapazität'!S$38)*'Modell Kapazität'!$D$2:$AZ$35))/1000</f>
        <v>0.3</v>
      </c>
      <c r="T66" s="26">
        <f>(SUMPRODUCT(('Modell Kapazität'!$C$2:$C$35='Abgleich Kapazität'!$A66)*('Modell Kapazität'!$D$1:$AZ$1='Abgleich Kapazität'!T$40)*'Modell Kapazität'!$D$2:$AZ$35)+SUMPRODUCT(('Modell Kapazität'!$C$2:$C$35='Abgleich Kapazität'!$A66)*('Modell Kapazität'!$D$1:$AZ$1='Abgleich Kapazität'!T$39)*'Modell Kapazität'!$D$2:$AZ$35)+SUMPRODUCT(('Modell Kapazität'!$C$2:$C$35='Abgleich Kapazität'!$A66)*('Modell Kapazität'!$D$1:$AZ$1='Abgleich Kapazität'!T$38)*'Modell Kapazität'!$D$2:$AZ$35))/1000</f>
        <v>0</v>
      </c>
      <c r="U66" s="26">
        <f>(SUMPRODUCT(('Modell Kapazität'!$C$2:$C$35='Abgleich Kapazität'!$A66)*('Modell Kapazität'!$D$1:$AZ$1='Abgleich Kapazität'!U$40)*'Modell Kapazität'!$D$2:$AZ$35)+SUMPRODUCT(('Modell Kapazität'!$C$2:$C$35='Abgleich Kapazität'!$A66)*('Modell Kapazität'!$D$1:$AZ$1='Abgleich Kapazität'!U$39)*'Modell Kapazität'!$D$2:$AZ$35)+SUMPRODUCT(('Modell Kapazität'!$C$2:$C$35='Abgleich Kapazität'!$A66)*('Modell Kapazität'!$D$1:$AZ$1='Abgleich Kapazität'!U$38)*'Modell Kapazität'!$D$2:$AZ$35))/1000</f>
        <v>0</v>
      </c>
      <c r="V66" s="27">
        <f t="shared" si="76"/>
        <v>44.191625999999999</v>
      </c>
    </row>
    <row r="67" spans="1:22" x14ac:dyDescent="0.25">
      <c r="A67" s="14" t="s">
        <v>34</v>
      </c>
      <c r="B67" s="57">
        <f t="shared" si="73"/>
        <v>7.0506254000000004</v>
      </c>
      <c r="C67" s="58">
        <f>(SUMPRODUCT(('Modell Kapazität'!$C$2:$C$35='Abgleich Kapazität'!$A67)*('Modell Kapazität'!$D$1:$AZ$1='Abgleich Kapazität'!C$40)*'Modell Kapazität'!$D$2:$AZ$35)+SUMPRODUCT(('Modell Kapazität'!$C$2:$C$35='Abgleich Kapazität'!$A67)*('Modell Kapazität'!$D$1:$AZ$1='Abgleich Kapazität'!C$39)*'Modell Kapazität'!$D$2:$AZ$35)+SUMPRODUCT(('Modell Kapazität'!$C$2:$C$35='Abgleich Kapazität'!$A67)*('Modell Kapazität'!$D$1:$AZ$1='Abgleich Kapazität'!C$38)*'Modell Kapazität'!$D$2:$AZ$35))/1000</f>
        <v>0</v>
      </c>
      <c r="D67" s="58">
        <f t="shared" si="74"/>
        <v>7.0506254000000004</v>
      </c>
      <c r="E67" s="58">
        <f>(SUMPRODUCT(('Modell Kapazität'!$C$2:$C$35='Abgleich Kapazität'!$A67)*('Modell Kapazität'!$D$1:$AZ$1='Abgleich Kapazität'!E$40)*'Modell Kapazität'!$D$2:$AZ$35)+SUMPRODUCT(('Modell Kapazität'!$C$2:$C$35='Abgleich Kapazität'!$A67)*('Modell Kapazität'!$D$1:$AZ$1='Abgleich Kapazität'!E$39)*'Modell Kapazität'!$D$2:$AZ$35)+SUMPRODUCT(('Modell Kapazität'!$C$2:$C$35='Abgleich Kapazität'!$A67)*('Modell Kapazität'!$D$1:$AZ$1='Abgleich Kapazität'!E$38)*'Modell Kapazität'!$D$2:$AZ$35))/1000</f>
        <v>0</v>
      </c>
      <c r="F67" s="58">
        <f>(SUMPRODUCT(('Modell Kapazität'!$C$2:$C$35='Abgleich Kapazität'!$A67)*('Modell Kapazität'!$D$1:$AZ$1='Abgleich Kapazität'!F$40)*'Modell Kapazität'!$D$2:$AZ$35)+SUMPRODUCT(('Modell Kapazität'!$C$2:$C$35='Abgleich Kapazität'!$A67)*('Modell Kapazität'!$D$1:$AZ$1='Abgleich Kapazität'!F$39)*'Modell Kapazität'!$D$2:$AZ$35)+SUMPRODUCT(('Modell Kapazität'!$C$2:$C$35='Abgleich Kapazität'!$A67)*('Modell Kapazität'!$D$1:$AZ$1='Abgleich Kapazität'!F$38)*'Modell Kapazität'!$D$2:$AZ$35))/1000</f>
        <v>5.2099042000000004</v>
      </c>
      <c r="G67" s="58">
        <f>(SUMPRODUCT(('Modell Kapazität'!$C$2:$C$35='Abgleich Kapazität'!$A67)*('Modell Kapazität'!$D$1:$AZ$1='Abgleich Kapazität'!G$40)*'Modell Kapazität'!$D$2:$AZ$35)+SUMPRODUCT(('Modell Kapazität'!$C$2:$C$35='Abgleich Kapazität'!$A67)*('Modell Kapazität'!$D$1:$AZ$1='Abgleich Kapazität'!G$39)*'Modell Kapazität'!$D$2:$AZ$35)+SUMPRODUCT(('Modell Kapazität'!$C$2:$C$35='Abgleich Kapazität'!$A67)*('Modell Kapazität'!$D$1:$AZ$1='Abgleich Kapazität'!G$38)*'Modell Kapazität'!$D$2:$AZ$35))/1000</f>
        <v>1.7652000000000001</v>
      </c>
      <c r="H67" s="58">
        <f>(SUMPRODUCT(('Modell Kapazität'!$C$2:$C$35='Abgleich Kapazität'!$A67)*('Modell Kapazität'!$D$1:$AZ$1='Abgleich Kapazität'!H$40)*'Modell Kapazität'!$D$2:$AZ$35)+SUMPRODUCT(('Modell Kapazität'!$C$2:$C$35='Abgleich Kapazität'!$A67)*('Modell Kapazität'!$D$1:$AZ$1='Abgleich Kapazität'!H$39)*'Modell Kapazität'!$D$2:$AZ$35)+SUMPRODUCT(('Modell Kapazität'!$C$2:$C$35='Abgleich Kapazität'!$A67)*('Modell Kapazität'!$D$1:$AZ$1='Abgleich Kapazität'!H$38)*'Modell Kapazität'!$D$2:$AZ$35))/1000</f>
        <v>0</v>
      </c>
      <c r="I67" s="58">
        <f>(SUMPRODUCT(('Modell Kapazität'!$C$2:$C$35='Abgleich Kapazität'!$A67)*('Modell Kapazität'!$D$1:$AZ$1='Abgleich Kapazität'!I$40)*'Modell Kapazität'!$D$2:$AZ$35)+SUMPRODUCT(('Modell Kapazität'!$C$2:$C$35='Abgleich Kapazität'!$A67)*('Modell Kapazität'!$D$1:$AZ$1='Abgleich Kapazität'!I$39)*'Modell Kapazität'!$D$2:$AZ$35)+SUMPRODUCT(('Modell Kapazität'!$C$2:$C$35='Abgleich Kapazität'!$A67)*('Modell Kapazität'!$D$1:$AZ$1='Abgleich Kapazität'!I$38)*'Modell Kapazität'!$D$2:$AZ$35))/1000</f>
        <v>0</v>
      </c>
      <c r="J67" s="58">
        <f>(SUMPRODUCT(('Modell Kapazität'!$C$2:$C$35='Abgleich Kapazität'!$A67)*('Modell Kapazität'!$D$1:$AZ$1='Abgleich Kapazität'!J$40)*'Modell Kapazität'!$D$2:$AZ$35)+SUMPRODUCT(('Modell Kapazität'!$C$2:$C$35='Abgleich Kapazität'!$A67)*('Modell Kapazität'!$D$1:$AZ$1='Abgleich Kapazität'!J$39)*'Modell Kapazität'!$D$2:$AZ$35)+SUMPRODUCT(('Modell Kapazität'!$C$2:$C$35='Abgleich Kapazität'!$A67)*('Modell Kapazität'!$D$1:$AZ$1='Abgleich Kapazität'!J$38)*'Modell Kapazität'!$D$2:$AZ$35))/1000</f>
        <v>7.5521199999999997E-2</v>
      </c>
      <c r="K67" s="59">
        <f t="shared" si="75"/>
        <v>12.876122200000001</v>
      </c>
      <c r="L67" s="58">
        <f>(SUMPRODUCT(('Modell Kapazität'!$C$2:$C$35='Abgleich Kapazität'!$A67)*('Modell Kapazität'!$D$1:$AZ$1='Abgleich Kapazität'!L$40)*'Modell Kapazität'!$D$2:$AZ$35)+SUMPRODUCT(('Modell Kapazität'!$C$2:$C$35='Abgleich Kapazität'!$A67)*('Modell Kapazität'!$D$1:$AZ$1='Abgleich Kapazität'!L$39)*'Modell Kapazität'!$D$2:$AZ$35)+SUMPRODUCT(('Modell Kapazität'!$C$2:$C$35='Abgleich Kapazität'!$A67)*('Modell Kapazität'!$D$1:$AZ$1='Abgleich Kapazität'!L$38)*'Modell Kapazität'!$D$2:$AZ$35))/1000</f>
        <v>5.5661221999999997</v>
      </c>
      <c r="M67" s="58">
        <f>(SUMPRODUCT(('Modell Kapazität'!$C$2:$C$35='Abgleich Kapazität'!$A67)*('Modell Kapazität'!$D$1:$AZ$1='Abgleich Kapazität'!M$40)*'Modell Kapazität'!$D$2:$AZ$35)+SUMPRODUCT(('Modell Kapazität'!$C$2:$C$35='Abgleich Kapazität'!$A67)*('Modell Kapazität'!$D$1:$AZ$1='Abgleich Kapazität'!M$39)*'Modell Kapazität'!$D$2:$AZ$35)+SUMPRODUCT(('Modell Kapazität'!$C$2:$C$35='Abgleich Kapazität'!$A67)*('Modell Kapazität'!$D$1:$AZ$1='Abgleich Kapazität'!M$38)*'Modell Kapazität'!$D$2:$AZ$35))/1000</f>
        <v>0</v>
      </c>
      <c r="N67" s="58">
        <f>(SUMPRODUCT(('Modell Kapazität'!$C$2:$C$35='Abgleich Kapazität'!$A67)*('Modell Kapazität'!$D$1:$AZ$1='Abgleich Kapazität'!N$40)*'Modell Kapazität'!$D$2:$AZ$35)+SUMPRODUCT(('Modell Kapazität'!$C$2:$C$35='Abgleich Kapazität'!$A67)*('Modell Kapazität'!$D$1:$AZ$1='Abgleich Kapazität'!N$39)*'Modell Kapazität'!$D$2:$AZ$35)+SUMPRODUCT(('Modell Kapazität'!$C$2:$C$35='Abgleich Kapazität'!$A67)*('Modell Kapazität'!$D$1:$AZ$1='Abgleich Kapazität'!N$38)*'Modell Kapazität'!$D$2:$AZ$35))/1000</f>
        <v>0.04</v>
      </c>
      <c r="O67" s="58">
        <f>(SUMPRODUCT(('Modell Kapazität'!$C$2:$C$35='Abgleich Kapazität'!$A67)*('Modell Kapazität'!$D$1:$AZ$1='Abgleich Kapazität'!O$40)*'Modell Kapazität'!$D$2:$AZ$35)+SUMPRODUCT(('Modell Kapazität'!$C$2:$C$35='Abgleich Kapazität'!$A67)*('Modell Kapazität'!$D$1:$AZ$1='Abgleich Kapazität'!O$39)*'Modell Kapazität'!$D$2:$AZ$35)+SUMPRODUCT(('Modell Kapazität'!$C$2:$C$35='Abgleich Kapazität'!$A67)*('Modell Kapazität'!$D$1:$AZ$1='Abgleich Kapazität'!O$38)*'Modell Kapazität'!$D$2:$AZ$35))/1000</f>
        <v>6.04</v>
      </c>
      <c r="P67" s="58">
        <f>(SUMPRODUCT(('Modell Kapazität'!$C$2:$C$35='Abgleich Kapazität'!$A67)*('Modell Kapazität'!$D$1:$AZ$1='Abgleich Kapazität'!P$40)*'Modell Kapazität'!$D$2:$AZ$35)+SUMPRODUCT(('Modell Kapazität'!$C$2:$C$35='Abgleich Kapazität'!$A67)*('Modell Kapazität'!$D$1:$AZ$1='Abgleich Kapazität'!P$39)*'Modell Kapazität'!$D$2:$AZ$35)+SUMPRODUCT(('Modell Kapazität'!$C$2:$C$35='Abgleich Kapazität'!$A67)*('Modell Kapazität'!$D$1:$AZ$1='Abgleich Kapazität'!P$38)*'Modell Kapazität'!$D$2:$AZ$35))/1000</f>
        <v>0.61699999999999999</v>
      </c>
      <c r="Q67" s="58">
        <f>(SUMPRODUCT(('Modell Kapazität'!$C$2:$C$35='Abgleich Kapazität'!$A67)*('Modell Kapazität'!$D$1:$AZ$1='Abgleich Kapazität'!Q$40)*'Modell Kapazität'!$D$2:$AZ$35)+SUMPRODUCT(('Modell Kapazität'!$C$2:$C$35='Abgleich Kapazität'!$A67)*('Modell Kapazität'!$D$1:$AZ$1='Abgleich Kapazität'!Q$39)*'Modell Kapazität'!$D$2:$AZ$35)+SUMPRODUCT(('Modell Kapazität'!$C$2:$C$35='Abgleich Kapazität'!$A67)*('Modell Kapazität'!$D$1:$AZ$1='Abgleich Kapazität'!Q$38)*'Modell Kapazität'!$D$2:$AZ$35))/1000</f>
        <v>0</v>
      </c>
      <c r="R67" s="58">
        <f>(SUMPRODUCT(('Modell Kapazität'!$C$2:$C$35='Abgleich Kapazität'!$A67)*('Modell Kapazität'!$D$1:$AZ$1='Abgleich Kapazität'!R$40)*'Modell Kapazität'!$D$2:$AZ$35)+SUMPRODUCT(('Modell Kapazität'!$C$2:$C$35='Abgleich Kapazität'!$A67)*('Modell Kapazität'!$D$1:$AZ$1='Abgleich Kapazität'!R$39)*'Modell Kapazität'!$D$2:$AZ$35)+SUMPRODUCT(('Modell Kapazität'!$C$2:$C$35='Abgleich Kapazität'!$A67)*('Modell Kapazität'!$D$1:$AZ$1='Abgleich Kapazität'!R$38)*'Modell Kapazität'!$D$2:$AZ$35))/1000</f>
        <v>0.61299999999999999</v>
      </c>
      <c r="S67" s="58">
        <f>(SUMPRODUCT(('Modell Kapazität'!$C$2:$C$35='Abgleich Kapazität'!$A67)*('Modell Kapazität'!$D$1:$AZ$1='Abgleich Kapazität'!S$40)*'Modell Kapazität'!$D$2:$AZ$35)+SUMPRODUCT(('Modell Kapazität'!$C$2:$C$35='Abgleich Kapazität'!$A67)*('Modell Kapazität'!$D$1:$AZ$1='Abgleich Kapazität'!S$39)*'Modell Kapazität'!$D$2:$AZ$35)+SUMPRODUCT(('Modell Kapazität'!$C$2:$C$35='Abgleich Kapazität'!$A67)*('Modell Kapazität'!$D$1:$AZ$1='Abgleich Kapazität'!S$38)*'Modell Kapazität'!$D$2:$AZ$35))/1000</f>
        <v>0</v>
      </c>
      <c r="T67" s="58">
        <f>(SUMPRODUCT(('Modell Kapazität'!$C$2:$C$35='Abgleich Kapazität'!$A67)*('Modell Kapazität'!$D$1:$AZ$1='Abgleich Kapazität'!T$40)*'Modell Kapazität'!$D$2:$AZ$35)+SUMPRODUCT(('Modell Kapazität'!$C$2:$C$35='Abgleich Kapazität'!$A67)*('Modell Kapazität'!$D$1:$AZ$1='Abgleich Kapazität'!T$39)*'Modell Kapazität'!$D$2:$AZ$35)+SUMPRODUCT(('Modell Kapazität'!$C$2:$C$35='Abgleich Kapazität'!$A67)*('Modell Kapazität'!$D$1:$AZ$1='Abgleich Kapazität'!T$38)*'Modell Kapazität'!$D$2:$AZ$35))/1000</f>
        <v>0</v>
      </c>
      <c r="U67" s="58">
        <f>(SUMPRODUCT(('Modell Kapazität'!$C$2:$C$35='Abgleich Kapazität'!$A67)*('Modell Kapazität'!$D$1:$AZ$1='Abgleich Kapazität'!U$40)*'Modell Kapazität'!$D$2:$AZ$35)+SUMPRODUCT(('Modell Kapazität'!$C$2:$C$35='Abgleich Kapazität'!$A67)*('Modell Kapazität'!$D$1:$AZ$1='Abgleich Kapazität'!U$39)*'Modell Kapazität'!$D$2:$AZ$35)+SUMPRODUCT(('Modell Kapazität'!$C$2:$C$35='Abgleich Kapazität'!$A67)*('Modell Kapazität'!$D$1:$AZ$1='Abgleich Kapazität'!U$38)*'Modell Kapazität'!$D$2:$AZ$35))/1000</f>
        <v>0</v>
      </c>
      <c r="V67" s="59">
        <f t="shared" si="76"/>
        <v>19.926747600000002</v>
      </c>
    </row>
    <row r="68" spans="1:22" x14ac:dyDescent="0.25">
      <c r="A68" s="14" t="s">
        <v>35</v>
      </c>
      <c r="B68" s="25">
        <f t="shared" si="73"/>
        <v>10.388774999999999</v>
      </c>
      <c r="C68" s="26">
        <f>(SUMPRODUCT(('Modell Kapazität'!$C$2:$C$35='Abgleich Kapazität'!$A68)*('Modell Kapazität'!$D$1:$AZ$1='Abgleich Kapazität'!C$40)*'Modell Kapazität'!$D$2:$AZ$35)+SUMPRODUCT(('Modell Kapazität'!$C$2:$C$35='Abgleich Kapazität'!$A68)*('Modell Kapazität'!$D$1:$AZ$1='Abgleich Kapazität'!C$39)*'Modell Kapazität'!$D$2:$AZ$35)+SUMPRODUCT(('Modell Kapazität'!$C$2:$C$35='Abgleich Kapazität'!$A68)*('Modell Kapazität'!$D$1:$AZ$1='Abgleich Kapazität'!C$38)*'Modell Kapazität'!$D$2:$AZ$35))/1000</f>
        <v>1.3680000000000001</v>
      </c>
      <c r="D68" s="26">
        <f t="shared" si="74"/>
        <v>9.0207749999999987</v>
      </c>
      <c r="E68" s="26">
        <f>(SUMPRODUCT(('Modell Kapazität'!$C$2:$C$35='Abgleich Kapazität'!$A68)*('Modell Kapazität'!$D$1:$AZ$1='Abgleich Kapazität'!E$40)*'Modell Kapazität'!$D$2:$AZ$35)+SUMPRODUCT(('Modell Kapazität'!$C$2:$C$35='Abgleich Kapazität'!$A68)*('Modell Kapazität'!$D$1:$AZ$1='Abgleich Kapazität'!E$39)*'Modell Kapazität'!$D$2:$AZ$35)+SUMPRODUCT(('Modell Kapazität'!$C$2:$C$35='Abgleich Kapazität'!$A68)*('Modell Kapazität'!$D$1:$AZ$1='Abgleich Kapazität'!E$38)*'Modell Kapazität'!$D$2:$AZ$35))/1000</f>
        <v>4.8744499999999995</v>
      </c>
      <c r="F68" s="26">
        <f>(SUMPRODUCT(('Modell Kapazität'!$C$2:$C$35='Abgleich Kapazität'!$A68)*('Modell Kapazität'!$D$1:$AZ$1='Abgleich Kapazität'!F$40)*'Modell Kapazität'!$D$2:$AZ$35)+SUMPRODUCT(('Modell Kapazität'!$C$2:$C$35='Abgleich Kapazität'!$A68)*('Modell Kapazität'!$D$1:$AZ$1='Abgleich Kapazität'!F$39)*'Modell Kapazität'!$D$2:$AZ$35)+SUMPRODUCT(('Modell Kapazität'!$C$2:$C$35='Abgleich Kapazität'!$A68)*('Modell Kapazität'!$D$1:$AZ$1='Abgleich Kapazität'!F$38)*'Modell Kapazität'!$D$2:$AZ$35))/1000</f>
        <v>3.1668249999999998</v>
      </c>
      <c r="G68" s="26">
        <f>(SUMPRODUCT(('Modell Kapazität'!$C$2:$C$35='Abgleich Kapazität'!$A68)*('Modell Kapazität'!$D$1:$AZ$1='Abgleich Kapazität'!G$40)*'Modell Kapazität'!$D$2:$AZ$35)+SUMPRODUCT(('Modell Kapazität'!$C$2:$C$35='Abgleich Kapazität'!$A68)*('Modell Kapazität'!$D$1:$AZ$1='Abgleich Kapazität'!G$39)*'Modell Kapazität'!$D$2:$AZ$35)+SUMPRODUCT(('Modell Kapazität'!$C$2:$C$35='Abgleich Kapazität'!$A68)*('Modell Kapazität'!$D$1:$AZ$1='Abgleich Kapazität'!G$38)*'Modell Kapazität'!$D$2:$AZ$35))/1000</f>
        <v>0.97950000000000004</v>
      </c>
      <c r="H68" s="26">
        <f>(SUMPRODUCT(('Modell Kapazität'!$C$2:$C$35='Abgleich Kapazität'!$A68)*('Modell Kapazität'!$D$1:$AZ$1='Abgleich Kapazität'!H$40)*'Modell Kapazität'!$D$2:$AZ$35)+SUMPRODUCT(('Modell Kapazität'!$C$2:$C$35='Abgleich Kapazität'!$A68)*('Modell Kapazität'!$D$1:$AZ$1='Abgleich Kapazität'!H$39)*'Modell Kapazität'!$D$2:$AZ$35)+SUMPRODUCT(('Modell Kapazität'!$C$2:$C$35='Abgleich Kapazität'!$A68)*('Modell Kapazität'!$D$1:$AZ$1='Abgleich Kapazität'!H$38)*'Modell Kapazität'!$D$2:$AZ$35))/1000</f>
        <v>0</v>
      </c>
      <c r="I68" s="26">
        <f>(SUMPRODUCT(('Modell Kapazität'!$C$2:$C$35='Abgleich Kapazität'!$A68)*('Modell Kapazität'!$D$1:$AZ$1='Abgleich Kapazität'!I$40)*'Modell Kapazität'!$D$2:$AZ$35)+SUMPRODUCT(('Modell Kapazität'!$C$2:$C$35='Abgleich Kapazität'!$A68)*('Modell Kapazität'!$D$1:$AZ$1='Abgleich Kapazität'!I$39)*'Modell Kapazität'!$D$2:$AZ$35)+SUMPRODUCT(('Modell Kapazität'!$C$2:$C$35='Abgleich Kapazität'!$A68)*('Modell Kapazität'!$D$1:$AZ$1='Abgleich Kapazität'!I$38)*'Modell Kapazität'!$D$2:$AZ$35))/1000</f>
        <v>0</v>
      </c>
      <c r="J68" s="26">
        <f>(SUMPRODUCT(('Modell Kapazität'!$C$2:$C$35='Abgleich Kapazität'!$A68)*('Modell Kapazität'!$D$1:$AZ$1='Abgleich Kapazität'!J$40)*'Modell Kapazität'!$D$2:$AZ$35)+SUMPRODUCT(('Modell Kapazität'!$C$2:$C$35='Abgleich Kapazität'!$A68)*('Modell Kapazität'!$D$1:$AZ$1='Abgleich Kapazität'!J$39)*'Modell Kapazität'!$D$2:$AZ$35)+SUMPRODUCT(('Modell Kapazität'!$C$2:$C$35='Abgleich Kapazität'!$A68)*('Modell Kapazität'!$D$1:$AZ$1='Abgleich Kapazität'!J$38)*'Modell Kapazität'!$D$2:$AZ$35))/1000</f>
        <v>0</v>
      </c>
      <c r="K68" s="27">
        <f t="shared" si="75"/>
        <v>10.433160067199999</v>
      </c>
      <c r="L68" s="26">
        <f>(SUMPRODUCT(('Modell Kapazität'!$C$2:$C$35='Abgleich Kapazität'!$A68)*('Modell Kapazität'!$D$1:$AZ$1='Abgleich Kapazität'!L$40)*'Modell Kapazität'!$D$2:$AZ$35)+SUMPRODUCT(('Modell Kapazität'!$C$2:$C$35='Abgleich Kapazität'!$A68)*('Modell Kapazität'!$D$1:$AZ$1='Abgleich Kapazität'!L$39)*'Modell Kapazität'!$D$2:$AZ$35)+SUMPRODUCT(('Modell Kapazität'!$C$2:$C$35='Abgleich Kapazität'!$A68)*('Modell Kapazität'!$D$1:$AZ$1='Abgleich Kapazität'!L$38)*'Modell Kapazität'!$D$2:$AZ$35))/1000</f>
        <v>6.1948646500000004</v>
      </c>
      <c r="M68" s="26">
        <f>(SUMPRODUCT(('Modell Kapazität'!$C$2:$C$35='Abgleich Kapazität'!$A68)*('Modell Kapazität'!$D$1:$AZ$1='Abgleich Kapazität'!M$40)*'Modell Kapazität'!$D$2:$AZ$35)+SUMPRODUCT(('Modell Kapazität'!$C$2:$C$35='Abgleich Kapazität'!$A68)*('Modell Kapazität'!$D$1:$AZ$1='Abgleich Kapazität'!M$39)*'Modell Kapazität'!$D$2:$AZ$35)+SUMPRODUCT(('Modell Kapazität'!$C$2:$C$35='Abgleich Kapazität'!$A68)*('Modell Kapazität'!$D$1:$AZ$1='Abgleich Kapazität'!M$38)*'Modell Kapazität'!$D$2:$AZ$35))/1000</f>
        <v>0</v>
      </c>
      <c r="N68" s="26">
        <f>(SUMPRODUCT(('Modell Kapazität'!$C$2:$C$35='Abgleich Kapazität'!$A68)*('Modell Kapazität'!$D$1:$AZ$1='Abgleich Kapazität'!N$40)*'Modell Kapazität'!$D$2:$AZ$35)+SUMPRODUCT(('Modell Kapazität'!$C$2:$C$35='Abgleich Kapazität'!$A68)*('Modell Kapazität'!$D$1:$AZ$1='Abgleich Kapazität'!N$39)*'Modell Kapazität'!$D$2:$AZ$35)+SUMPRODUCT(('Modell Kapazität'!$C$2:$C$35='Abgleich Kapazität'!$A68)*('Modell Kapazität'!$D$1:$AZ$1='Abgleich Kapazität'!N$38)*'Modell Kapazität'!$D$2:$AZ$35))/1000</f>
        <v>0</v>
      </c>
      <c r="O68" s="26">
        <f>(SUMPRODUCT(('Modell Kapazität'!$C$2:$C$35='Abgleich Kapazität'!$A68)*('Modell Kapazität'!$D$1:$AZ$1='Abgleich Kapazität'!O$40)*'Modell Kapazität'!$D$2:$AZ$35)+SUMPRODUCT(('Modell Kapazität'!$C$2:$C$35='Abgleich Kapazität'!$A68)*('Modell Kapazität'!$D$1:$AZ$1='Abgleich Kapazität'!O$39)*'Modell Kapazität'!$D$2:$AZ$35)+SUMPRODUCT(('Modell Kapazität'!$C$2:$C$35='Abgleich Kapazität'!$A68)*('Modell Kapazität'!$D$1:$AZ$1='Abgleich Kapazität'!O$38)*'Modell Kapazität'!$D$2:$AZ$35))/1000</f>
        <v>3.125</v>
      </c>
      <c r="P68" s="26">
        <f>(SUMPRODUCT(('Modell Kapazität'!$C$2:$C$35='Abgleich Kapazität'!$A68)*('Modell Kapazität'!$D$1:$AZ$1='Abgleich Kapazität'!P$40)*'Modell Kapazität'!$D$2:$AZ$35)+SUMPRODUCT(('Modell Kapazität'!$C$2:$C$35='Abgleich Kapazität'!$A68)*('Modell Kapazität'!$D$1:$AZ$1='Abgleich Kapazität'!P$39)*'Modell Kapazität'!$D$2:$AZ$35)+SUMPRODUCT(('Modell Kapazität'!$C$2:$C$35='Abgleich Kapazität'!$A68)*('Modell Kapazität'!$D$1:$AZ$1='Abgleich Kapazität'!P$38)*'Modell Kapazität'!$D$2:$AZ$35))/1000</f>
        <v>0.41799999999999998</v>
      </c>
      <c r="Q68" s="26">
        <f>(SUMPRODUCT(('Modell Kapazität'!$C$2:$C$35='Abgleich Kapazität'!$A68)*('Modell Kapazität'!$D$1:$AZ$1='Abgleich Kapazität'!Q$40)*'Modell Kapazität'!$D$2:$AZ$35)+SUMPRODUCT(('Modell Kapazität'!$C$2:$C$35='Abgleich Kapazität'!$A68)*('Modell Kapazität'!$D$1:$AZ$1='Abgleich Kapazität'!Q$39)*'Modell Kapazität'!$D$2:$AZ$35)+SUMPRODUCT(('Modell Kapazität'!$C$2:$C$35='Abgleich Kapazität'!$A68)*('Modell Kapazität'!$D$1:$AZ$1='Abgleich Kapazität'!Q$38)*'Modell Kapazität'!$D$2:$AZ$35))/1000</f>
        <v>0</v>
      </c>
      <c r="R68" s="26">
        <f>(SUMPRODUCT(('Modell Kapazität'!$C$2:$C$35='Abgleich Kapazität'!$A68)*('Modell Kapazität'!$D$1:$AZ$1='Abgleich Kapazität'!R$40)*'Modell Kapazität'!$D$2:$AZ$35)+SUMPRODUCT(('Modell Kapazität'!$C$2:$C$35='Abgleich Kapazität'!$A68)*('Modell Kapazität'!$D$1:$AZ$1='Abgleich Kapazität'!R$39)*'Modell Kapazität'!$D$2:$AZ$35)+SUMPRODUCT(('Modell Kapazität'!$C$2:$C$35='Abgleich Kapazität'!$A68)*('Modell Kapazität'!$D$1:$AZ$1='Abgleich Kapazität'!R$38)*'Modell Kapazität'!$D$2:$AZ$35))/1000</f>
        <v>0.69529541719999999</v>
      </c>
      <c r="S68" s="26">
        <f>(SUMPRODUCT(('Modell Kapazität'!$C$2:$C$35='Abgleich Kapazität'!$A68)*('Modell Kapazität'!$D$1:$AZ$1='Abgleich Kapazität'!S$40)*'Modell Kapazität'!$D$2:$AZ$35)+SUMPRODUCT(('Modell Kapazität'!$C$2:$C$35='Abgleich Kapazität'!$A68)*('Modell Kapazität'!$D$1:$AZ$1='Abgleich Kapazität'!S$39)*'Modell Kapazität'!$D$2:$AZ$35)+SUMPRODUCT(('Modell Kapazität'!$C$2:$C$35='Abgleich Kapazität'!$A68)*('Modell Kapazität'!$D$1:$AZ$1='Abgleich Kapazität'!S$38)*'Modell Kapazität'!$D$2:$AZ$35))/1000</f>
        <v>0</v>
      </c>
      <c r="T68" s="26">
        <f>(SUMPRODUCT(('Modell Kapazität'!$C$2:$C$35='Abgleich Kapazität'!$A68)*('Modell Kapazität'!$D$1:$AZ$1='Abgleich Kapazität'!T$40)*'Modell Kapazität'!$D$2:$AZ$35)+SUMPRODUCT(('Modell Kapazität'!$C$2:$C$35='Abgleich Kapazität'!$A68)*('Modell Kapazität'!$D$1:$AZ$1='Abgleich Kapazität'!T$39)*'Modell Kapazität'!$D$2:$AZ$35)+SUMPRODUCT(('Modell Kapazität'!$C$2:$C$35='Abgleich Kapazität'!$A68)*('Modell Kapazität'!$D$1:$AZ$1='Abgleich Kapazität'!T$38)*'Modell Kapazität'!$D$2:$AZ$35))/1000</f>
        <v>0</v>
      </c>
      <c r="U68" s="26">
        <f>(SUMPRODUCT(('Modell Kapazität'!$C$2:$C$35='Abgleich Kapazität'!$A68)*('Modell Kapazität'!$D$1:$AZ$1='Abgleich Kapazität'!U$40)*'Modell Kapazität'!$D$2:$AZ$35)+SUMPRODUCT(('Modell Kapazität'!$C$2:$C$35='Abgleich Kapazität'!$A68)*('Modell Kapazität'!$D$1:$AZ$1='Abgleich Kapazität'!U$39)*'Modell Kapazität'!$D$2:$AZ$35)+SUMPRODUCT(('Modell Kapazität'!$C$2:$C$35='Abgleich Kapazität'!$A68)*('Modell Kapazität'!$D$1:$AZ$1='Abgleich Kapazität'!U$38)*'Modell Kapazität'!$D$2:$AZ$35))/1000</f>
        <v>0</v>
      </c>
      <c r="V68" s="27">
        <f t="shared" si="76"/>
        <v>20.821935067199998</v>
      </c>
    </row>
    <row r="69" spans="1:22" x14ac:dyDescent="0.25">
      <c r="A69" s="14" t="s">
        <v>36</v>
      </c>
      <c r="B69" s="57">
        <f t="shared" si="73"/>
        <v>5.2165000000000008</v>
      </c>
      <c r="C69" s="58">
        <f>(SUMPRODUCT(('Modell Kapazität'!$C$2:$C$35='Abgleich Kapazität'!$A69)*('Modell Kapazität'!$D$1:$AZ$1='Abgleich Kapazität'!C$40)*'Modell Kapazität'!$D$2:$AZ$35)+SUMPRODUCT(('Modell Kapazität'!$C$2:$C$35='Abgleich Kapazität'!$A69)*('Modell Kapazität'!$D$1:$AZ$1='Abgleich Kapazität'!C$39)*'Modell Kapazität'!$D$2:$AZ$35)+SUMPRODUCT(('Modell Kapazität'!$C$2:$C$35='Abgleich Kapazität'!$A69)*('Modell Kapazität'!$D$1:$AZ$1='Abgleich Kapazität'!C$38)*'Modell Kapazität'!$D$2:$AZ$35))/1000</f>
        <v>0</v>
      </c>
      <c r="D69" s="58">
        <f t="shared" si="74"/>
        <v>5.2165000000000008</v>
      </c>
      <c r="E69" s="58">
        <f>(SUMPRODUCT(('Modell Kapazität'!$C$2:$C$35='Abgleich Kapazität'!$A69)*('Modell Kapazität'!$D$1:$AZ$1='Abgleich Kapazität'!E$40)*'Modell Kapazität'!$D$2:$AZ$35)+SUMPRODUCT(('Modell Kapazität'!$C$2:$C$35='Abgleich Kapazität'!$A69)*('Modell Kapazität'!$D$1:$AZ$1='Abgleich Kapazität'!E$39)*'Modell Kapazität'!$D$2:$AZ$35)+SUMPRODUCT(('Modell Kapazität'!$C$2:$C$35='Abgleich Kapazität'!$A69)*('Modell Kapazität'!$D$1:$AZ$1='Abgleich Kapazität'!E$38)*'Modell Kapazität'!$D$2:$AZ$35))/1000</f>
        <v>4.8847500000000004</v>
      </c>
      <c r="F69" s="58">
        <f>(SUMPRODUCT(('Modell Kapazität'!$C$2:$C$35='Abgleich Kapazität'!$A69)*('Modell Kapazität'!$D$1:$AZ$1='Abgleich Kapazität'!F$40)*'Modell Kapazität'!$D$2:$AZ$35)+SUMPRODUCT(('Modell Kapazität'!$C$2:$C$35='Abgleich Kapazität'!$A69)*('Modell Kapazität'!$D$1:$AZ$1='Abgleich Kapazität'!F$39)*'Modell Kapazität'!$D$2:$AZ$35)+SUMPRODUCT(('Modell Kapazität'!$C$2:$C$35='Abgleich Kapazität'!$A69)*('Modell Kapazität'!$D$1:$AZ$1='Abgleich Kapazität'!F$38)*'Modell Kapazität'!$D$2:$AZ$35))/1000</f>
        <v>0.23275000000000001</v>
      </c>
      <c r="G69" s="58">
        <f>(SUMPRODUCT(('Modell Kapazität'!$C$2:$C$35='Abgleich Kapazität'!$A69)*('Modell Kapazität'!$D$1:$AZ$1='Abgleich Kapazität'!G$40)*'Modell Kapazität'!$D$2:$AZ$35)+SUMPRODUCT(('Modell Kapazität'!$C$2:$C$35='Abgleich Kapazität'!$A69)*('Modell Kapazität'!$D$1:$AZ$1='Abgleich Kapazität'!G$39)*'Modell Kapazität'!$D$2:$AZ$35)+SUMPRODUCT(('Modell Kapazität'!$C$2:$C$35='Abgleich Kapazität'!$A69)*('Modell Kapazität'!$D$1:$AZ$1='Abgleich Kapazität'!G$38)*'Modell Kapazität'!$D$2:$AZ$35))/1000</f>
        <v>9.9000000000000005E-2</v>
      </c>
      <c r="H69" s="58">
        <f>(SUMPRODUCT(('Modell Kapazität'!$C$2:$C$35='Abgleich Kapazität'!$A69)*('Modell Kapazität'!$D$1:$AZ$1='Abgleich Kapazität'!H$40)*'Modell Kapazität'!$D$2:$AZ$35)+SUMPRODUCT(('Modell Kapazität'!$C$2:$C$35='Abgleich Kapazität'!$A69)*('Modell Kapazität'!$D$1:$AZ$1='Abgleich Kapazität'!H$39)*'Modell Kapazität'!$D$2:$AZ$35)+SUMPRODUCT(('Modell Kapazität'!$C$2:$C$35='Abgleich Kapazität'!$A69)*('Modell Kapazität'!$D$1:$AZ$1='Abgleich Kapazität'!H$38)*'Modell Kapazität'!$D$2:$AZ$35))/1000</f>
        <v>0</v>
      </c>
      <c r="I69" s="58">
        <f>(SUMPRODUCT(('Modell Kapazität'!$C$2:$C$35='Abgleich Kapazität'!$A69)*('Modell Kapazität'!$D$1:$AZ$1='Abgleich Kapazität'!I$40)*'Modell Kapazität'!$D$2:$AZ$35)+SUMPRODUCT(('Modell Kapazität'!$C$2:$C$35='Abgleich Kapazität'!$A69)*('Modell Kapazität'!$D$1:$AZ$1='Abgleich Kapazität'!I$39)*'Modell Kapazität'!$D$2:$AZ$35)+SUMPRODUCT(('Modell Kapazität'!$C$2:$C$35='Abgleich Kapazität'!$A69)*('Modell Kapazität'!$D$1:$AZ$1='Abgleich Kapazität'!I$38)*'Modell Kapazität'!$D$2:$AZ$35))/1000</f>
        <v>0</v>
      </c>
      <c r="J69" s="58">
        <f>(SUMPRODUCT(('Modell Kapazität'!$C$2:$C$35='Abgleich Kapazität'!$A69)*('Modell Kapazität'!$D$1:$AZ$1='Abgleich Kapazität'!J$40)*'Modell Kapazität'!$D$2:$AZ$35)+SUMPRODUCT(('Modell Kapazität'!$C$2:$C$35='Abgleich Kapazität'!$A69)*('Modell Kapazität'!$D$1:$AZ$1='Abgleich Kapazität'!J$39)*'Modell Kapazität'!$D$2:$AZ$35)+SUMPRODUCT(('Modell Kapazität'!$C$2:$C$35='Abgleich Kapazität'!$A69)*('Modell Kapazität'!$D$1:$AZ$1='Abgleich Kapazität'!J$38)*'Modell Kapazität'!$D$2:$AZ$35))/1000</f>
        <v>0</v>
      </c>
      <c r="K69" s="59">
        <f t="shared" si="75"/>
        <v>2.3780796999999994</v>
      </c>
      <c r="L69" s="58">
        <f>(SUMPRODUCT(('Modell Kapazität'!$C$2:$C$35='Abgleich Kapazität'!$A69)*('Modell Kapazität'!$D$1:$AZ$1='Abgleich Kapazität'!L$40)*'Modell Kapazität'!$D$2:$AZ$35)+SUMPRODUCT(('Modell Kapazität'!$C$2:$C$35='Abgleich Kapazität'!$A69)*('Modell Kapazität'!$D$1:$AZ$1='Abgleich Kapazität'!L$39)*'Modell Kapazität'!$D$2:$AZ$35)+SUMPRODUCT(('Modell Kapazität'!$C$2:$C$35='Abgleich Kapazität'!$A69)*('Modell Kapazität'!$D$1:$AZ$1='Abgleich Kapazität'!L$38)*'Modell Kapazität'!$D$2:$AZ$35))/1000</f>
        <v>2.0680796999999997</v>
      </c>
      <c r="M69" s="58">
        <f>(SUMPRODUCT(('Modell Kapazität'!$C$2:$C$35='Abgleich Kapazität'!$A69)*('Modell Kapazität'!$D$1:$AZ$1='Abgleich Kapazität'!M$40)*'Modell Kapazität'!$D$2:$AZ$35)+SUMPRODUCT(('Modell Kapazität'!$C$2:$C$35='Abgleich Kapazität'!$A69)*('Modell Kapazität'!$D$1:$AZ$1='Abgleich Kapazität'!M$39)*'Modell Kapazität'!$D$2:$AZ$35)+SUMPRODUCT(('Modell Kapazität'!$C$2:$C$35='Abgleich Kapazität'!$A69)*('Modell Kapazität'!$D$1:$AZ$1='Abgleich Kapazität'!M$38)*'Modell Kapazität'!$D$2:$AZ$35))/1000</f>
        <v>0</v>
      </c>
      <c r="N69" s="58">
        <f>(SUMPRODUCT(('Modell Kapazität'!$C$2:$C$35='Abgleich Kapazität'!$A69)*('Modell Kapazität'!$D$1:$AZ$1='Abgleich Kapazität'!N$40)*'Modell Kapazität'!$D$2:$AZ$35)+SUMPRODUCT(('Modell Kapazität'!$C$2:$C$35='Abgleich Kapazität'!$A69)*('Modell Kapazität'!$D$1:$AZ$1='Abgleich Kapazität'!N$39)*'Modell Kapazität'!$D$2:$AZ$35)+SUMPRODUCT(('Modell Kapazität'!$C$2:$C$35='Abgleich Kapazität'!$A69)*('Modell Kapazität'!$D$1:$AZ$1='Abgleich Kapazität'!N$38)*'Modell Kapazität'!$D$2:$AZ$35))/1000</f>
        <v>0</v>
      </c>
      <c r="O69" s="58">
        <f>(SUMPRODUCT(('Modell Kapazität'!$C$2:$C$35='Abgleich Kapazität'!$A69)*('Modell Kapazität'!$D$1:$AZ$1='Abgleich Kapazität'!O$40)*'Modell Kapazität'!$D$2:$AZ$35)+SUMPRODUCT(('Modell Kapazität'!$C$2:$C$35='Abgleich Kapazität'!$A69)*('Modell Kapazität'!$D$1:$AZ$1='Abgleich Kapazität'!O$39)*'Modell Kapazität'!$D$2:$AZ$35)+SUMPRODUCT(('Modell Kapazität'!$C$2:$C$35='Abgleich Kapazität'!$A69)*('Modell Kapazität'!$D$1:$AZ$1='Abgleich Kapazität'!O$38)*'Modell Kapazität'!$D$2:$AZ$35))/1000</f>
        <v>0.3</v>
      </c>
      <c r="P69" s="58">
        <f>(SUMPRODUCT(('Modell Kapazität'!$C$2:$C$35='Abgleich Kapazität'!$A69)*('Modell Kapazität'!$D$1:$AZ$1='Abgleich Kapazität'!P$40)*'Modell Kapazität'!$D$2:$AZ$35)+SUMPRODUCT(('Modell Kapazität'!$C$2:$C$35='Abgleich Kapazität'!$A69)*('Modell Kapazität'!$D$1:$AZ$1='Abgleich Kapazität'!P$39)*'Modell Kapazität'!$D$2:$AZ$35)+SUMPRODUCT(('Modell Kapazität'!$C$2:$C$35='Abgleich Kapazität'!$A69)*('Modell Kapazität'!$D$1:$AZ$1='Abgleich Kapazität'!P$38)*'Modell Kapazität'!$D$2:$AZ$35))/1000</f>
        <v>0</v>
      </c>
      <c r="Q69" s="58">
        <f>(SUMPRODUCT(('Modell Kapazität'!$C$2:$C$35='Abgleich Kapazität'!$A69)*('Modell Kapazität'!$D$1:$AZ$1='Abgleich Kapazität'!Q$40)*'Modell Kapazität'!$D$2:$AZ$35)+SUMPRODUCT(('Modell Kapazität'!$C$2:$C$35='Abgleich Kapazität'!$A69)*('Modell Kapazität'!$D$1:$AZ$1='Abgleich Kapazität'!Q$39)*'Modell Kapazität'!$D$2:$AZ$35)+SUMPRODUCT(('Modell Kapazität'!$C$2:$C$35='Abgleich Kapazität'!$A69)*('Modell Kapazität'!$D$1:$AZ$1='Abgleich Kapazität'!Q$38)*'Modell Kapazität'!$D$2:$AZ$35))/1000</f>
        <v>0</v>
      </c>
      <c r="R69" s="58">
        <f>(SUMPRODUCT(('Modell Kapazität'!$C$2:$C$35='Abgleich Kapazität'!$A69)*('Modell Kapazität'!$D$1:$AZ$1='Abgleich Kapazität'!R$40)*'Modell Kapazität'!$D$2:$AZ$35)+SUMPRODUCT(('Modell Kapazität'!$C$2:$C$35='Abgleich Kapazität'!$A69)*('Modell Kapazität'!$D$1:$AZ$1='Abgleich Kapazität'!R$39)*'Modell Kapazität'!$D$2:$AZ$35)+SUMPRODUCT(('Modell Kapazität'!$C$2:$C$35='Abgleich Kapazität'!$A69)*('Modell Kapazität'!$D$1:$AZ$1='Abgleich Kapazität'!R$38)*'Modell Kapazität'!$D$2:$AZ$35))/1000</f>
        <v>0.01</v>
      </c>
      <c r="S69" s="58">
        <f>(SUMPRODUCT(('Modell Kapazität'!$C$2:$C$35='Abgleich Kapazität'!$A69)*('Modell Kapazität'!$D$1:$AZ$1='Abgleich Kapazität'!S$40)*'Modell Kapazität'!$D$2:$AZ$35)+SUMPRODUCT(('Modell Kapazität'!$C$2:$C$35='Abgleich Kapazität'!$A69)*('Modell Kapazität'!$D$1:$AZ$1='Abgleich Kapazität'!S$39)*'Modell Kapazität'!$D$2:$AZ$35)+SUMPRODUCT(('Modell Kapazität'!$C$2:$C$35='Abgleich Kapazität'!$A69)*('Modell Kapazität'!$D$1:$AZ$1='Abgleich Kapazität'!S$38)*'Modell Kapazität'!$D$2:$AZ$35))/1000</f>
        <v>0</v>
      </c>
      <c r="T69" s="58">
        <f>(SUMPRODUCT(('Modell Kapazität'!$C$2:$C$35='Abgleich Kapazität'!$A69)*('Modell Kapazität'!$D$1:$AZ$1='Abgleich Kapazität'!T$40)*'Modell Kapazität'!$D$2:$AZ$35)+SUMPRODUCT(('Modell Kapazität'!$C$2:$C$35='Abgleich Kapazität'!$A69)*('Modell Kapazität'!$D$1:$AZ$1='Abgleich Kapazität'!T$39)*'Modell Kapazität'!$D$2:$AZ$35)+SUMPRODUCT(('Modell Kapazität'!$C$2:$C$35='Abgleich Kapazität'!$A69)*('Modell Kapazität'!$D$1:$AZ$1='Abgleich Kapazität'!T$38)*'Modell Kapazität'!$D$2:$AZ$35))/1000</f>
        <v>0</v>
      </c>
      <c r="U69" s="58">
        <f>(SUMPRODUCT(('Modell Kapazität'!$C$2:$C$35='Abgleich Kapazität'!$A69)*('Modell Kapazität'!$D$1:$AZ$1='Abgleich Kapazität'!U$40)*'Modell Kapazität'!$D$2:$AZ$35)+SUMPRODUCT(('Modell Kapazität'!$C$2:$C$35='Abgleich Kapazität'!$A69)*('Modell Kapazität'!$D$1:$AZ$1='Abgleich Kapazität'!U$39)*'Modell Kapazität'!$D$2:$AZ$35)+SUMPRODUCT(('Modell Kapazität'!$C$2:$C$35='Abgleich Kapazität'!$A69)*('Modell Kapazität'!$D$1:$AZ$1='Abgleich Kapazität'!U$38)*'Modell Kapazität'!$D$2:$AZ$35))/1000</f>
        <v>0</v>
      </c>
      <c r="V69" s="59">
        <f t="shared" si="76"/>
        <v>7.5945797000000006</v>
      </c>
    </row>
    <row r="70" spans="1:22" x14ac:dyDescent="0.25">
      <c r="A70" s="14" t="s">
        <v>37</v>
      </c>
      <c r="B70" s="25">
        <f t="shared" si="73"/>
        <v>12.347466949999999</v>
      </c>
      <c r="C70" s="26">
        <f>(SUMPRODUCT(('Modell Kapazität'!$C$2:$C$35='Abgleich Kapazität'!$A70)*('Modell Kapazität'!$D$1:$AZ$1='Abgleich Kapazität'!C$40)*'Modell Kapazität'!$D$2:$AZ$35)+SUMPRODUCT(('Modell Kapazität'!$C$2:$C$35='Abgleich Kapazität'!$A70)*('Modell Kapazität'!$D$1:$AZ$1='Abgleich Kapazität'!C$39)*'Modell Kapazität'!$D$2:$AZ$35)+SUMPRODUCT(('Modell Kapazität'!$C$2:$C$35='Abgleich Kapazität'!$A70)*('Modell Kapazität'!$D$1:$AZ$1='Abgleich Kapazität'!C$38)*'Modell Kapazität'!$D$2:$AZ$35))/1000</f>
        <v>8.9949999999999992</v>
      </c>
      <c r="D70" s="26">
        <f t="shared" si="74"/>
        <v>3.3524669500000002</v>
      </c>
      <c r="E70" s="26">
        <f>(SUMPRODUCT(('Modell Kapazität'!$C$2:$C$35='Abgleich Kapazität'!$A70)*('Modell Kapazität'!$D$1:$AZ$1='Abgleich Kapazität'!E$40)*'Modell Kapazität'!$D$2:$AZ$35)+SUMPRODUCT(('Modell Kapazität'!$C$2:$C$35='Abgleich Kapazität'!$A70)*('Modell Kapazität'!$D$1:$AZ$1='Abgleich Kapazität'!E$39)*'Modell Kapazität'!$D$2:$AZ$35)+SUMPRODUCT(('Modell Kapazität'!$C$2:$C$35='Abgleich Kapazität'!$A70)*('Modell Kapazität'!$D$1:$AZ$1='Abgleich Kapazität'!E$38)*'Modell Kapazität'!$D$2:$AZ$35))/1000</f>
        <v>0</v>
      </c>
      <c r="F70" s="26">
        <f>(SUMPRODUCT(('Modell Kapazität'!$C$2:$C$35='Abgleich Kapazität'!$A70)*('Modell Kapazität'!$D$1:$AZ$1='Abgleich Kapazität'!F$40)*'Modell Kapazität'!$D$2:$AZ$35)+SUMPRODUCT(('Modell Kapazität'!$C$2:$C$35='Abgleich Kapazität'!$A70)*('Modell Kapazität'!$D$1:$AZ$1='Abgleich Kapazität'!F$39)*'Modell Kapazität'!$D$2:$AZ$35)+SUMPRODUCT(('Modell Kapazität'!$C$2:$C$35='Abgleich Kapazität'!$A70)*('Modell Kapazität'!$D$1:$AZ$1='Abgleich Kapazität'!F$38)*'Modell Kapazität'!$D$2:$AZ$35))/1000</f>
        <v>1.4535669499999999</v>
      </c>
      <c r="G70" s="26">
        <f>(SUMPRODUCT(('Modell Kapazität'!$C$2:$C$35='Abgleich Kapazität'!$A70)*('Modell Kapazität'!$D$1:$AZ$1='Abgleich Kapazität'!G$40)*'Modell Kapazität'!$D$2:$AZ$35)+SUMPRODUCT(('Modell Kapazität'!$C$2:$C$35='Abgleich Kapazität'!$A70)*('Modell Kapazität'!$D$1:$AZ$1='Abgleich Kapazität'!G$39)*'Modell Kapazität'!$D$2:$AZ$35)+SUMPRODUCT(('Modell Kapazität'!$C$2:$C$35='Abgleich Kapazität'!$A70)*('Modell Kapazität'!$D$1:$AZ$1='Abgleich Kapazität'!G$38)*'Modell Kapazität'!$D$2:$AZ$35))/1000</f>
        <v>7.3900000000000007E-2</v>
      </c>
      <c r="H70" s="26">
        <f>(SUMPRODUCT(('Modell Kapazität'!$C$2:$C$35='Abgleich Kapazität'!$A70)*('Modell Kapazität'!$D$1:$AZ$1='Abgleich Kapazität'!H$40)*'Modell Kapazität'!$D$2:$AZ$35)+SUMPRODUCT(('Modell Kapazität'!$C$2:$C$35='Abgleich Kapazität'!$A70)*('Modell Kapazität'!$D$1:$AZ$1='Abgleich Kapazität'!H$39)*'Modell Kapazität'!$D$2:$AZ$35)+SUMPRODUCT(('Modell Kapazität'!$C$2:$C$35='Abgleich Kapazität'!$A70)*('Modell Kapazität'!$D$1:$AZ$1='Abgleich Kapazität'!H$38)*'Modell Kapazität'!$D$2:$AZ$35))/1000</f>
        <v>0</v>
      </c>
      <c r="I70" s="26">
        <f>(SUMPRODUCT(('Modell Kapazität'!$C$2:$C$35='Abgleich Kapazität'!$A70)*('Modell Kapazität'!$D$1:$AZ$1='Abgleich Kapazität'!I$40)*'Modell Kapazität'!$D$2:$AZ$35)+SUMPRODUCT(('Modell Kapazität'!$C$2:$C$35='Abgleich Kapazität'!$A70)*('Modell Kapazität'!$D$1:$AZ$1='Abgleich Kapazität'!I$39)*'Modell Kapazität'!$D$2:$AZ$35)+SUMPRODUCT(('Modell Kapazität'!$C$2:$C$35='Abgleich Kapazität'!$A70)*('Modell Kapazität'!$D$1:$AZ$1='Abgleich Kapazität'!I$38)*'Modell Kapazität'!$D$2:$AZ$35))/1000</f>
        <v>0</v>
      </c>
      <c r="J70" s="26">
        <f>(SUMPRODUCT(('Modell Kapazität'!$C$2:$C$35='Abgleich Kapazität'!$A70)*('Modell Kapazität'!$D$1:$AZ$1='Abgleich Kapazität'!J$40)*'Modell Kapazität'!$D$2:$AZ$35)+SUMPRODUCT(('Modell Kapazität'!$C$2:$C$35='Abgleich Kapazität'!$A70)*('Modell Kapazität'!$D$1:$AZ$1='Abgleich Kapazität'!J$39)*'Modell Kapazität'!$D$2:$AZ$35)+SUMPRODUCT(('Modell Kapazität'!$C$2:$C$35='Abgleich Kapazität'!$A70)*('Modell Kapazität'!$D$1:$AZ$1='Abgleich Kapazität'!J$38)*'Modell Kapazität'!$D$2:$AZ$35))/1000</f>
        <v>1.825</v>
      </c>
      <c r="K70" s="27">
        <f t="shared" si="75"/>
        <v>26.830243549999</v>
      </c>
      <c r="L70" s="26">
        <f>(SUMPRODUCT(('Modell Kapazität'!$C$2:$C$35='Abgleich Kapazität'!$A70)*('Modell Kapazität'!$D$1:$AZ$1='Abgleich Kapazität'!L$40)*'Modell Kapazität'!$D$2:$AZ$35)+SUMPRODUCT(('Modell Kapazität'!$C$2:$C$35='Abgleich Kapazität'!$A70)*('Modell Kapazität'!$D$1:$AZ$1='Abgleich Kapazität'!L$39)*'Modell Kapazität'!$D$2:$AZ$35)+SUMPRODUCT(('Modell Kapazität'!$C$2:$C$35='Abgleich Kapazität'!$A70)*('Modell Kapazität'!$D$1:$AZ$1='Abgleich Kapazität'!L$38)*'Modell Kapazität'!$D$2:$AZ$35))/1000</f>
        <v>16.45099355</v>
      </c>
      <c r="M70" s="26">
        <f>(SUMPRODUCT(('Modell Kapazität'!$C$2:$C$35='Abgleich Kapazität'!$A70)*('Modell Kapazität'!$D$1:$AZ$1='Abgleich Kapazität'!M$40)*'Modell Kapazität'!$D$2:$AZ$35)+SUMPRODUCT(('Modell Kapazität'!$C$2:$C$35='Abgleich Kapazität'!$A70)*('Modell Kapazität'!$D$1:$AZ$1='Abgleich Kapazität'!M$39)*'Modell Kapazität'!$D$2:$AZ$35)+SUMPRODUCT(('Modell Kapazität'!$C$2:$C$35='Abgleich Kapazität'!$A70)*('Modell Kapazität'!$D$1:$AZ$1='Abgleich Kapazität'!M$38)*'Modell Kapazität'!$D$2:$AZ$35))/1000</f>
        <v>0</v>
      </c>
      <c r="N70" s="26">
        <f>(SUMPRODUCT(('Modell Kapazität'!$C$2:$C$35='Abgleich Kapazität'!$A70)*('Modell Kapazität'!$D$1:$AZ$1='Abgleich Kapazität'!N$40)*'Modell Kapazität'!$D$2:$AZ$35)+SUMPRODUCT(('Modell Kapazität'!$C$2:$C$35='Abgleich Kapazität'!$A70)*('Modell Kapazität'!$D$1:$AZ$1='Abgleich Kapazität'!N$39)*'Modell Kapazität'!$D$2:$AZ$35)+SUMPRODUCT(('Modell Kapazität'!$C$2:$C$35='Abgleich Kapazität'!$A70)*('Modell Kapazität'!$D$1:$AZ$1='Abgleich Kapazität'!N$38)*'Modell Kapazität'!$D$2:$AZ$35))/1000</f>
        <v>0.1</v>
      </c>
      <c r="O70" s="26">
        <f>(SUMPRODUCT(('Modell Kapazität'!$C$2:$C$35='Abgleich Kapazität'!$A70)*('Modell Kapazität'!$D$1:$AZ$1='Abgleich Kapazität'!O$40)*'Modell Kapazität'!$D$2:$AZ$35)+SUMPRODUCT(('Modell Kapazität'!$C$2:$C$35='Abgleich Kapazität'!$A70)*('Modell Kapazität'!$D$1:$AZ$1='Abgleich Kapazität'!O$39)*'Modell Kapazität'!$D$2:$AZ$35)+SUMPRODUCT(('Modell Kapazität'!$C$2:$C$35='Abgleich Kapazität'!$A70)*('Modell Kapazität'!$D$1:$AZ$1='Abgleich Kapazität'!O$38)*'Modell Kapazität'!$D$2:$AZ$35))/1000</f>
        <v>6.6957499999989993</v>
      </c>
      <c r="P70" s="26">
        <f>(SUMPRODUCT(('Modell Kapazität'!$C$2:$C$35='Abgleich Kapazität'!$A70)*('Modell Kapazität'!$D$1:$AZ$1='Abgleich Kapazität'!P$40)*'Modell Kapazität'!$D$2:$AZ$35)+SUMPRODUCT(('Modell Kapazität'!$C$2:$C$35='Abgleich Kapazität'!$A70)*('Modell Kapazität'!$D$1:$AZ$1='Abgleich Kapazität'!P$39)*'Modell Kapazität'!$D$2:$AZ$35)+SUMPRODUCT(('Modell Kapazität'!$C$2:$C$35='Abgleich Kapazität'!$A70)*('Modell Kapazität'!$D$1:$AZ$1='Abgleich Kapazität'!P$38)*'Modell Kapazität'!$D$2:$AZ$35))/1000</f>
        <v>0.47549999999999998</v>
      </c>
      <c r="Q70" s="26">
        <f>(SUMPRODUCT(('Modell Kapazität'!$C$2:$C$35='Abgleich Kapazität'!$A70)*('Modell Kapazität'!$D$1:$AZ$1='Abgleich Kapazität'!Q$40)*'Modell Kapazität'!$D$2:$AZ$35)+SUMPRODUCT(('Modell Kapazität'!$C$2:$C$35='Abgleich Kapazität'!$A70)*('Modell Kapazität'!$D$1:$AZ$1='Abgleich Kapazität'!Q$39)*'Modell Kapazität'!$D$2:$AZ$35)+SUMPRODUCT(('Modell Kapazität'!$C$2:$C$35='Abgleich Kapazität'!$A70)*('Modell Kapazität'!$D$1:$AZ$1='Abgleich Kapazität'!Q$38)*'Modell Kapazität'!$D$2:$AZ$35))/1000</f>
        <v>0</v>
      </c>
      <c r="R70" s="26">
        <f>(SUMPRODUCT(('Modell Kapazität'!$C$2:$C$35='Abgleich Kapazität'!$A70)*('Modell Kapazität'!$D$1:$AZ$1='Abgleich Kapazität'!R$40)*'Modell Kapazität'!$D$2:$AZ$35)+SUMPRODUCT(('Modell Kapazität'!$C$2:$C$35='Abgleich Kapazität'!$A70)*('Modell Kapazität'!$D$1:$AZ$1='Abgleich Kapazität'!R$39)*'Modell Kapazität'!$D$2:$AZ$35)+SUMPRODUCT(('Modell Kapazität'!$C$2:$C$35='Abgleich Kapazität'!$A70)*('Modell Kapazität'!$D$1:$AZ$1='Abgleich Kapazität'!R$38)*'Modell Kapazität'!$D$2:$AZ$35))/1000</f>
        <v>3.1080000000000001</v>
      </c>
      <c r="S70" s="26">
        <f>(SUMPRODUCT(('Modell Kapazität'!$C$2:$C$35='Abgleich Kapazität'!$A70)*('Modell Kapazität'!$D$1:$AZ$1='Abgleich Kapazität'!S$40)*'Modell Kapazität'!$D$2:$AZ$35)+SUMPRODUCT(('Modell Kapazität'!$C$2:$C$35='Abgleich Kapazität'!$A70)*('Modell Kapazität'!$D$1:$AZ$1='Abgleich Kapazität'!S$39)*'Modell Kapazität'!$D$2:$AZ$35)+SUMPRODUCT(('Modell Kapazität'!$C$2:$C$35='Abgleich Kapazität'!$A70)*('Modell Kapazität'!$D$1:$AZ$1='Abgleich Kapazität'!S$38)*'Modell Kapazität'!$D$2:$AZ$35))/1000</f>
        <v>0</v>
      </c>
      <c r="T70" s="26">
        <f>(SUMPRODUCT(('Modell Kapazität'!$C$2:$C$35='Abgleich Kapazität'!$A70)*('Modell Kapazität'!$D$1:$AZ$1='Abgleich Kapazität'!T$40)*'Modell Kapazität'!$D$2:$AZ$35)+SUMPRODUCT(('Modell Kapazität'!$C$2:$C$35='Abgleich Kapazität'!$A70)*('Modell Kapazität'!$D$1:$AZ$1='Abgleich Kapazität'!T$39)*'Modell Kapazität'!$D$2:$AZ$35)+SUMPRODUCT(('Modell Kapazität'!$C$2:$C$35='Abgleich Kapazität'!$A70)*('Modell Kapazität'!$D$1:$AZ$1='Abgleich Kapazität'!T$38)*'Modell Kapazität'!$D$2:$AZ$35))/1000</f>
        <v>0</v>
      </c>
      <c r="U70" s="26">
        <f>(SUMPRODUCT(('Modell Kapazität'!$C$2:$C$35='Abgleich Kapazität'!$A70)*('Modell Kapazität'!$D$1:$AZ$1='Abgleich Kapazität'!U$40)*'Modell Kapazität'!$D$2:$AZ$35)+SUMPRODUCT(('Modell Kapazität'!$C$2:$C$35='Abgleich Kapazität'!$A70)*('Modell Kapazität'!$D$1:$AZ$1='Abgleich Kapazität'!U$39)*'Modell Kapazität'!$D$2:$AZ$35)+SUMPRODUCT(('Modell Kapazität'!$C$2:$C$35='Abgleich Kapazität'!$A70)*('Modell Kapazität'!$D$1:$AZ$1='Abgleich Kapazität'!U$38)*'Modell Kapazität'!$D$2:$AZ$35))/1000</f>
        <v>0</v>
      </c>
      <c r="V70" s="27">
        <f t="shared" si="76"/>
        <v>39.177710499999002</v>
      </c>
    </row>
    <row r="71" spans="1:22" x14ac:dyDescent="0.25">
      <c r="A71" s="14" t="s">
        <v>38</v>
      </c>
      <c r="B71" s="57">
        <f t="shared" si="73"/>
        <v>1.8595225000000002</v>
      </c>
      <c r="C71" s="58">
        <f>(SUMPRODUCT(('Modell Kapazität'!$C$2:$C$35='Abgleich Kapazität'!$A71)*('Modell Kapazität'!$D$1:$AZ$1='Abgleich Kapazität'!C$40)*'Modell Kapazität'!$D$2:$AZ$35)+SUMPRODUCT(('Modell Kapazität'!$C$2:$C$35='Abgleich Kapazität'!$A71)*('Modell Kapazität'!$D$1:$AZ$1='Abgleich Kapazität'!C$39)*'Modell Kapazität'!$D$2:$AZ$35)+SUMPRODUCT(('Modell Kapazität'!$C$2:$C$35='Abgleich Kapazität'!$A71)*('Modell Kapazität'!$D$1:$AZ$1='Abgleich Kapazität'!C$38)*'Modell Kapazität'!$D$2:$AZ$35))/1000</f>
        <v>0.67164999999999997</v>
      </c>
      <c r="D71" s="58">
        <f t="shared" si="74"/>
        <v>1.1878725000000001</v>
      </c>
      <c r="E71" s="58">
        <f>(SUMPRODUCT(('Modell Kapazität'!$C$2:$C$35='Abgleich Kapazität'!$A71)*('Modell Kapazität'!$D$1:$AZ$1='Abgleich Kapazität'!E$40)*'Modell Kapazität'!$D$2:$AZ$35)+SUMPRODUCT(('Modell Kapazität'!$C$2:$C$35='Abgleich Kapazität'!$A71)*('Modell Kapazität'!$D$1:$AZ$1='Abgleich Kapazität'!E$39)*'Modell Kapazität'!$D$2:$AZ$35)+SUMPRODUCT(('Modell Kapazität'!$C$2:$C$35='Abgleich Kapazität'!$A71)*('Modell Kapazität'!$D$1:$AZ$1='Abgleich Kapazität'!E$38)*'Modell Kapazität'!$D$2:$AZ$35))/1000</f>
        <v>0.58899999999999997</v>
      </c>
      <c r="F71" s="58">
        <f>(SUMPRODUCT(('Modell Kapazität'!$C$2:$C$35='Abgleich Kapazität'!$A71)*('Modell Kapazität'!$D$1:$AZ$1='Abgleich Kapazität'!F$40)*'Modell Kapazität'!$D$2:$AZ$35)+SUMPRODUCT(('Modell Kapazität'!$C$2:$C$35='Abgleich Kapazität'!$A71)*('Modell Kapazität'!$D$1:$AZ$1='Abgleich Kapazität'!F$39)*'Modell Kapazität'!$D$2:$AZ$35)+SUMPRODUCT(('Modell Kapazität'!$C$2:$C$35='Abgleich Kapazität'!$A71)*('Modell Kapazität'!$D$1:$AZ$1='Abgleich Kapazität'!F$38)*'Modell Kapazität'!$D$2:$AZ$35))/1000</f>
        <v>0.3738725</v>
      </c>
      <c r="G71" s="58">
        <f>(SUMPRODUCT(('Modell Kapazität'!$C$2:$C$35='Abgleich Kapazität'!$A71)*('Modell Kapazität'!$D$1:$AZ$1='Abgleich Kapazität'!G$40)*'Modell Kapazität'!$D$2:$AZ$35)+SUMPRODUCT(('Modell Kapazität'!$C$2:$C$35='Abgleich Kapazität'!$A71)*('Modell Kapazität'!$D$1:$AZ$1='Abgleich Kapazität'!G$39)*'Modell Kapazität'!$D$2:$AZ$35)+SUMPRODUCT(('Modell Kapazität'!$C$2:$C$35='Abgleich Kapazität'!$A71)*('Modell Kapazität'!$D$1:$AZ$1='Abgleich Kapazität'!G$38)*'Modell Kapazität'!$D$2:$AZ$35))/1000</f>
        <v>0.22500000000000001</v>
      </c>
      <c r="H71" s="58">
        <f>(SUMPRODUCT(('Modell Kapazität'!$C$2:$C$35='Abgleich Kapazität'!$A71)*('Modell Kapazität'!$D$1:$AZ$1='Abgleich Kapazität'!H$40)*'Modell Kapazität'!$D$2:$AZ$35)+SUMPRODUCT(('Modell Kapazität'!$C$2:$C$35='Abgleich Kapazität'!$A71)*('Modell Kapazität'!$D$1:$AZ$1='Abgleich Kapazität'!H$39)*'Modell Kapazität'!$D$2:$AZ$35)+SUMPRODUCT(('Modell Kapazität'!$C$2:$C$35='Abgleich Kapazität'!$A71)*('Modell Kapazität'!$D$1:$AZ$1='Abgleich Kapazität'!H$38)*'Modell Kapazität'!$D$2:$AZ$35))/1000</f>
        <v>0</v>
      </c>
      <c r="I71" s="58">
        <f>(SUMPRODUCT(('Modell Kapazität'!$C$2:$C$35='Abgleich Kapazität'!$A71)*('Modell Kapazität'!$D$1:$AZ$1='Abgleich Kapazität'!I$40)*'Modell Kapazität'!$D$2:$AZ$35)+SUMPRODUCT(('Modell Kapazität'!$C$2:$C$35='Abgleich Kapazität'!$A71)*('Modell Kapazität'!$D$1:$AZ$1='Abgleich Kapazität'!I$39)*'Modell Kapazität'!$D$2:$AZ$35)+SUMPRODUCT(('Modell Kapazität'!$C$2:$C$35='Abgleich Kapazität'!$A71)*('Modell Kapazität'!$D$1:$AZ$1='Abgleich Kapazität'!I$38)*'Modell Kapazität'!$D$2:$AZ$35))/1000</f>
        <v>0</v>
      </c>
      <c r="J71" s="58">
        <f>(SUMPRODUCT(('Modell Kapazität'!$C$2:$C$35='Abgleich Kapazität'!$A71)*('Modell Kapazität'!$D$1:$AZ$1='Abgleich Kapazität'!J$40)*'Modell Kapazität'!$D$2:$AZ$35)+SUMPRODUCT(('Modell Kapazität'!$C$2:$C$35='Abgleich Kapazität'!$A71)*('Modell Kapazität'!$D$1:$AZ$1='Abgleich Kapazität'!J$39)*'Modell Kapazität'!$D$2:$AZ$35)+SUMPRODUCT(('Modell Kapazität'!$C$2:$C$35='Abgleich Kapazität'!$A71)*('Modell Kapazität'!$D$1:$AZ$1='Abgleich Kapazität'!J$38)*'Modell Kapazität'!$D$2:$AZ$35))/1000</f>
        <v>0</v>
      </c>
      <c r="K71" s="59">
        <f t="shared" si="75"/>
        <v>1.1805067</v>
      </c>
      <c r="L71" s="58">
        <f>(SUMPRODUCT(('Modell Kapazität'!$C$2:$C$35='Abgleich Kapazität'!$A71)*('Modell Kapazität'!$D$1:$AZ$1='Abgleich Kapazität'!L$40)*'Modell Kapazität'!$D$2:$AZ$35)+SUMPRODUCT(('Modell Kapazität'!$C$2:$C$35='Abgleich Kapazität'!$A71)*('Modell Kapazität'!$D$1:$AZ$1='Abgleich Kapazität'!L$39)*'Modell Kapazität'!$D$2:$AZ$35)+SUMPRODUCT(('Modell Kapazität'!$C$2:$C$35='Abgleich Kapazität'!$A71)*('Modell Kapazität'!$D$1:$AZ$1='Abgleich Kapazität'!L$38)*'Modell Kapazität'!$D$2:$AZ$35))/1000</f>
        <v>1.0275067</v>
      </c>
      <c r="M71" s="58">
        <f>(SUMPRODUCT(('Modell Kapazität'!$C$2:$C$35='Abgleich Kapazität'!$A71)*('Modell Kapazität'!$D$1:$AZ$1='Abgleich Kapazität'!M$40)*'Modell Kapazität'!$D$2:$AZ$35)+SUMPRODUCT(('Modell Kapazität'!$C$2:$C$35='Abgleich Kapazität'!$A71)*('Modell Kapazität'!$D$1:$AZ$1='Abgleich Kapazität'!M$39)*'Modell Kapazität'!$D$2:$AZ$35)+SUMPRODUCT(('Modell Kapazität'!$C$2:$C$35='Abgleich Kapazität'!$A71)*('Modell Kapazität'!$D$1:$AZ$1='Abgleich Kapazität'!M$38)*'Modell Kapazität'!$D$2:$AZ$35))/1000</f>
        <v>0</v>
      </c>
      <c r="N71" s="58">
        <f>(SUMPRODUCT(('Modell Kapazität'!$C$2:$C$35='Abgleich Kapazität'!$A71)*('Modell Kapazität'!$D$1:$AZ$1='Abgleich Kapazität'!N$40)*'Modell Kapazität'!$D$2:$AZ$35)+SUMPRODUCT(('Modell Kapazität'!$C$2:$C$35='Abgleich Kapazität'!$A71)*('Modell Kapazität'!$D$1:$AZ$1='Abgleich Kapazität'!N$39)*'Modell Kapazität'!$D$2:$AZ$35)+SUMPRODUCT(('Modell Kapazität'!$C$2:$C$35='Abgleich Kapazität'!$A71)*('Modell Kapazität'!$D$1:$AZ$1='Abgleich Kapazität'!N$38)*'Modell Kapazität'!$D$2:$AZ$35))/1000</f>
        <v>0</v>
      </c>
      <c r="O71" s="58">
        <f>(SUMPRODUCT(('Modell Kapazität'!$C$2:$C$35='Abgleich Kapazität'!$A71)*('Modell Kapazität'!$D$1:$AZ$1='Abgleich Kapazität'!O$40)*'Modell Kapazität'!$D$2:$AZ$35)+SUMPRODUCT(('Modell Kapazität'!$C$2:$C$35='Abgleich Kapazität'!$A71)*('Modell Kapazität'!$D$1:$AZ$1='Abgleich Kapazität'!O$39)*'Modell Kapazität'!$D$2:$AZ$35)+SUMPRODUCT(('Modell Kapazität'!$C$2:$C$35='Abgleich Kapazität'!$A71)*('Modell Kapazität'!$D$1:$AZ$1='Abgleich Kapazität'!O$38)*'Modell Kapazität'!$D$2:$AZ$35))/1000</f>
        <v>0.06</v>
      </c>
      <c r="P71" s="58">
        <f>(SUMPRODUCT(('Modell Kapazität'!$C$2:$C$35='Abgleich Kapazität'!$A71)*('Modell Kapazität'!$D$1:$AZ$1='Abgleich Kapazität'!P$40)*'Modell Kapazität'!$D$2:$AZ$35)+SUMPRODUCT(('Modell Kapazität'!$C$2:$C$35='Abgleich Kapazität'!$A71)*('Modell Kapazität'!$D$1:$AZ$1='Abgleich Kapazität'!P$39)*'Modell Kapazität'!$D$2:$AZ$35)+SUMPRODUCT(('Modell Kapazität'!$C$2:$C$35='Abgleich Kapazität'!$A71)*('Modell Kapazität'!$D$1:$AZ$1='Abgleich Kapazität'!P$38)*'Modell Kapazität'!$D$2:$AZ$35))/1000</f>
        <v>0</v>
      </c>
      <c r="Q71" s="58">
        <f>(SUMPRODUCT(('Modell Kapazität'!$C$2:$C$35='Abgleich Kapazität'!$A71)*('Modell Kapazität'!$D$1:$AZ$1='Abgleich Kapazität'!Q$40)*'Modell Kapazität'!$D$2:$AZ$35)+SUMPRODUCT(('Modell Kapazität'!$C$2:$C$35='Abgleich Kapazität'!$A71)*('Modell Kapazität'!$D$1:$AZ$1='Abgleich Kapazität'!Q$39)*'Modell Kapazität'!$D$2:$AZ$35)+SUMPRODUCT(('Modell Kapazität'!$C$2:$C$35='Abgleich Kapazität'!$A71)*('Modell Kapazität'!$D$1:$AZ$1='Abgleich Kapazität'!Q$38)*'Modell Kapazität'!$D$2:$AZ$35))/1000</f>
        <v>0</v>
      </c>
      <c r="R71" s="58">
        <f>(SUMPRODUCT(('Modell Kapazität'!$C$2:$C$35='Abgleich Kapazität'!$A71)*('Modell Kapazität'!$D$1:$AZ$1='Abgleich Kapazität'!R$40)*'Modell Kapazität'!$D$2:$AZ$35)+SUMPRODUCT(('Modell Kapazität'!$C$2:$C$35='Abgleich Kapazität'!$A71)*('Modell Kapazität'!$D$1:$AZ$1='Abgleich Kapazität'!R$39)*'Modell Kapazität'!$D$2:$AZ$35)+SUMPRODUCT(('Modell Kapazität'!$C$2:$C$35='Abgleich Kapazität'!$A71)*('Modell Kapazität'!$D$1:$AZ$1='Abgleich Kapazität'!R$38)*'Modell Kapazität'!$D$2:$AZ$35))/1000</f>
        <v>9.2999999999999999E-2</v>
      </c>
      <c r="S71" s="58">
        <f>(SUMPRODUCT(('Modell Kapazität'!$C$2:$C$35='Abgleich Kapazität'!$A71)*('Modell Kapazität'!$D$1:$AZ$1='Abgleich Kapazität'!S$40)*'Modell Kapazität'!$D$2:$AZ$35)+SUMPRODUCT(('Modell Kapazität'!$C$2:$C$35='Abgleich Kapazität'!$A71)*('Modell Kapazität'!$D$1:$AZ$1='Abgleich Kapazität'!S$39)*'Modell Kapazität'!$D$2:$AZ$35)+SUMPRODUCT(('Modell Kapazität'!$C$2:$C$35='Abgleich Kapazität'!$A71)*('Modell Kapazität'!$D$1:$AZ$1='Abgleich Kapazität'!S$38)*'Modell Kapazität'!$D$2:$AZ$35))/1000</f>
        <v>0</v>
      </c>
      <c r="T71" s="58">
        <f>(SUMPRODUCT(('Modell Kapazität'!$C$2:$C$35='Abgleich Kapazität'!$A71)*('Modell Kapazität'!$D$1:$AZ$1='Abgleich Kapazität'!T$40)*'Modell Kapazität'!$D$2:$AZ$35)+SUMPRODUCT(('Modell Kapazität'!$C$2:$C$35='Abgleich Kapazität'!$A71)*('Modell Kapazität'!$D$1:$AZ$1='Abgleich Kapazität'!T$39)*'Modell Kapazität'!$D$2:$AZ$35)+SUMPRODUCT(('Modell Kapazität'!$C$2:$C$35='Abgleich Kapazität'!$A71)*('Modell Kapazität'!$D$1:$AZ$1='Abgleich Kapazität'!T$38)*'Modell Kapazität'!$D$2:$AZ$35))/1000</f>
        <v>0</v>
      </c>
      <c r="U71" s="58">
        <f>(SUMPRODUCT(('Modell Kapazität'!$C$2:$C$35='Abgleich Kapazität'!$A71)*('Modell Kapazität'!$D$1:$AZ$1='Abgleich Kapazität'!U$40)*'Modell Kapazität'!$D$2:$AZ$35)+SUMPRODUCT(('Modell Kapazität'!$C$2:$C$35='Abgleich Kapazität'!$A71)*('Modell Kapazität'!$D$1:$AZ$1='Abgleich Kapazität'!U$39)*'Modell Kapazität'!$D$2:$AZ$35)+SUMPRODUCT(('Modell Kapazität'!$C$2:$C$35='Abgleich Kapazität'!$A71)*('Modell Kapazität'!$D$1:$AZ$1='Abgleich Kapazität'!U$38)*'Modell Kapazität'!$D$2:$AZ$35))/1000</f>
        <v>0</v>
      </c>
      <c r="V71" s="59">
        <f t="shared" si="76"/>
        <v>3.0400292000000002</v>
      </c>
    </row>
    <row r="72" spans="1:22" x14ac:dyDescent="0.25">
      <c r="A72" s="14" t="s">
        <v>39</v>
      </c>
      <c r="B72" s="25">
        <f t="shared" si="73"/>
        <v>6.0550611999999999</v>
      </c>
      <c r="C72" s="26">
        <f>(SUMPRODUCT(('Modell Kapazität'!$C$2:$C$35='Abgleich Kapazität'!$A72)*('Modell Kapazität'!$D$1:$AZ$1='Abgleich Kapazität'!C$40)*'Modell Kapazität'!$D$2:$AZ$35)+SUMPRODUCT(('Modell Kapazität'!$C$2:$C$35='Abgleich Kapazität'!$A72)*('Modell Kapazität'!$D$1:$AZ$1='Abgleich Kapazität'!C$39)*'Modell Kapazität'!$D$2:$AZ$35)+SUMPRODUCT(('Modell Kapazität'!$C$2:$C$35='Abgleich Kapazität'!$A72)*('Modell Kapazität'!$D$1:$AZ$1='Abgleich Kapazität'!C$38)*'Modell Kapazität'!$D$2:$AZ$35))/1000</f>
        <v>1.6539999999999999</v>
      </c>
      <c r="D72" s="26">
        <f t="shared" si="74"/>
        <v>4.4010612</v>
      </c>
      <c r="E72" s="26">
        <f>(SUMPRODUCT(('Modell Kapazität'!$C$2:$C$35='Abgleich Kapazität'!$A72)*('Modell Kapazität'!$D$1:$AZ$1='Abgleich Kapazität'!E$40)*'Modell Kapazität'!$D$2:$AZ$35)+SUMPRODUCT(('Modell Kapazität'!$C$2:$C$35='Abgleich Kapazität'!$A72)*('Modell Kapazität'!$D$1:$AZ$1='Abgleich Kapazität'!E$39)*'Modell Kapazität'!$D$2:$AZ$35)+SUMPRODUCT(('Modell Kapazität'!$C$2:$C$35='Abgleich Kapazität'!$A72)*('Modell Kapazität'!$D$1:$AZ$1='Abgleich Kapazität'!E$38)*'Modell Kapazität'!$D$2:$AZ$35))/1000</f>
        <v>0.600495</v>
      </c>
      <c r="F72" s="26">
        <f>(SUMPRODUCT(('Modell Kapazität'!$C$2:$C$35='Abgleich Kapazität'!$A72)*('Modell Kapazität'!$D$1:$AZ$1='Abgleich Kapazität'!F$40)*'Modell Kapazität'!$D$2:$AZ$35)+SUMPRODUCT(('Modell Kapazität'!$C$2:$C$35='Abgleich Kapazität'!$A72)*('Modell Kapazität'!$D$1:$AZ$1='Abgleich Kapazität'!F$39)*'Modell Kapazität'!$D$2:$AZ$35)+SUMPRODUCT(('Modell Kapazität'!$C$2:$C$35='Abgleich Kapazität'!$A72)*('Modell Kapazität'!$D$1:$AZ$1='Abgleich Kapazität'!F$38)*'Modell Kapazität'!$D$2:$AZ$35))/1000</f>
        <v>3.0643162000000004</v>
      </c>
      <c r="G72" s="26">
        <f>(SUMPRODUCT(('Modell Kapazität'!$C$2:$C$35='Abgleich Kapazität'!$A72)*('Modell Kapazität'!$D$1:$AZ$1='Abgleich Kapazität'!G$40)*'Modell Kapazität'!$D$2:$AZ$35)+SUMPRODUCT(('Modell Kapazität'!$C$2:$C$35='Abgleich Kapazität'!$A72)*('Modell Kapazität'!$D$1:$AZ$1='Abgleich Kapazität'!G$39)*'Modell Kapazität'!$D$2:$AZ$35)+SUMPRODUCT(('Modell Kapazität'!$C$2:$C$35='Abgleich Kapazität'!$A72)*('Modell Kapazität'!$D$1:$AZ$1='Abgleich Kapazität'!G$38)*'Modell Kapazität'!$D$2:$AZ$35))/1000</f>
        <v>0.73624999999999996</v>
      </c>
      <c r="H72" s="26">
        <f>(SUMPRODUCT(('Modell Kapazität'!$C$2:$C$35='Abgleich Kapazität'!$A72)*('Modell Kapazität'!$D$1:$AZ$1='Abgleich Kapazität'!H$40)*'Modell Kapazität'!$D$2:$AZ$35)+SUMPRODUCT(('Modell Kapazität'!$C$2:$C$35='Abgleich Kapazität'!$A72)*('Modell Kapazität'!$D$1:$AZ$1='Abgleich Kapazität'!H$39)*'Modell Kapazität'!$D$2:$AZ$35)+SUMPRODUCT(('Modell Kapazität'!$C$2:$C$35='Abgleich Kapazität'!$A72)*('Modell Kapazität'!$D$1:$AZ$1='Abgleich Kapazität'!H$38)*'Modell Kapazität'!$D$2:$AZ$35))/1000</f>
        <v>0</v>
      </c>
      <c r="I72" s="26">
        <f>(SUMPRODUCT(('Modell Kapazität'!$C$2:$C$35='Abgleich Kapazität'!$A72)*('Modell Kapazität'!$D$1:$AZ$1='Abgleich Kapazität'!I$40)*'Modell Kapazität'!$D$2:$AZ$35)+SUMPRODUCT(('Modell Kapazität'!$C$2:$C$35='Abgleich Kapazität'!$A72)*('Modell Kapazität'!$D$1:$AZ$1='Abgleich Kapazität'!I$39)*'Modell Kapazität'!$D$2:$AZ$35)+SUMPRODUCT(('Modell Kapazität'!$C$2:$C$35='Abgleich Kapazität'!$A72)*('Modell Kapazität'!$D$1:$AZ$1='Abgleich Kapazität'!I$38)*'Modell Kapazität'!$D$2:$AZ$35))/1000</f>
        <v>0</v>
      </c>
      <c r="J72" s="26">
        <f>(SUMPRODUCT(('Modell Kapazität'!$C$2:$C$35='Abgleich Kapazität'!$A72)*('Modell Kapazität'!$D$1:$AZ$1='Abgleich Kapazität'!J$40)*'Modell Kapazität'!$D$2:$AZ$35)+SUMPRODUCT(('Modell Kapazität'!$C$2:$C$35='Abgleich Kapazität'!$A72)*('Modell Kapazität'!$D$1:$AZ$1='Abgleich Kapazität'!J$39)*'Modell Kapazität'!$D$2:$AZ$35)+SUMPRODUCT(('Modell Kapazität'!$C$2:$C$35='Abgleich Kapazität'!$A72)*('Modell Kapazität'!$D$1:$AZ$1='Abgleich Kapazität'!J$38)*'Modell Kapazität'!$D$2:$AZ$35))/1000</f>
        <v>0</v>
      </c>
      <c r="K72" s="27">
        <f t="shared" si="75"/>
        <v>2.8814535500000003</v>
      </c>
      <c r="L72" s="26">
        <f>(SUMPRODUCT(('Modell Kapazität'!$C$2:$C$35='Abgleich Kapazität'!$A72)*('Modell Kapazität'!$D$1:$AZ$1='Abgleich Kapazität'!L$40)*'Modell Kapazität'!$D$2:$AZ$35)+SUMPRODUCT(('Modell Kapazität'!$C$2:$C$35='Abgleich Kapazität'!$A72)*('Modell Kapazität'!$D$1:$AZ$1='Abgleich Kapazität'!L$39)*'Modell Kapazität'!$D$2:$AZ$35)+SUMPRODUCT(('Modell Kapazität'!$C$2:$C$35='Abgleich Kapazität'!$A72)*('Modell Kapazität'!$D$1:$AZ$1='Abgleich Kapazität'!L$38)*'Modell Kapazität'!$D$2:$AZ$35))/1000</f>
        <v>2.8814535500000003</v>
      </c>
      <c r="M72" s="26">
        <f>(SUMPRODUCT(('Modell Kapazität'!$C$2:$C$35='Abgleich Kapazität'!$A72)*('Modell Kapazität'!$D$1:$AZ$1='Abgleich Kapazität'!M$40)*'Modell Kapazität'!$D$2:$AZ$35)+SUMPRODUCT(('Modell Kapazität'!$C$2:$C$35='Abgleich Kapazität'!$A72)*('Modell Kapazität'!$D$1:$AZ$1='Abgleich Kapazität'!M$39)*'Modell Kapazität'!$D$2:$AZ$35)+SUMPRODUCT(('Modell Kapazität'!$C$2:$C$35='Abgleich Kapazität'!$A72)*('Modell Kapazität'!$D$1:$AZ$1='Abgleich Kapazität'!M$38)*'Modell Kapazität'!$D$2:$AZ$35))/1000</f>
        <v>0</v>
      </c>
      <c r="N72" s="26">
        <f>(SUMPRODUCT(('Modell Kapazität'!$C$2:$C$35='Abgleich Kapazität'!$A72)*('Modell Kapazität'!$D$1:$AZ$1='Abgleich Kapazität'!N$40)*'Modell Kapazität'!$D$2:$AZ$35)+SUMPRODUCT(('Modell Kapazität'!$C$2:$C$35='Abgleich Kapazität'!$A72)*('Modell Kapazität'!$D$1:$AZ$1='Abgleich Kapazität'!N$39)*'Modell Kapazität'!$D$2:$AZ$35)+SUMPRODUCT(('Modell Kapazität'!$C$2:$C$35='Abgleich Kapazität'!$A72)*('Modell Kapazität'!$D$1:$AZ$1='Abgleich Kapazität'!N$38)*'Modell Kapazität'!$D$2:$AZ$35))/1000</f>
        <v>0</v>
      </c>
      <c r="O72" s="26">
        <f>(SUMPRODUCT(('Modell Kapazität'!$C$2:$C$35='Abgleich Kapazität'!$A72)*('Modell Kapazität'!$D$1:$AZ$1='Abgleich Kapazität'!O$40)*'Modell Kapazität'!$D$2:$AZ$35)+SUMPRODUCT(('Modell Kapazität'!$C$2:$C$35='Abgleich Kapazität'!$A72)*('Modell Kapazität'!$D$1:$AZ$1='Abgleich Kapazität'!O$39)*'Modell Kapazität'!$D$2:$AZ$35)+SUMPRODUCT(('Modell Kapazität'!$C$2:$C$35='Abgleich Kapazität'!$A72)*('Modell Kapazität'!$D$1:$AZ$1='Abgleich Kapazität'!O$38)*'Modell Kapazität'!$D$2:$AZ$35))/1000</f>
        <v>0</v>
      </c>
      <c r="P72" s="26">
        <f>(SUMPRODUCT(('Modell Kapazität'!$C$2:$C$35='Abgleich Kapazität'!$A72)*('Modell Kapazität'!$D$1:$AZ$1='Abgleich Kapazität'!P$40)*'Modell Kapazität'!$D$2:$AZ$35)+SUMPRODUCT(('Modell Kapazität'!$C$2:$C$35='Abgleich Kapazität'!$A72)*('Modell Kapazität'!$D$1:$AZ$1='Abgleich Kapazität'!P$39)*'Modell Kapazität'!$D$2:$AZ$35)+SUMPRODUCT(('Modell Kapazität'!$C$2:$C$35='Abgleich Kapazität'!$A72)*('Modell Kapazität'!$D$1:$AZ$1='Abgleich Kapazität'!P$38)*'Modell Kapazität'!$D$2:$AZ$35))/1000</f>
        <v>0</v>
      </c>
      <c r="Q72" s="26">
        <f>(SUMPRODUCT(('Modell Kapazität'!$C$2:$C$35='Abgleich Kapazität'!$A72)*('Modell Kapazität'!$D$1:$AZ$1='Abgleich Kapazität'!Q$40)*'Modell Kapazität'!$D$2:$AZ$35)+SUMPRODUCT(('Modell Kapazität'!$C$2:$C$35='Abgleich Kapazität'!$A72)*('Modell Kapazität'!$D$1:$AZ$1='Abgleich Kapazität'!Q$39)*'Modell Kapazität'!$D$2:$AZ$35)+SUMPRODUCT(('Modell Kapazität'!$C$2:$C$35='Abgleich Kapazität'!$A72)*('Modell Kapazität'!$D$1:$AZ$1='Abgleich Kapazität'!Q$38)*'Modell Kapazität'!$D$2:$AZ$35))/1000</f>
        <v>0</v>
      </c>
      <c r="R72" s="26">
        <f>(SUMPRODUCT(('Modell Kapazität'!$C$2:$C$35='Abgleich Kapazität'!$A72)*('Modell Kapazität'!$D$1:$AZ$1='Abgleich Kapazität'!R$40)*'Modell Kapazität'!$D$2:$AZ$35)+SUMPRODUCT(('Modell Kapazität'!$C$2:$C$35='Abgleich Kapazität'!$A72)*('Modell Kapazität'!$D$1:$AZ$1='Abgleich Kapazität'!R$39)*'Modell Kapazität'!$D$2:$AZ$35)+SUMPRODUCT(('Modell Kapazität'!$C$2:$C$35='Abgleich Kapazität'!$A72)*('Modell Kapazität'!$D$1:$AZ$1='Abgleich Kapazität'!R$38)*'Modell Kapazität'!$D$2:$AZ$35))/1000</f>
        <v>0</v>
      </c>
      <c r="S72" s="26">
        <f>(SUMPRODUCT(('Modell Kapazität'!$C$2:$C$35='Abgleich Kapazität'!$A72)*('Modell Kapazität'!$D$1:$AZ$1='Abgleich Kapazität'!S$40)*'Modell Kapazität'!$D$2:$AZ$35)+SUMPRODUCT(('Modell Kapazität'!$C$2:$C$35='Abgleich Kapazität'!$A72)*('Modell Kapazität'!$D$1:$AZ$1='Abgleich Kapazität'!S$39)*'Modell Kapazität'!$D$2:$AZ$35)+SUMPRODUCT(('Modell Kapazität'!$C$2:$C$35='Abgleich Kapazität'!$A72)*('Modell Kapazität'!$D$1:$AZ$1='Abgleich Kapazität'!S$38)*'Modell Kapazität'!$D$2:$AZ$35))/1000</f>
        <v>0</v>
      </c>
      <c r="T72" s="26">
        <f>(SUMPRODUCT(('Modell Kapazität'!$C$2:$C$35='Abgleich Kapazität'!$A72)*('Modell Kapazität'!$D$1:$AZ$1='Abgleich Kapazität'!T$40)*'Modell Kapazität'!$D$2:$AZ$35)+SUMPRODUCT(('Modell Kapazität'!$C$2:$C$35='Abgleich Kapazität'!$A72)*('Modell Kapazität'!$D$1:$AZ$1='Abgleich Kapazität'!T$39)*'Modell Kapazität'!$D$2:$AZ$35)+SUMPRODUCT(('Modell Kapazität'!$C$2:$C$35='Abgleich Kapazität'!$A72)*('Modell Kapazität'!$D$1:$AZ$1='Abgleich Kapazität'!T$38)*'Modell Kapazität'!$D$2:$AZ$35))/1000</f>
        <v>0</v>
      </c>
      <c r="U72" s="26">
        <f>(SUMPRODUCT(('Modell Kapazität'!$C$2:$C$35='Abgleich Kapazität'!$A72)*('Modell Kapazität'!$D$1:$AZ$1='Abgleich Kapazität'!U$40)*'Modell Kapazität'!$D$2:$AZ$35)+SUMPRODUCT(('Modell Kapazität'!$C$2:$C$35='Abgleich Kapazität'!$A72)*('Modell Kapazität'!$D$1:$AZ$1='Abgleich Kapazität'!U$39)*'Modell Kapazität'!$D$2:$AZ$35)+SUMPRODUCT(('Modell Kapazität'!$C$2:$C$35='Abgleich Kapazität'!$A72)*('Modell Kapazität'!$D$1:$AZ$1='Abgleich Kapazität'!U$38)*'Modell Kapazität'!$D$2:$AZ$35))/1000</f>
        <v>0</v>
      </c>
      <c r="V72" s="27">
        <f t="shared" si="76"/>
        <v>8.9365147500000006</v>
      </c>
    </row>
    <row r="75" spans="1:22" x14ac:dyDescent="0.25">
      <c r="A75" s="50" t="s">
        <v>138</v>
      </c>
    </row>
    <row r="76" spans="1:22" x14ac:dyDescent="0.25">
      <c r="A76" s="41"/>
      <c r="B76" s="42"/>
      <c r="C76" s="42"/>
      <c r="D76" s="42"/>
      <c r="E76" s="42"/>
      <c r="F76" s="42"/>
      <c r="G76" s="42"/>
      <c r="H76" s="42"/>
      <c r="I76" s="51"/>
      <c r="J76" s="42"/>
      <c r="K76" s="42"/>
      <c r="L76" s="51" t="s">
        <v>50</v>
      </c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1:22" x14ac:dyDescent="0.25">
      <c r="A77" s="44"/>
      <c r="B77" s="52"/>
      <c r="C77" s="52"/>
      <c r="D77" s="52"/>
      <c r="E77" s="52"/>
      <c r="F77" s="52"/>
      <c r="G77" s="52"/>
      <c r="H77" s="52"/>
      <c r="I77" s="45"/>
      <c r="J77" s="52"/>
      <c r="K77" s="52"/>
      <c r="L77" s="45" t="s">
        <v>51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</row>
    <row r="78" spans="1:22" x14ac:dyDescent="0.25">
      <c r="A78" s="44"/>
      <c r="B78" s="45"/>
      <c r="C78" s="45"/>
      <c r="D78" s="45"/>
      <c r="E78" s="45"/>
      <c r="F78" s="45"/>
      <c r="G78" s="45"/>
      <c r="H78" s="45"/>
      <c r="I78" s="45" t="s">
        <v>148</v>
      </c>
      <c r="J78" s="45"/>
      <c r="K78" s="45"/>
      <c r="L78" s="45" t="s">
        <v>52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x14ac:dyDescent="0.25">
      <c r="A79" s="44"/>
      <c r="B79" s="45"/>
      <c r="C79" s="45"/>
      <c r="D79" s="45"/>
      <c r="E79" s="45"/>
      <c r="F79" s="45"/>
      <c r="G79" s="45"/>
      <c r="H79" s="45"/>
      <c r="I79" s="45" t="s">
        <v>60</v>
      </c>
      <c r="J79" s="45"/>
      <c r="K79" s="45"/>
      <c r="L79" s="45" t="s">
        <v>53</v>
      </c>
      <c r="M79" s="45"/>
      <c r="N79" s="45"/>
      <c r="O79" s="45"/>
      <c r="P79" s="45"/>
      <c r="Q79" s="45"/>
      <c r="R79" s="45"/>
      <c r="S79" s="45"/>
      <c r="T79" s="45"/>
      <c r="U79" s="45" t="s">
        <v>49</v>
      </c>
      <c r="V79" s="45"/>
    </row>
    <row r="80" spans="1:22" x14ac:dyDescent="0.25">
      <c r="A80" s="44"/>
      <c r="B80" s="45"/>
      <c r="C80" s="45"/>
      <c r="D80" s="45"/>
      <c r="E80" s="45" t="s">
        <v>140</v>
      </c>
      <c r="F80" s="45"/>
      <c r="G80" s="45" t="s">
        <v>145</v>
      </c>
      <c r="H80" s="45"/>
      <c r="I80" s="45" t="s">
        <v>146</v>
      </c>
      <c r="J80" s="45" t="s">
        <v>144</v>
      </c>
      <c r="K80" s="45"/>
      <c r="L80" s="45" t="s">
        <v>59</v>
      </c>
      <c r="M80" s="45"/>
      <c r="N80" s="45"/>
      <c r="O80" s="45"/>
      <c r="P80" s="45"/>
      <c r="Q80" s="45"/>
      <c r="R80" s="45"/>
      <c r="S80" s="45"/>
      <c r="T80" s="45"/>
      <c r="U80" s="45" t="s">
        <v>54</v>
      </c>
      <c r="V80" s="45"/>
    </row>
    <row r="81" spans="1:22" x14ac:dyDescent="0.25">
      <c r="A81" s="47"/>
      <c r="B81" s="48"/>
      <c r="C81" s="48" t="s">
        <v>57</v>
      </c>
      <c r="D81" s="48"/>
      <c r="E81" s="48" t="s">
        <v>139</v>
      </c>
      <c r="F81" s="48" t="s">
        <v>141</v>
      </c>
      <c r="G81" s="48" t="s">
        <v>142</v>
      </c>
      <c r="H81" s="48"/>
      <c r="I81" s="48" t="s">
        <v>147</v>
      </c>
      <c r="J81" s="48" t="s">
        <v>143</v>
      </c>
      <c r="K81" s="48"/>
      <c r="L81" s="48" t="s">
        <v>149</v>
      </c>
      <c r="M81" s="48" t="s">
        <v>134</v>
      </c>
      <c r="N81" s="48" t="s">
        <v>42</v>
      </c>
      <c r="O81" s="48" t="s">
        <v>43</v>
      </c>
      <c r="P81" s="48" t="s">
        <v>44</v>
      </c>
      <c r="Q81" s="48" t="s">
        <v>45</v>
      </c>
      <c r="R81" s="48" t="s">
        <v>46</v>
      </c>
      <c r="S81" s="48" t="s">
        <v>47</v>
      </c>
      <c r="T81" s="48" t="s">
        <v>48</v>
      </c>
      <c r="U81" s="48" t="s">
        <v>55</v>
      </c>
      <c r="V81" s="48"/>
    </row>
    <row r="82" spans="1:22" ht="73.5" customHeight="1" x14ac:dyDescent="0.25">
      <c r="A82" s="30" t="s">
        <v>0</v>
      </c>
      <c r="B82" s="31" t="s">
        <v>56</v>
      </c>
      <c r="C82" s="32" t="s">
        <v>57</v>
      </c>
      <c r="D82" s="32" t="s">
        <v>58</v>
      </c>
      <c r="E82" s="33" t="s">
        <v>1</v>
      </c>
      <c r="F82" s="33" t="s">
        <v>2</v>
      </c>
      <c r="G82" s="33" t="s">
        <v>3</v>
      </c>
      <c r="H82" s="34" t="s">
        <v>132</v>
      </c>
      <c r="I82" s="33" t="s">
        <v>5</v>
      </c>
      <c r="J82" s="33" t="s">
        <v>4</v>
      </c>
      <c r="K82" s="35" t="s">
        <v>41</v>
      </c>
      <c r="L82" s="36" t="s">
        <v>133</v>
      </c>
      <c r="M82" s="36" t="s">
        <v>134</v>
      </c>
      <c r="N82" s="37" t="s">
        <v>42</v>
      </c>
      <c r="O82" s="37" t="s">
        <v>43</v>
      </c>
      <c r="P82" s="37" t="s">
        <v>44</v>
      </c>
      <c r="Q82" s="37" t="s">
        <v>45</v>
      </c>
      <c r="R82" s="37" t="s">
        <v>46</v>
      </c>
      <c r="S82" s="37" t="s">
        <v>47</v>
      </c>
      <c r="T82" s="37" t="s">
        <v>48</v>
      </c>
      <c r="U82" s="37" t="s">
        <v>54</v>
      </c>
      <c r="V82" s="38" t="s">
        <v>40</v>
      </c>
    </row>
    <row r="83" spans="1:22" x14ac:dyDescent="0.25">
      <c r="A83" s="13"/>
      <c r="B83" s="3" t="s">
        <v>154</v>
      </c>
      <c r="C83" s="4" t="s">
        <v>154</v>
      </c>
      <c r="D83" s="5" t="s">
        <v>154</v>
      </c>
      <c r="E83" s="5" t="s">
        <v>154</v>
      </c>
      <c r="F83" s="4" t="s">
        <v>154</v>
      </c>
      <c r="G83" s="5" t="s">
        <v>154</v>
      </c>
      <c r="H83" s="4"/>
      <c r="I83" s="4" t="s">
        <v>154</v>
      </c>
      <c r="J83" s="5" t="s">
        <v>154</v>
      </c>
      <c r="K83" s="6" t="s">
        <v>154</v>
      </c>
      <c r="L83" s="4" t="s">
        <v>154</v>
      </c>
      <c r="M83" s="5" t="s">
        <v>154</v>
      </c>
      <c r="N83" s="7" t="s">
        <v>154</v>
      </c>
      <c r="O83" s="8" t="s">
        <v>154</v>
      </c>
      <c r="P83" s="8" t="s">
        <v>154</v>
      </c>
      <c r="Q83" s="7" t="s">
        <v>154</v>
      </c>
      <c r="R83" s="8" t="s">
        <v>154</v>
      </c>
      <c r="S83" s="8" t="s">
        <v>154</v>
      </c>
      <c r="T83" s="8" t="s">
        <v>154</v>
      </c>
      <c r="U83" s="8" t="s">
        <v>154</v>
      </c>
      <c r="V83" s="9" t="s">
        <v>154</v>
      </c>
    </row>
    <row r="84" spans="1:22" x14ac:dyDescent="0.25">
      <c r="A84" s="14" t="s">
        <v>10</v>
      </c>
      <c r="B84" s="57" t="e">
        <f>SUM(C84:D84)</f>
        <v>#VALUE!</v>
      </c>
      <c r="C84" s="58" t="e">
        <f>(SUMPRODUCT((Capacity_Entsoe_SFS_2017!$A$3:$A$38='Abgleich Kapazität'!$A84)*(Capacity_Entsoe_SFS_2017!$D$1:$AL$1='Abgleich Kapazität'!C$81)*Capacity_Entsoe_SFS_2017!$D$3:$AK$38)+SUMPRODUCT((Capacity_Entsoe_SFS_2017!$A$3:$A$38='Abgleich Kapazität'!$A84)*(Capacity_Entsoe_SFS_2017!$D$1:$AL$1='Abgleich Kapazität'!C$80)*Capacity_Entsoe_SFS_2017!$D$3:$AK$38)+SUMPRODUCT((Capacity_Entsoe_SFS_2017!$A$3:$A$38='Abgleich Kapazität'!$A84)*(Capacity_Entsoe_SFS_2017!$D$1:$AL$1='Abgleich Kapazität'!C$79)*Capacity_Entsoe_SFS_2017!$D$3:$AK$38)+SUMPRODUCT((Capacity_Entsoe_SFS_2017!$A$3:$A$38='Abgleich Kapazität'!$A84)*(Capacity_Entsoe_SFS_2017!$D$1:$AL$1='Abgleich Kapazität'!C$78)*Capacity_Entsoe_SFS_2017!$D$3:$AK$38))/1000</f>
        <v>#VALUE!</v>
      </c>
      <c r="D84" s="58" t="e">
        <f>SUM(E84:J84)</f>
        <v>#VALUE!</v>
      </c>
      <c r="E84" s="58" t="e">
        <f>(SUMPRODUCT((Capacity_Entsoe_SFS_2017!$A$3:$A$38='Abgleich Kapazität'!$A84)*(Capacity_Entsoe_SFS_2017!$D$1:$AL$1='Abgleich Kapazität'!E$81)*Capacity_Entsoe_SFS_2017!$D$3:$AK$38)+SUMPRODUCT((Capacity_Entsoe_SFS_2017!$A$3:$A$38='Abgleich Kapazität'!$A84)*(Capacity_Entsoe_SFS_2017!$D$1:$AL$1='Abgleich Kapazität'!E$80)*Capacity_Entsoe_SFS_2017!$D$3:$AK$38)+SUMPRODUCT((Capacity_Entsoe_SFS_2017!$A$3:$A$38='Abgleich Kapazität'!$A84)*(Capacity_Entsoe_SFS_2017!$D$1:$AL$1='Abgleich Kapazität'!E$79)*Capacity_Entsoe_SFS_2017!$D$3:$AK$38)+SUMPRODUCT((Capacity_Entsoe_SFS_2017!$A$3:$A$38='Abgleich Kapazität'!$A84)*(Capacity_Entsoe_SFS_2017!$D$1:$AL$1='Abgleich Kapazität'!E$78)*Capacity_Entsoe_SFS_2017!$D$3:$AK$38))/1000</f>
        <v>#VALUE!</v>
      </c>
      <c r="F84" s="58" t="e">
        <f>(SUMPRODUCT((Capacity_Entsoe_SFS_2017!$A$3:$A$38='Abgleich Kapazität'!$A84)*(Capacity_Entsoe_SFS_2017!$D$1:$AL$1='Abgleich Kapazität'!F$81)*Capacity_Entsoe_SFS_2017!$D$3:$AK$38)+SUMPRODUCT((Capacity_Entsoe_SFS_2017!$A$3:$A$38='Abgleich Kapazität'!$A84)*(Capacity_Entsoe_SFS_2017!$D$1:$AL$1='Abgleich Kapazität'!F$80)*Capacity_Entsoe_SFS_2017!$D$3:$AK$38)+SUMPRODUCT((Capacity_Entsoe_SFS_2017!$A$3:$A$38='Abgleich Kapazität'!$A84)*(Capacity_Entsoe_SFS_2017!$D$1:$AL$1='Abgleich Kapazität'!F$79)*Capacity_Entsoe_SFS_2017!$D$3:$AK$38)+SUMPRODUCT((Capacity_Entsoe_SFS_2017!$A$3:$A$38='Abgleich Kapazität'!$A84)*(Capacity_Entsoe_SFS_2017!$D$1:$AL$1='Abgleich Kapazität'!F$78)*Capacity_Entsoe_SFS_2017!$D$3:$AK$38))/1000</f>
        <v>#VALUE!</v>
      </c>
      <c r="G84" s="58" t="e">
        <f>(SUMPRODUCT((Capacity_Entsoe_SFS_2017!$A$3:$A$38='Abgleich Kapazität'!$A84)*(Capacity_Entsoe_SFS_2017!$D$1:$AL$1='Abgleich Kapazität'!G$81)*Capacity_Entsoe_SFS_2017!$D$3:$AK$38)+SUMPRODUCT((Capacity_Entsoe_SFS_2017!$A$3:$A$38='Abgleich Kapazität'!$A84)*(Capacity_Entsoe_SFS_2017!$D$1:$AL$1='Abgleich Kapazität'!G$80)*Capacity_Entsoe_SFS_2017!$D$3:$AK$38)+SUMPRODUCT((Capacity_Entsoe_SFS_2017!$A$3:$A$38='Abgleich Kapazität'!$A84)*(Capacity_Entsoe_SFS_2017!$D$1:$AL$1='Abgleich Kapazität'!G$79)*Capacity_Entsoe_SFS_2017!$D$3:$AK$38)+SUMPRODUCT((Capacity_Entsoe_SFS_2017!$A$3:$A$38='Abgleich Kapazität'!$A84)*(Capacity_Entsoe_SFS_2017!$D$1:$AL$1='Abgleich Kapazität'!G$78)*Capacity_Entsoe_SFS_2017!$D$3:$AK$38))/1000</f>
        <v>#VALUE!</v>
      </c>
      <c r="H84" s="58" t="e">
        <f>(SUMPRODUCT((Capacity_Entsoe_SFS_2017!$A$3:$A$38='Abgleich Kapazität'!$A84)*(Capacity_Entsoe_SFS_2017!$D$1:$AL$1='Abgleich Kapazität'!H$81)*Capacity_Entsoe_SFS_2017!$D$3:$AK$38)+SUMPRODUCT((Capacity_Entsoe_SFS_2017!$A$3:$A$38='Abgleich Kapazität'!$A84)*(Capacity_Entsoe_SFS_2017!$D$1:$AL$1='Abgleich Kapazität'!H$80)*Capacity_Entsoe_SFS_2017!$D$3:$AK$38)+SUMPRODUCT((Capacity_Entsoe_SFS_2017!$A$3:$A$38='Abgleich Kapazität'!$A84)*(Capacity_Entsoe_SFS_2017!$D$1:$AL$1='Abgleich Kapazität'!H$79)*Capacity_Entsoe_SFS_2017!$D$3:$AK$38)+SUMPRODUCT((Capacity_Entsoe_SFS_2017!$A$3:$A$38='Abgleich Kapazität'!$A84)*(Capacity_Entsoe_SFS_2017!$D$1:$AL$1='Abgleich Kapazität'!H$78)*Capacity_Entsoe_SFS_2017!$D$3:$AK$38))/1000</f>
        <v>#VALUE!</v>
      </c>
      <c r="I84" s="58" t="e">
        <f>(SUMPRODUCT((Capacity_Entsoe_SFS_2017!$A$3:$A$38='Abgleich Kapazität'!$A84)*(Capacity_Entsoe_SFS_2017!$D$1:$AL$1='Abgleich Kapazität'!I$81)*Capacity_Entsoe_SFS_2017!$D$3:$AK$38)+SUMPRODUCT((Capacity_Entsoe_SFS_2017!$A$3:$A$38='Abgleich Kapazität'!$A84)*(Capacity_Entsoe_SFS_2017!$D$1:$AL$1='Abgleich Kapazität'!I$80)*Capacity_Entsoe_SFS_2017!$D$3:$AK$38)+SUMPRODUCT((Capacity_Entsoe_SFS_2017!$A$3:$A$38='Abgleich Kapazität'!$A84)*(Capacity_Entsoe_SFS_2017!$D$1:$AL$1='Abgleich Kapazität'!I$79)*Capacity_Entsoe_SFS_2017!$D$3:$AK$38)+SUMPRODUCT((Capacity_Entsoe_SFS_2017!$A$3:$A$38='Abgleich Kapazität'!$A84)*(Capacity_Entsoe_SFS_2017!$D$1:$AL$1='Abgleich Kapazität'!I$78)*Capacity_Entsoe_SFS_2017!$D$3:$AK$38))/1000</f>
        <v>#VALUE!</v>
      </c>
      <c r="J84" s="58" t="e">
        <f>(SUMPRODUCT((Capacity_Entsoe_SFS_2017!$A$3:$A$38='Abgleich Kapazität'!$A84)*(Capacity_Entsoe_SFS_2017!$D$1:$AL$1='Abgleich Kapazität'!J$81)*Capacity_Entsoe_SFS_2017!$D$3:$AK$38)+SUMPRODUCT((Capacity_Entsoe_SFS_2017!$A$3:$A$38='Abgleich Kapazität'!$A84)*(Capacity_Entsoe_SFS_2017!$D$1:$AL$1='Abgleich Kapazität'!J$80)*Capacity_Entsoe_SFS_2017!$D$3:$AK$38)+SUMPRODUCT((Capacity_Entsoe_SFS_2017!$A$3:$A$38='Abgleich Kapazität'!$A84)*(Capacity_Entsoe_SFS_2017!$D$1:$AL$1='Abgleich Kapazität'!J$79)*Capacity_Entsoe_SFS_2017!$D$3:$AK$38)+SUMPRODUCT((Capacity_Entsoe_SFS_2017!$A$3:$A$38='Abgleich Kapazität'!$A84)*(Capacity_Entsoe_SFS_2017!$D$1:$AL$1='Abgleich Kapazität'!J$78)*Capacity_Entsoe_SFS_2017!$D$3:$AK$38))/1000</f>
        <v>#VALUE!</v>
      </c>
      <c r="K84" s="59" t="e">
        <f>SUM(L84:U84)</f>
        <v>#VALUE!</v>
      </c>
      <c r="L84" s="58" t="e">
        <f>(SUMPRODUCT((Capacity_Entsoe_SFS_2017!$A$3:$A$38='Abgleich Kapazität'!$A84)*(Capacity_Entsoe_SFS_2017!$D$1:$AL$1='Abgleich Kapazität'!L$81)*Capacity_Entsoe_SFS_2017!$D$3:$AK$38)+SUMPRODUCT((Capacity_Entsoe_SFS_2017!$A$3:$A$38='Abgleich Kapazität'!$A84)*(Capacity_Entsoe_SFS_2017!$D$1:$AL$1='Abgleich Kapazität'!L$80)*Capacity_Entsoe_SFS_2017!$D$3:$AK$38)+SUMPRODUCT((Capacity_Entsoe_SFS_2017!$A$3:$A$38='Abgleich Kapazität'!$A84)*(Capacity_Entsoe_SFS_2017!$D$1:$AL$1='Abgleich Kapazität'!L$79)*Capacity_Entsoe_SFS_2017!$D$3:$AK$38)+SUMPRODUCT((Capacity_Entsoe_SFS_2017!$A$3:$A$38='Abgleich Kapazität'!$A84)*(Capacity_Entsoe_SFS_2017!$D$1:$AL$1='Abgleich Kapazität'!L$78)*Capacity_Entsoe_SFS_2017!$D$3:$AK$38)+SUMPRODUCT((Capacity_Entsoe_SFS_2017!$A$3:$A$38='Abgleich Kapazität'!$A84)*(Capacity_Entsoe_SFS_2017!$D$1:$AL$1='Abgleich Kapazität'!L$77)*Capacity_Entsoe_SFS_2017!$D$3:$AK$38)+SUMPRODUCT((Capacity_Entsoe_SFS_2017!$A$3:$A$38='Abgleich Kapazität'!$A84)*(Capacity_Entsoe_SFS_2017!$D$1:$AL$1='Abgleich Kapazität'!L$76)*Capacity_Entsoe_SFS_2017!$D$3:$AK$38))/1000</f>
        <v>#VALUE!</v>
      </c>
      <c r="M84" s="58" t="e">
        <f>(SUMPRODUCT((Capacity_Entsoe_SFS_2017!$A$3:$A$38='Abgleich Kapazität'!$A84)*(Capacity_Entsoe_SFS_2017!$D$1:$AL$1='Abgleich Kapazität'!M$81)*Capacity_Entsoe_SFS_2017!$D$3:$AK$38)+SUMPRODUCT((Capacity_Entsoe_SFS_2017!$A$3:$A$38='Abgleich Kapazität'!$A84)*(Capacity_Entsoe_SFS_2017!$D$1:$AL$1='Abgleich Kapazität'!M$80)*Capacity_Entsoe_SFS_2017!$D$3:$AK$38)+SUMPRODUCT((Capacity_Entsoe_SFS_2017!$A$3:$A$38='Abgleich Kapazität'!$A84)*(Capacity_Entsoe_SFS_2017!$D$1:$AL$1='Abgleich Kapazität'!M$79)*Capacity_Entsoe_SFS_2017!$D$3:$AK$38)+SUMPRODUCT((Capacity_Entsoe_SFS_2017!$A$3:$A$38='Abgleich Kapazität'!$A84)*(Capacity_Entsoe_SFS_2017!$D$1:$AL$1='Abgleich Kapazität'!M$78)*Capacity_Entsoe_SFS_2017!$D$3:$AK$38)+SUMPRODUCT((Capacity_Entsoe_SFS_2017!$A$3:$A$38='Abgleich Kapazität'!$A84)*(Capacity_Entsoe_SFS_2017!$D$1:$AL$1='Abgleich Kapazität'!M$77)*Capacity_Entsoe_SFS_2017!$D$3:$AK$38)+SUMPRODUCT((Capacity_Entsoe_SFS_2017!$A$3:$A$38='Abgleich Kapazität'!$A84)*(Capacity_Entsoe_SFS_2017!$D$1:$AL$1='Abgleich Kapazität'!M$76)*Capacity_Entsoe_SFS_2017!$D$3:$AK$38))/1000</f>
        <v>#VALUE!</v>
      </c>
      <c r="N84" s="58" t="e">
        <f>(SUMPRODUCT((Capacity_Entsoe_SFS_2017!$A$3:$A$38='Abgleich Kapazität'!$A84)*(Capacity_Entsoe_SFS_2017!$D$1:$AL$1='Abgleich Kapazität'!N$81)*Capacity_Entsoe_SFS_2017!$D$3:$AK$38)+SUMPRODUCT((Capacity_Entsoe_SFS_2017!$A$3:$A$38='Abgleich Kapazität'!$A84)*(Capacity_Entsoe_SFS_2017!$D$1:$AL$1='Abgleich Kapazität'!N$80)*Capacity_Entsoe_SFS_2017!$D$3:$AK$38)+SUMPRODUCT((Capacity_Entsoe_SFS_2017!$A$3:$A$38='Abgleich Kapazität'!$A84)*(Capacity_Entsoe_SFS_2017!$D$1:$AL$1='Abgleich Kapazität'!N$79)*Capacity_Entsoe_SFS_2017!$D$3:$AK$38)+SUMPRODUCT((Capacity_Entsoe_SFS_2017!$A$3:$A$38='Abgleich Kapazität'!$A84)*(Capacity_Entsoe_SFS_2017!$D$1:$AL$1='Abgleich Kapazität'!N$78)*Capacity_Entsoe_SFS_2017!$D$3:$AK$38)+SUMPRODUCT((Capacity_Entsoe_SFS_2017!$A$3:$A$38='Abgleich Kapazität'!$A84)*(Capacity_Entsoe_SFS_2017!$D$1:$AL$1='Abgleich Kapazität'!N$77)*Capacity_Entsoe_SFS_2017!$D$3:$AK$38)+SUMPRODUCT((Capacity_Entsoe_SFS_2017!$A$3:$A$38='Abgleich Kapazität'!$A84)*(Capacity_Entsoe_SFS_2017!$D$1:$AL$1='Abgleich Kapazität'!N$76)*Capacity_Entsoe_SFS_2017!$D$3:$AK$38))/1000</f>
        <v>#VALUE!</v>
      </c>
      <c r="O84" s="58" t="e">
        <f>(SUMPRODUCT((Capacity_Entsoe_SFS_2017!$A$3:$A$38='Abgleich Kapazität'!$A84)*(Capacity_Entsoe_SFS_2017!$D$1:$AL$1='Abgleich Kapazität'!O$81)*Capacity_Entsoe_SFS_2017!$D$3:$AK$38)+SUMPRODUCT((Capacity_Entsoe_SFS_2017!$A$3:$A$38='Abgleich Kapazität'!$A84)*(Capacity_Entsoe_SFS_2017!$D$1:$AL$1='Abgleich Kapazität'!O$80)*Capacity_Entsoe_SFS_2017!$D$3:$AK$38)+SUMPRODUCT((Capacity_Entsoe_SFS_2017!$A$3:$A$38='Abgleich Kapazität'!$A84)*(Capacity_Entsoe_SFS_2017!$D$1:$AL$1='Abgleich Kapazität'!O$79)*Capacity_Entsoe_SFS_2017!$D$3:$AK$38)+SUMPRODUCT((Capacity_Entsoe_SFS_2017!$A$3:$A$38='Abgleich Kapazität'!$A84)*(Capacity_Entsoe_SFS_2017!$D$1:$AL$1='Abgleich Kapazität'!O$78)*Capacity_Entsoe_SFS_2017!$D$3:$AK$38)+SUMPRODUCT((Capacity_Entsoe_SFS_2017!$A$3:$A$38='Abgleich Kapazität'!$A84)*(Capacity_Entsoe_SFS_2017!$D$1:$AL$1='Abgleich Kapazität'!O$77)*Capacity_Entsoe_SFS_2017!$D$3:$AK$38)+SUMPRODUCT((Capacity_Entsoe_SFS_2017!$A$3:$A$38='Abgleich Kapazität'!$A84)*(Capacity_Entsoe_SFS_2017!$D$1:$AL$1='Abgleich Kapazität'!O$76)*Capacity_Entsoe_SFS_2017!$D$3:$AK$38))/1000</f>
        <v>#VALUE!</v>
      </c>
      <c r="P84" s="58" t="e">
        <f>(SUMPRODUCT((Capacity_Entsoe_SFS_2017!$A$3:$A$38='Abgleich Kapazität'!$A84)*(Capacity_Entsoe_SFS_2017!$D$1:$AL$1='Abgleich Kapazität'!P$81)*Capacity_Entsoe_SFS_2017!$D$3:$AK$38)+SUMPRODUCT((Capacity_Entsoe_SFS_2017!$A$3:$A$38='Abgleich Kapazität'!$A84)*(Capacity_Entsoe_SFS_2017!$D$1:$AL$1='Abgleich Kapazität'!P$80)*Capacity_Entsoe_SFS_2017!$D$3:$AK$38)+SUMPRODUCT((Capacity_Entsoe_SFS_2017!$A$3:$A$38='Abgleich Kapazität'!$A84)*(Capacity_Entsoe_SFS_2017!$D$1:$AL$1='Abgleich Kapazität'!P$79)*Capacity_Entsoe_SFS_2017!$D$3:$AK$38)+SUMPRODUCT((Capacity_Entsoe_SFS_2017!$A$3:$A$38='Abgleich Kapazität'!$A84)*(Capacity_Entsoe_SFS_2017!$D$1:$AL$1='Abgleich Kapazität'!P$78)*Capacity_Entsoe_SFS_2017!$D$3:$AK$38)+SUMPRODUCT((Capacity_Entsoe_SFS_2017!$A$3:$A$38='Abgleich Kapazität'!$A84)*(Capacity_Entsoe_SFS_2017!$D$1:$AL$1='Abgleich Kapazität'!P$77)*Capacity_Entsoe_SFS_2017!$D$3:$AK$38)+SUMPRODUCT((Capacity_Entsoe_SFS_2017!$A$3:$A$38='Abgleich Kapazität'!$A84)*(Capacity_Entsoe_SFS_2017!$D$1:$AL$1='Abgleich Kapazität'!P$76)*Capacity_Entsoe_SFS_2017!$D$3:$AK$38))/1000</f>
        <v>#VALUE!</v>
      </c>
      <c r="Q84" s="58" t="e">
        <f>(SUMPRODUCT((Capacity_Entsoe_SFS_2017!$A$3:$A$38='Abgleich Kapazität'!$A84)*(Capacity_Entsoe_SFS_2017!$D$1:$AL$1='Abgleich Kapazität'!Q$81)*Capacity_Entsoe_SFS_2017!$D$3:$AK$38)+SUMPRODUCT((Capacity_Entsoe_SFS_2017!$A$3:$A$38='Abgleich Kapazität'!$A84)*(Capacity_Entsoe_SFS_2017!$D$1:$AL$1='Abgleich Kapazität'!Q$80)*Capacity_Entsoe_SFS_2017!$D$3:$AK$38)+SUMPRODUCT((Capacity_Entsoe_SFS_2017!$A$3:$A$38='Abgleich Kapazität'!$A84)*(Capacity_Entsoe_SFS_2017!$D$1:$AL$1='Abgleich Kapazität'!Q$79)*Capacity_Entsoe_SFS_2017!$D$3:$AK$38)+SUMPRODUCT((Capacity_Entsoe_SFS_2017!$A$3:$A$38='Abgleich Kapazität'!$A84)*(Capacity_Entsoe_SFS_2017!$D$1:$AL$1='Abgleich Kapazität'!Q$78)*Capacity_Entsoe_SFS_2017!$D$3:$AK$38)+SUMPRODUCT((Capacity_Entsoe_SFS_2017!$A$3:$A$38='Abgleich Kapazität'!$A84)*(Capacity_Entsoe_SFS_2017!$D$1:$AL$1='Abgleich Kapazität'!Q$77)*Capacity_Entsoe_SFS_2017!$D$3:$AK$38)+SUMPRODUCT((Capacity_Entsoe_SFS_2017!$A$3:$A$38='Abgleich Kapazität'!$A84)*(Capacity_Entsoe_SFS_2017!$D$1:$AL$1='Abgleich Kapazität'!Q$76)*Capacity_Entsoe_SFS_2017!$D$3:$AK$38))/1000</f>
        <v>#VALUE!</v>
      </c>
      <c r="R84" s="58" t="e">
        <f>(SUMPRODUCT((Capacity_Entsoe_SFS_2017!$A$3:$A$38='Abgleich Kapazität'!$A84)*(Capacity_Entsoe_SFS_2017!$D$1:$AL$1='Abgleich Kapazität'!R$81)*Capacity_Entsoe_SFS_2017!$D$3:$AK$38)+SUMPRODUCT((Capacity_Entsoe_SFS_2017!$A$3:$A$38='Abgleich Kapazität'!$A84)*(Capacity_Entsoe_SFS_2017!$D$1:$AL$1='Abgleich Kapazität'!R$80)*Capacity_Entsoe_SFS_2017!$D$3:$AK$38)+SUMPRODUCT((Capacity_Entsoe_SFS_2017!$A$3:$A$38='Abgleich Kapazität'!$A84)*(Capacity_Entsoe_SFS_2017!$D$1:$AL$1='Abgleich Kapazität'!R$79)*Capacity_Entsoe_SFS_2017!$D$3:$AK$38)+SUMPRODUCT((Capacity_Entsoe_SFS_2017!$A$3:$A$38='Abgleich Kapazität'!$A84)*(Capacity_Entsoe_SFS_2017!$D$1:$AL$1='Abgleich Kapazität'!R$78)*Capacity_Entsoe_SFS_2017!$D$3:$AK$38)+SUMPRODUCT((Capacity_Entsoe_SFS_2017!$A$3:$A$38='Abgleich Kapazität'!$A84)*(Capacity_Entsoe_SFS_2017!$D$1:$AL$1='Abgleich Kapazität'!R$77)*Capacity_Entsoe_SFS_2017!$D$3:$AK$38)+SUMPRODUCT((Capacity_Entsoe_SFS_2017!$A$3:$A$38='Abgleich Kapazität'!$A84)*(Capacity_Entsoe_SFS_2017!$D$1:$AL$1='Abgleich Kapazität'!R$76)*Capacity_Entsoe_SFS_2017!$D$3:$AK$38))/1000</f>
        <v>#VALUE!</v>
      </c>
      <c r="S84" s="58" t="e">
        <f>(SUMPRODUCT((Capacity_Entsoe_SFS_2017!$A$3:$A$38='Abgleich Kapazität'!$A84)*(Capacity_Entsoe_SFS_2017!$D$1:$AL$1='Abgleich Kapazität'!S$81)*Capacity_Entsoe_SFS_2017!$D$3:$AK$38)+SUMPRODUCT((Capacity_Entsoe_SFS_2017!$A$3:$A$38='Abgleich Kapazität'!$A84)*(Capacity_Entsoe_SFS_2017!$D$1:$AL$1='Abgleich Kapazität'!S$80)*Capacity_Entsoe_SFS_2017!$D$3:$AK$38)+SUMPRODUCT((Capacity_Entsoe_SFS_2017!$A$3:$A$38='Abgleich Kapazität'!$A84)*(Capacity_Entsoe_SFS_2017!$D$1:$AL$1='Abgleich Kapazität'!S$79)*Capacity_Entsoe_SFS_2017!$D$3:$AK$38)+SUMPRODUCT((Capacity_Entsoe_SFS_2017!$A$3:$A$38='Abgleich Kapazität'!$A84)*(Capacity_Entsoe_SFS_2017!$D$1:$AL$1='Abgleich Kapazität'!S$78)*Capacity_Entsoe_SFS_2017!$D$3:$AK$38)+SUMPRODUCT((Capacity_Entsoe_SFS_2017!$A$3:$A$38='Abgleich Kapazität'!$A84)*(Capacity_Entsoe_SFS_2017!$D$1:$AL$1='Abgleich Kapazität'!S$77)*Capacity_Entsoe_SFS_2017!$D$3:$AK$38)+SUMPRODUCT((Capacity_Entsoe_SFS_2017!$A$3:$A$38='Abgleich Kapazität'!$A84)*(Capacity_Entsoe_SFS_2017!$D$1:$AL$1='Abgleich Kapazität'!S$76)*Capacity_Entsoe_SFS_2017!$D$3:$AK$38))/1000</f>
        <v>#VALUE!</v>
      </c>
      <c r="T84" s="58" t="e">
        <f>(SUMPRODUCT((Capacity_Entsoe_SFS_2017!$A$3:$A$38='Abgleich Kapazität'!$A84)*(Capacity_Entsoe_SFS_2017!$D$1:$AL$1='Abgleich Kapazität'!T$81)*Capacity_Entsoe_SFS_2017!$D$3:$AK$38)+SUMPRODUCT((Capacity_Entsoe_SFS_2017!$A$3:$A$38='Abgleich Kapazität'!$A84)*(Capacity_Entsoe_SFS_2017!$D$1:$AL$1='Abgleich Kapazität'!T$80)*Capacity_Entsoe_SFS_2017!$D$3:$AK$38)+SUMPRODUCT((Capacity_Entsoe_SFS_2017!$A$3:$A$38='Abgleich Kapazität'!$A84)*(Capacity_Entsoe_SFS_2017!$D$1:$AL$1='Abgleich Kapazität'!T$79)*Capacity_Entsoe_SFS_2017!$D$3:$AK$38)+SUMPRODUCT((Capacity_Entsoe_SFS_2017!$A$3:$A$38='Abgleich Kapazität'!$A84)*(Capacity_Entsoe_SFS_2017!$D$1:$AL$1='Abgleich Kapazität'!T$78)*Capacity_Entsoe_SFS_2017!$D$3:$AK$38)+SUMPRODUCT((Capacity_Entsoe_SFS_2017!$A$3:$A$38='Abgleich Kapazität'!$A84)*(Capacity_Entsoe_SFS_2017!$D$1:$AL$1='Abgleich Kapazität'!T$77)*Capacity_Entsoe_SFS_2017!$D$3:$AK$38)+SUMPRODUCT((Capacity_Entsoe_SFS_2017!$A$3:$A$38='Abgleich Kapazität'!$A84)*(Capacity_Entsoe_SFS_2017!$D$1:$AL$1='Abgleich Kapazität'!T$76)*Capacity_Entsoe_SFS_2017!$D$3:$AK$38))/1000</f>
        <v>#VALUE!</v>
      </c>
      <c r="U84" s="58" t="e">
        <f>(SUMPRODUCT((Capacity_Entsoe_SFS_2017!$A$3:$A$38='Abgleich Kapazität'!$A84)*(Capacity_Entsoe_SFS_2017!$D$1:$AL$1='Abgleich Kapazität'!U$81)*Capacity_Entsoe_SFS_2017!$D$3:$AK$38)+SUMPRODUCT((Capacity_Entsoe_SFS_2017!$A$3:$A$38='Abgleich Kapazität'!$A84)*(Capacity_Entsoe_SFS_2017!$D$1:$AL$1='Abgleich Kapazität'!U$80)*Capacity_Entsoe_SFS_2017!$D$3:$AK$38)+SUMPRODUCT((Capacity_Entsoe_SFS_2017!$A$3:$A$38='Abgleich Kapazität'!$A84)*(Capacity_Entsoe_SFS_2017!$D$1:$AL$1='Abgleich Kapazität'!U$79)*Capacity_Entsoe_SFS_2017!$D$3:$AK$38)+SUMPRODUCT((Capacity_Entsoe_SFS_2017!$A$3:$A$38='Abgleich Kapazität'!$A84)*(Capacity_Entsoe_SFS_2017!$D$1:$AL$1='Abgleich Kapazität'!U$78)*Capacity_Entsoe_SFS_2017!$D$3:$AK$38)+SUMPRODUCT((Capacity_Entsoe_SFS_2017!$A$3:$A$38='Abgleich Kapazität'!$A84)*(Capacity_Entsoe_SFS_2017!$D$1:$AL$1='Abgleich Kapazität'!U$77)*Capacity_Entsoe_SFS_2017!$D$3:$AK$38)+SUMPRODUCT((Capacity_Entsoe_SFS_2017!$A$3:$A$38='Abgleich Kapazität'!$A84)*(Capacity_Entsoe_SFS_2017!$D$1:$AL$1='Abgleich Kapazität'!U$76)*Capacity_Entsoe_SFS_2017!$D$3:$AK$38))/1000</f>
        <v>#VALUE!</v>
      </c>
      <c r="V84" s="59" t="e">
        <f>K84+B84</f>
        <v>#VALUE!</v>
      </c>
    </row>
    <row r="85" spans="1:22" x14ac:dyDescent="0.25">
      <c r="A85" s="14" t="s">
        <v>11</v>
      </c>
      <c r="B85" s="25" t="e">
        <f t="shared" ref="B85:B113" si="77">SUM(C85:D85)</f>
        <v>#VALUE!</v>
      </c>
      <c r="C85" s="26" t="e">
        <f>(SUMPRODUCT((Capacity_Entsoe_SFS_2017!$A$3:$A$38='Abgleich Kapazität'!$A85)*(Capacity_Entsoe_SFS_2017!$D$1:$AL$1='Abgleich Kapazität'!C$81)*Capacity_Entsoe_SFS_2017!$D$3:$AK$38)+SUMPRODUCT((Capacity_Entsoe_SFS_2017!$A$3:$A$38='Abgleich Kapazität'!$A85)*(Capacity_Entsoe_SFS_2017!$D$1:$AL$1='Abgleich Kapazität'!C$80)*Capacity_Entsoe_SFS_2017!$D$3:$AK$38)+SUMPRODUCT((Capacity_Entsoe_SFS_2017!$A$3:$A$38='Abgleich Kapazität'!$A85)*(Capacity_Entsoe_SFS_2017!$D$1:$AL$1='Abgleich Kapazität'!C$79)*Capacity_Entsoe_SFS_2017!$D$3:$AK$38)+SUMPRODUCT((Capacity_Entsoe_SFS_2017!$A$3:$A$38='Abgleich Kapazität'!$A85)*(Capacity_Entsoe_SFS_2017!$D$1:$AL$1='Abgleich Kapazität'!C$78)*Capacity_Entsoe_SFS_2017!$D$3:$AK$38))/1000</f>
        <v>#VALUE!</v>
      </c>
      <c r="D85" s="26" t="e">
        <f t="shared" ref="D85:D113" si="78">SUM(E85:J85)</f>
        <v>#VALUE!</v>
      </c>
      <c r="E85" s="26" t="e">
        <f>(SUMPRODUCT((Capacity_Entsoe_SFS_2017!$A$3:$A$38='Abgleich Kapazität'!$A85)*(Capacity_Entsoe_SFS_2017!$D$1:$AL$1='Abgleich Kapazität'!E$81)*Capacity_Entsoe_SFS_2017!$D$3:$AK$38)+SUMPRODUCT((Capacity_Entsoe_SFS_2017!$A$3:$A$38='Abgleich Kapazität'!$A85)*(Capacity_Entsoe_SFS_2017!$D$1:$AL$1='Abgleich Kapazität'!E$80)*Capacity_Entsoe_SFS_2017!$D$3:$AK$38)+SUMPRODUCT((Capacity_Entsoe_SFS_2017!$A$3:$A$38='Abgleich Kapazität'!$A85)*(Capacity_Entsoe_SFS_2017!$D$1:$AL$1='Abgleich Kapazität'!E$79)*Capacity_Entsoe_SFS_2017!$D$3:$AK$38)+SUMPRODUCT((Capacity_Entsoe_SFS_2017!$A$3:$A$38='Abgleich Kapazität'!$A85)*(Capacity_Entsoe_SFS_2017!$D$1:$AL$1='Abgleich Kapazität'!E$78)*Capacity_Entsoe_SFS_2017!$D$3:$AK$38))/1000</f>
        <v>#VALUE!</v>
      </c>
      <c r="F85" s="26" t="e">
        <f>(SUMPRODUCT((Capacity_Entsoe_SFS_2017!$A$3:$A$38='Abgleich Kapazität'!$A85)*(Capacity_Entsoe_SFS_2017!$D$1:$AL$1='Abgleich Kapazität'!F$81)*Capacity_Entsoe_SFS_2017!$D$3:$AK$38)+SUMPRODUCT((Capacity_Entsoe_SFS_2017!$A$3:$A$38='Abgleich Kapazität'!$A85)*(Capacity_Entsoe_SFS_2017!$D$1:$AL$1='Abgleich Kapazität'!F$80)*Capacity_Entsoe_SFS_2017!$D$3:$AK$38)+SUMPRODUCT((Capacity_Entsoe_SFS_2017!$A$3:$A$38='Abgleich Kapazität'!$A85)*(Capacity_Entsoe_SFS_2017!$D$1:$AL$1='Abgleich Kapazität'!F$79)*Capacity_Entsoe_SFS_2017!$D$3:$AK$38)+SUMPRODUCT((Capacity_Entsoe_SFS_2017!$A$3:$A$38='Abgleich Kapazität'!$A85)*(Capacity_Entsoe_SFS_2017!$D$1:$AL$1='Abgleich Kapazität'!F$78)*Capacity_Entsoe_SFS_2017!$D$3:$AK$38))/1000</f>
        <v>#VALUE!</v>
      </c>
      <c r="G85" s="26" t="e">
        <f>(SUMPRODUCT((Capacity_Entsoe_SFS_2017!$A$3:$A$38='Abgleich Kapazität'!$A85)*(Capacity_Entsoe_SFS_2017!$D$1:$AL$1='Abgleich Kapazität'!G$81)*Capacity_Entsoe_SFS_2017!$D$3:$AK$38)+SUMPRODUCT((Capacity_Entsoe_SFS_2017!$A$3:$A$38='Abgleich Kapazität'!$A85)*(Capacity_Entsoe_SFS_2017!$D$1:$AL$1='Abgleich Kapazität'!G$80)*Capacity_Entsoe_SFS_2017!$D$3:$AK$38)+SUMPRODUCT((Capacity_Entsoe_SFS_2017!$A$3:$A$38='Abgleich Kapazität'!$A85)*(Capacity_Entsoe_SFS_2017!$D$1:$AL$1='Abgleich Kapazität'!G$79)*Capacity_Entsoe_SFS_2017!$D$3:$AK$38)+SUMPRODUCT((Capacity_Entsoe_SFS_2017!$A$3:$A$38='Abgleich Kapazität'!$A85)*(Capacity_Entsoe_SFS_2017!$D$1:$AL$1='Abgleich Kapazität'!G$78)*Capacity_Entsoe_SFS_2017!$D$3:$AK$38))/1000</f>
        <v>#VALUE!</v>
      </c>
      <c r="H85" s="26" t="e">
        <f>(SUMPRODUCT((Capacity_Entsoe_SFS_2017!$A$3:$A$38='Abgleich Kapazität'!$A85)*(Capacity_Entsoe_SFS_2017!$D$1:$AL$1='Abgleich Kapazität'!H$81)*Capacity_Entsoe_SFS_2017!$D$3:$AK$38)+SUMPRODUCT((Capacity_Entsoe_SFS_2017!$A$3:$A$38='Abgleich Kapazität'!$A85)*(Capacity_Entsoe_SFS_2017!$D$1:$AL$1='Abgleich Kapazität'!H$80)*Capacity_Entsoe_SFS_2017!$D$3:$AK$38)+SUMPRODUCT((Capacity_Entsoe_SFS_2017!$A$3:$A$38='Abgleich Kapazität'!$A85)*(Capacity_Entsoe_SFS_2017!$D$1:$AL$1='Abgleich Kapazität'!H$79)*Capacity_Entsoe_SFS_2017!$D$3:$AK$38)+SUMPRODUCT((Capacity_Entsoe_SFS_2017!$A$3:$A$38='Abgleich Kapazität'!$A85)*(Capacity_Entsoe_SFS_2017!$D$1:$AL$1='Abgleich Kapazität'!H$78)*Capacity_Entsoe_SFS_2017!$D$3:$AK$38))/1000</f>
        <v>#VALUE!</v>
      </c>
      <c r="I85" s="26" t="e">
        <f>(SUMPRODUCT((Capacity_Entsoe_SFS_2017!$A$3:$A$38='Abgleich Kapazität'!$A85)*(Capacity_Entsoe_SFS_2017!$D$1:$AL$1='Abgleich Kapazität'!I$81)*Capacity_Entsoe_SFS_2017!$D$3:$AK$38)+SUMPRODUCT((Capacity_Entsoe_SFS_2017!$A$3:$A$38='Abgleich Kapazität'!$A85)*(Capacity_Entsoe_SFS_2017!$D$1:$AL$1='Abgleich Kapazität'!I$80)*Capacity_Entsoe_SFS_2017!$D$3:$AK$38)+SUMPRODUCT((Capacity_Entsoe_SFS_2017!$A$3:$A$38='Abgleich Kapazität'!$A85)*(Capacity_Entsoe_SFS_2017!$D$1:$AL$1='Abgleich Kapazität'!I$79)*Capacity_Entsoe_SFS_2017!$D$3:$AK$38)+SUMPRODUCT((Capacity_Entsoe_SFS_2017!$A$3:$A$38='Abgleich Kapazität'!$A85)*(Capacity_Entsoe_SFS_2017!$D$1:$AL$1='Abgleich Kapazität'!I$78)*Capacity_Entsoe_SFS_2017!$D$3:$AK$38))/1000</f>
        <v>#VALUE!</v>
      </c>
      <c r="J85" s="26" t="e">
        <f>(SUMPRODUCT((Capacity_Entsoe_SFS_2017!$A$3:$A$38='Abgleich Kapazität'!$A85)*(Capacity_Entsoe_SFS_2017!$D$1:$AL$1='Abgleich Kapazität'!J$81)*Capacity_Entsoe_SFS_2017!$D$3:$AK$38)+SUMPRODUCT((Capacity_Entsoe_SFS_2017!$A$3:$A$38='Abgleich Kapazität'!$A85)*(Capacity_Entsoe_SFS_2017!$D$1:$AL$1='Abgleich Kapazität'!J$80)*Capacity_Entsoe_SFS_2017!$D$3:$AK$38)+SUMPRODUCT((Capacity_Entsoe_SFS_2017!$A$3:$A$38='Abgleich Kapazität'!$A85)*(Capacity_Entsoe_SFS_2017!$D$1:$AL$1='Abgleich Kapazität'!J$79)*Capacity_Entsoe_SFS_2017!$D$3:$AK$38)+SUMPRODUCT((Capacity_Entsoe_SFS_2017!$A$3:$A$38='Abgleich Kapazität'!$A85)*(Capacity_Entsoe_SFS_2017!$D$1:$AL$1='Abgleich Kapazität'!J$78)*Capacity_Entsoe_SFS_2017!$D$3:$AK$38))/1000</f>
        <v>#VALUE!</v>
      </c>
      <c r="K85" s="27" t="e">
        <f t="shared" ref="K85:K113" si="79">SUM(L85:U85)</f>
        <v>#VALUE!</v>
      </c>
      <c r="L85" s="26" t="e">
        <f>(SUMPRODUCT((Capacity_Entsoe_SFS_2017!$A$3:$A$38='Abgleich Kapazität'!$A85)*(Capacity_Entsoe_SFS_2017!$D$1:$AL$1='Abgleich Kapazität'!L$81)*Capacity_Entsoe_SFS_2017!$D$3:$AK$38)+SUMPRODUCT((Capacity_Entsoe_SFS_2017!$A$3:$A$38='Abgleich Kapazität'!$A85)*(Capacity_Entsoe_SFS_2017!$D$1:$AL$1='Abgleich Kapazität'!L$80)*Capacity_Entsoe_SFS_2017!$D$3:$AK$38)+SUMPRODUCT((Capacity_Entsoe_SFS_2017!$A$3:$A$38='Abgleich Kapazität'!$A85)*(Capacity_Entsoe_SFS_2017!$D$1:$AL$1='Abgleich Kapazität'!L$79)*Capacity_Entsoe_SFS_2017!$D$3:$AK$38)+SUMPRODUCT((Capacity_Entsoe_SFS_2017!$A$3:$A$38='Abgleich Kapazität'!$A85)*(Capacity_Entsoe_SFS_2017!$D$1:$AL$1='Abgleich Kapazität'!L$78)*Capacity_Entsoe_SFS_2017!$D$3:$AK$38)+SUMPRODUCT((Capacity_Entsoe_SFS_2017!$A$3:$A$38='Abgleich Kapazität'!$A85)*(Capacity_Entsoe_SFS_2017!$D$1:$AL$1='Abgleich Kapazität'!L$77)*Capacity_Entsoe_SFS_2017!$D$3:$AK$38)+SUMPRODUCT((Capacity_Entsoe_SFS_2017!$A$3:$A$38='Abgleich Kapazität'!$A85)*(Capacity_Entsoe_SFS_2017!$D$1:$AL$1='Abgleich Kapazität'!L$76)*Capacity_Entsoe_SFS_2017!$D$3:$AK$38))/1000</f>
        <v>#VALUE!</v>
      </c>
      <c r="M85" s="26" t="e">
        <f>(SUMPRODUCT((Capacity_Entsoe_SFS_2017!$A$3:$A$38='Abgleich Kapazität'!$A85)*(Capacity_Entsoe_SFS_2017!$D$1:$AL$1='Abgleich Kapazität'!M$81)*Capacity_Entsoe_SFS_2017!$D$3:$AK$38)+SUMPRODUCT((Capacity_Entsoe_SFS_2017!$A$3:$A$38='Abgleich Kapazität'!$A85)*(Capacity_Entsoe_SFS_2017!$D$1:$AL$1='Abgleich Kapazität'!M$80)*Capacity_Entsoe_SFS_2017!$D$3:$AK$38)+SUMPRODUCT((Capacity_Entsoe_SFS_2017!$A$3:$A$38='Abgleich Kapazität'!$A85)*(Capacity_Entsoe_SFS_2017!$D$1:$AL$1='Abgleich Kapazität'!M$79)*Capacity_Entsoe_SFS_2017!$D$3:$AK$38)+SUMPRODUCT((Capacity_Entsoe_SFS_2017!$A$3:$A$38='Abgleich Kapazität'!$A85)*(Capacity_Entsoe_SFS_2017!$D$1:$AL$1='Abgleich Kapazität'!M$78)*Capacity_Entsoe_SFS_2017!$D$3:$AK$38)+SUMPRODUCT((Capacity_Entsoe_SFS_2017!$A$3:$A$38='Abgleich Kapazität'!$A85)*(Capacity_Entsoe_SFS_2017!$D$1:$AL$1='Abgleich Kapazität'!M$77)*Capacity_Entsoe_SFS_2017!$D$3:$AK$38)+SUMPRODUCT((Capacity_Entsoe_SFS_2017!$A$3:$A$38='Abgleich Kapazität'!$A85)*(Capacity_Entsoe_SFS_2017!$D$1:$AL$1='Abgleich Kapazität'!M$76)*Capacity_Entsoe_SFS_2017!$D$3:$AK$38))/1000</f>
        <v>#VALUE!</v>
      </c>
      <c r="N85" s="26" t="e">
        <f>(SUMPRODUCT((Capacity_Entsoe_SFS_2017!$A$3:$A$38='Abgleich Kapazität'!$A85)*(Capacity_Entsoe_SFS_2017!$D$1:$AL$1='Abgleich Kapazität'!N$81)*Capacity_Entsoe_SFS_2017!$D$3:$AK$38)+SUMPRODUCT((Capacity_Entsoe_SFS_2017!$A$3:$A$38='Abgleich Kapazität'!$A85)*(Capacity_Entsoe_SFS_2017!$D$1:$AL$1='Abgleich Kapazität'!N$80)*Capacity_Entsoe_SFS_2017!$D$3:$AK$38)+SUMPRODUCT((Capacity_Entsoe_SFS_2017!$A$3:$A$38='Abgleich Kapazität'!$A85)*(Capacity_Entsoe_SFS_2017!$D$1:$AL$1='Abgleich Kapazität'!N$79)*Capacity_Entsoe_SFS_2017!$D$3:$AK$38)+SUMPRODUCT((Capacity_Entsoe_SFS_2017!$A$3:$A$38='Abgleich Kapazität'!$A85)*(Capacity_Entsoe_SFS_2017!$D$1:$AL$1='Abgleich Kapazität'!N$78)*Capacity_Entsoe_SFS_2017!$D$3:$AK$38)+SUMPRODUCT((Capacity_Entsoe_SFS_2017!$A$3:$A$38='Abgleich Kapazität'!$A85)*(Capacity_Entsoe_SFS_2017!$D$1:$AL$1='Abgleich Kapazität'!N$77)*Capacity_Entsoe_SFS_2017!$D$3:$AK$38)+SUMPRODUCT((Capacity_Entsoe_SFS_2017!$A$3:$A$38='Abgleich Kapazität'!$A85)*(Capacity_Entsoe_SFS_2017!$D$1:$AL$1='Abgleich Kapazität'!N$76)*Capacity_Entsoe_SFS_2017!$D$3:$AK$38))/1000</f>
        <v>#VALUE!</v>
      </c>
      <c r="O85" s="26" t="e">
        <f>(SUMPRODUCT((Capacity_Entsoe_SFS_2017!$A$3:$A$38='Abgleich Kapazität'!$A85)*(Capacity_Entsoe_SFS_2017!$D$1:$AL$1='Abgleich Kapazität'!O$81)*Capacity_Entsoe_SFS_2017!$D$3:$AK$38)+SUMPRODUCT((Capacity_Entsoe_SFS_2017!$A$3:$A$38='Abgleich Kapazität'!$A85)*(Capacity_Entsoe_SFS_2017!$D$1:$AL$1='Abgleich Kapazität'!O$80)*Capacity_Entsoe_SFS_2017!$D$3:$AK$38)+SUMPRODUCT((Capacity_Entsoe_SFS_2017!$A$3:$A$38='Abgleich Kapazität'!$A85)*(Capacity_Entsoe_SFS_2017!$D$1:$AL$1='Abgleich Kapazität'!O$79)*Capacity_Entsoe_SFS_2017!$D$3:$AK$38)+SUMPRODUCT((Capacity_Entsoe_SFS_2017!$A$3:$A$38='Abgleich Kapazität'!$A85)*(Capacity_Entsoe_SFS_2017!$D$1:$AL$1='Abgleich Kapazität'!O$78)*Capacity_Entsoe_SFS_2017!$D$3:$AK$38)+SUMPRODUCT((Capacity_Entsoe_SFS_2017!$A$3:$A$38='Abgleich Kapazität'!$A85)*(Capacity_Entsoe_SFS_2017!$D$1:$AL$1='Abgleich Kapazität'!O$77)*Capacity_Entsoe_SFS_2017!$D$3:$AK$38)+SUMPRODUCT((Capacity_Entsoe_SFS_2017!$A$3:$A$38='Abgleich Kapazität'!$A85)*(Capacity_Entsoe_SFS_2017!$D$1:$AL$1='Abgleich Kapazität'!O$76)*Capacity_Entsoe_SFS_2017!$D$3:$AK$38))/1000</f>
        <v>#VALUE!</v>
      </c>
      <c r="P85" s="26" t="e">
        <f>(SUMPRODUCT((Capacity_Entsoe_SFS_2017!$A$3:$A$38='Abgleich Kapazität'!$A85)*(Capacity_Entsoe_SFS_2017!$D$1:$AL$1='Abgleich Kapazität'!P$81)*Capacity_Entsoe_SFS_2017!$D$3:$AK$38)+SUMPRODUCT((Capacity_Entsoe_SFS_2017!$A$3:$A$38='Abgleich Kapazität'!$A85)*(Capacity_Entsoe_SFS_2017!$D$1:$AL$1='Abgleich Kapazität'!P$80)*Capacity_Entsoe_SFS_2017!$D$3:$AK$38)+SUMPRODUCT((Capacity_Entsoe_SFS_2017!$A$3:$A$38='Abgleich Kapazität'!$A85)*(Capacity_Entsoe_SFS_2017!$D$1:$AL$1='Abgleich Kapazität'!P$79)*Capacity_Entsoe_SFS_2017!$D$3:$AK$38)+SUMPRODUCT((Capacity_Entsoe_SFS_2017!$A$3:$A$38='Abgleich Kapazität'!$A85)*(Capacity_Entsoe_SFS_2017!$D$1:$AL$1='Abgleich Kapazität'!P$78)*Capacity_Entsoe_SFS_2017!$D$3:$AK$38)+SUMPRODUCT((Capacity_Entsoe_SFS_2017!$A$3:$A$38='Abgleich Kapazität'!$A85)*(Capacity_Entsoe_SFS_2017!$D$1:$AL$1='Abgleich Kapazität'!P$77)*Capacity_Entsoe_SFS_2017!$D$3:$AK$38)+SUMPRODUCT((Capacity_Entsoe_SFS_2017!$A$3:$A$38='Abgleich Kapazität'!$A85)*(Capacity_Entsoe_SFS_2017!$D$1:$AL$1='Abgleich Kapazität'!P$76)*Capacity_Entsoe_SFS_2017!$D$3:$AK$38))/1000</f>
        <v>#VALUE!</v>
      </c>
      <c r="Q85" s="26" t="e">
        <f>(SUMPRODUCT((Capacity_Entsoe_SFS_2017!$A$3:$A$38='Abgleich Kapazität'!$A85)*(Capacity_Entsoe_SFS_2017!$D$1:$AL$1='Abgleich Kapazität'!Q$81)*Capacity_Entsoe_SFS_2017!$D$3:$AK$38)+SUMPRODUCT((Capacity_Entsoe_SFS_2017!$A$3:$A$38='Abgleich Kapazität'!$A85)*(Capacity_Entsoe_SFS_2017!$D$1:$AL$1='Abgleich Kapazität'!Q$80)*Capacity_Entsoe_SFS_2017!$D$3:$AK$38)+SUMPRODUCT((Capacity_Entsoe_SFS_2017!$A$3:$A$38='Abgleich Kapazität'!$A85)*(Capacity_Entsoe_SFS_2017!$D$1:$AL$1='Abgleich Kapazität'!Q$79)*Capacity_Entsoe_SFS_2017!$D$3:$AK$38)+SUMPRODUCT((Capacity_Entsoe_SFS_2017!$A$3:$A$38='Abgleich Kapazität'!$A85)*(Capacity_Entsoe_SFS_2017!$D$1:$AL$1='Abgleich Kapazität'!Q$78)*Capacity_Entsoe_SFS_2017!$D$3:$AK$38)+SUMPRODUCT((Capacity_Entsoe_SFS_2017!$A$3:$A$38='Abgleich Kapazität'!$A85)*(Capacity_Entsoe_SFS_2017!$D$1:$AL$1='Abgleich Kapazität'!Q$77)*Capacity_Entsoe_SFS_2017!$D$3:$AK$38)+SUMPRODUCT((Capacity_Entsoe_SFS_2017!$A$3:$A$38='Abgleich Kapazität'!$A85)*(Capacity_Entsoe_SFS_2017!$D$1:$AL$1='Abgleich Kapazität'!Q$76)*Capacity_Entsoe_SFS_2017!$D$3:$AK$38))/1000</f>
        <v>#VALUE!</v>
      </c>
      <c r="R85" s="26" t="e">
        <f>(SUMPRODUCT((Capacity_Entsoe_SFS_2017!$A$3:$A$38='Abgleich Kapazität'!$A85)*(Capacity_Entsoe_SFS_2017!$D$1:$AL$1='Abgleich Kapazität'!R$81)*Capacity_Entsoe_SFS_2017!$D$3:$AK$38)+SUMPRODUCT((Capacity_Entsoe_SFS_2017!$A$3:$A$38='Abgleich Kapazität'!$A85)*(Capacity_Entsoe_SFS_2017!$D$1:$AL$1='Abgleich Kapazität'!R$80)*Capacity_Entsoe_SFS_2017!$D$3:$AK$38)+SUMPRODUCT((Capacity_Entsoe_SFS_2017!$A$3:$A$38='Abgleich Kapazität'!$A85)*(Capacity_Entsoe_SFS_2017!$D$1:$AL$1='Abgleich Kapazität'!R$79)*Capacity_Entsoe_SFS_2017!$D$3:$AK$38)+SUMPRODUCT((Capacity_Entsoe_SFS_2017!$A$3:$A$38='Abgleich Kapazität'!$A85)*(Capacity_Entsoe_SFS_2017!$D$1:$AL$1='Abgleich Kapazität'!R$78)*Capacity_Entsoe_SFS_2017!$D$3:$AK$38)+SUMPRODUCT((Capacity_Entsoe_SFS_2017!$A$3:$A$38='Abgleich Kapazität'!$A85)*(Capacity_Entsoe_SFS_2017!$D$1:$AL$1='Abgleich Kapazität'!R$77)*Capacity_Entsoe_SFS_2017!$D$3:$AK$38)+SUMPRODUCT((Capacity_Entsoe_SFS_2017!$A$3:$A$38='Abgleich Kapazität'!$A85)*(Capacity_Entsoe_SFS_2017!$D$1:$AL$1='Abgleich Kapazität'!R$76)*Capacity_Entsoe_SFS_2017!$D$3:$AK$38))/1000</f>
        <v>#VALUE!</v>
      </c>
      <c r="S85" s="26" t="e">
        <f>(SUMPRODUCT((Capacity_Entsoe_SFS_2017!$A$3:$A$38='Abgleich Kapazität'!$A85)*(Capacity_Entsoe_SFS_2017!$D$1:$AL$1='Abgleich Kapazität'!S$81)*Capacity_Entsoe_SFS_2017!$D$3:$AK$38)+SUMPRODUCT((Capacity_Entsoe_SFS_2017!$A$3:$A$38='Abgleich Kapazität'!$A85)*(Capacity_Entsoe_SFS_2017!$D$1:$AL$1='Abgleich Kapazität'!S$80)*Capacity_Entsoe_SFS_2017!$D$3:$AK$38)+SUMPRODUCT((Capacity_Entsoe_SFS_2017!$A$3:$A$38='Abgleich Kapazität'!$A85)*(Capacity_Entsoe_SFS_2017!$D$1:$AL$1='Abgleich Kapazität'!S$79)*Capacity_Entsoe_SFS_2017!$D$3:$AK$38)+SUMPRODUCT((Capacity_Entsoe_SFS_2017!$A$3:$A$38='Abgleich Kapazität'!$A85)*(Capacity_Entsoe_SFS_2017!$D$1:$AL$1='Abgleich Kapazität'!S$78)*Capacity_Entsoe_SFS_2017!$D$3:$AK$38)+SUMPRODUCT((Capacity_Entsoe_SFS_2017!$A$3:$A$38='Abgleich Kapazität'!$A85)*(Capacity_Entsoe_SFS_2017!$D$1:$AL$1='Abgleich Kapazität'!S$77)*Capacity_Entsoe_SFS_2017!$D$3:$AK$38)+SUMPRODUCT((Capacity_Entsoe_SFS_2017!$A$3:$A$38='Abgleich Kapazität'!$A85)*(Capacity_Entsoe_SFS_2017!$D$1:$AL$1='Abgleich Kapazität'!S$76)*Capacity_Entsoe_SFS_2017!$D$3:$AK$38))/1000</f>
        <v>#VALUE!</v>
      </c>
      <c r="T85" s="26" t="e">
        <f>(SUMPRODUCT((Capacity_Entsoe_SFS_2017!$A$3:$A$38='Abgleich Kapazität'!$A85)*(Capacity_Entsoe_SFS_2017!$D$1:$AL$1='Abgleich Kapazität'!T$81)*Capacity_Entsoe_SFS_2017!$D$3:$AK$38)+SUMPRODUCT((Capacity_Entsoe_SFS_2017!$A$3:$A$38='Abgleich Kapazität'!$A85)*(Capacity_Entsoe_SFS_2017!$D$1:$AL$1='Abgleich Kapazität'!T$80)*Capacity_Entsoe_SFS_2017!$D$3:$AK$38)+SUMPRODUCT((Capacity_Entsoe_SFS_2017!$A$3:$A$38='Abgleich Kapazität'!$A85)*(Capacity_Entsoe_SFS_2017!$D$1:$AL$1='Abgleich Kapazität'!T$79)*Capacity_Entsoe_SFS_2017!$D$3:$AK$38)+SUMPRODUCT((Capacity_Entsoe_SFS_2017!$A$3:$A$38='Abgleich Kapazität'!$A85)*(Capacity_Entsoe_SFS_2017!$D$1:$AL$1='Abgleich Kapazität'!T$78)*Capacity_Entsoe_SFS_2017!$D$3:$AK$38)+SUMPRODUCT((Capacity_Entsoe_SFS_2017!$A$3:$A$38='Abgleich Kapazität'!$A85)*(Capacity_Entsoe_SFS_2017!$D$1:$AL$1='Abgleich Kapazität'!T$77)*Capacity_Entsoe_SFS_2017!$D$3:$AK$38)+SUMPRODUCT((Capacity_Entsoe_SFS_2017!$A$3:$A$38='Abgleich Kapazität'!$A85)*(Capacity_Entsoe_SFS_2017!$D$1:$AL$1='Abgleich Kapazität'!T$76)*Capacity_Entsoe_SFS_2017!$D$3:$AK$38))/1000</f>
        <v>#VALUE!</v>
      </c>
      <c r="U85" s="26" t="e">
        <f>(SUMPRODUCT((Capacity_Entsoe_SFS_2017!$A$3:$A$38='Abgleich Kapazität'!$A85)*(Capacity_Entsoe_SFS_2017!$D$1:$AL$1='Abgleich Kapazität'!U$81)*Capacity_Entsoe_SFS_2017!$D$3:$AK$38)+SUMPRODUCT((Capacity_Entsoe_SFS_2017!$A$3:$A$38='Abgleich Kapazität'!$A85)*(Capacity_Entsoe_SFS_2017!$D$1:$AL$1='Abgleich Kapazität'!U$80)*Capacity_Entsoe_SFS_2017!$D$3:$AK$38)+SUMPRODUCT((Capacity_Entsoe_SFS_2017!$A$3:$A$38='Abgleich Kapazität'!$A85)*(Capacity_Entsoe_SFS_2017!$D$1:$AL$1='Abgleich Kapazität'!U$79)*Capacity_Entsoe_SFS_2017!$D$3:$AK$38)+SUMPRODUCT((Capacity_Entsoe_SFS_2017!$A$3:$A$38='Abgleich Kapazität'!$A85)*(Capacity_Entsoe_SFS_2017!$D$1:$AL$1='Abgleich Kapazität'!U$78)*Capacity_Entsoe_SFS_2017!$D$3:$AK$38)+SUMPRODUCT((Capacity_Entsoe_SFS_2017!$A$3:$A$38='Abgleich Kapazität'!$A85)*(Capacity_Entsoe_SFS_2017!$D$1:$AL$1='Abgleich Kapazität'!U$77)*Capacity_Entsoe_SFS_2017!$D$3:$AK$38)+SUMPRODUCT((Capacity_Entsoe_SFS_2017!$A$3:$A$38='Abgleich Kapazität'!$A85)*(Capacity_Entsoe_SFS_2017!$D$1:$AL$1='Abgleich Kapazität'!U$76)*Capacity_Entsoe_SFS_2017!$D$3:$AK$38))/1000</f>
        <v>#VALUE!</v>
      </c>
      <c r="V85" s="27" t="e">
        <f t="shared" ref="V85:V113" si="80">K85+B85</f>
        <v>#VALUE!</v>
      </c>
    </row>
    <row r="86" spans="1:22" x14ac:dyDescent="0.25">
      <c r="A86" s="14" t="s">
        <v>12</v>
      </c>
      <c r="B86" s="57" t="e">
        <f t="shared" si="77"/>
        <v>#VALUE!</v>
      </c>
      <c r="C86" s="58" t="e">
        <f>(SUMPRODUCT((Capacity_Entsoe_SFS_2017!$A$3:$A$38='Abgleich Kapazität'!$A86)*(Capacity_Entsoe_SFS_2017!$D$1:$AL$1='Abgleich Kapazität'!C$81)*Capacity_Entsoe_SFS_2017!$D$3:$AK$38)+SUMPRODUCT((Capacity_Entsoe_SFS_2017!$A$3:$A$38='Abgleich Kapazität'!$A86)*(Capacity_Entsoe_SFS_2017!$D$1:$AL$1='Abgleich Kapazität'!C$80)*Capacity_Entsoe_SFS_2017!$D$3:$AK$38)+SUMPRODUCT((Capacity_Entsoe_SFS_2017!$A$3:$A$38='Abgleich Kapazität'!$A86)*(Capacity_Entsoe_SFS_2017!$D$1:$AL$1='Abgleich Kapazität'!C$79)*Capacity_Entsoe_SFS_2017!$D$3:$AK$38)+SUMPRODUCT((Capacity_Entsoe_SFS_2017!$A$3:$A$38='Abgleich Kapazität'!$A86)*(Capacity_Entsoe_SFS_2017!$D$1:$AL$1='Abgleich Kapazität'!C$78)*Capacity_Entsoe_SFS_2017!$D$3:$AK$38))/1000</f>
        <v>#VALUE!</v>
      </c>
      <c r="D86" s="58" t="e">
        <f t="shared" si="78"/>
        <v>#VALUE!</v>
      </c>
      <c r="E86" s="58" t="e">
        <f>(SUMPRODUCT((Capacity_Entsoe_SFS_2017!$A$3:$A$38='Abgleich Kapazität'!$A86)*(Capacity_Entsoe_SFS_2017!$D$1:$AL$1='Abgleich Kapazität'!E$81)*Capacity_Entsoe_SFS_2017!$D$3:$AK$38)+SUMPRODUCT((Capacity_Entsoe_SFS_2017!$A$3:$A$38='Abgleich Kapazität'!$A86)*(Capacity_Entsoe_SFS_2017!$D$1:$AL$1='Abgleich Kapazität'!E$80)*Capacity_Entsoe_SFS_2017!$D$3:$AK$38)+SUMPRODUCT((Capacity_Entsoe_SFS_2017!$A$3:$A$38='Abgleich Kapazität'!$A86)*(Capacity_Entsoe_SFS_2017!$D$1:$AL$1='Abgleich Kapazität'!E$79)*Capacity_Entsoe_SFS_2017!$D$3:$AK$38)+SUMPRODUCT((Capacity_Entsoe_SFS_2017!$A$3:$A$38='Abgleich Kapazität'!$A86)*(Capacity_Entsoe_SFS_2017!$D$1:$AL$1='Abgleich Kapazität'!E$78)*Capacity_Entsoe_SFS_2017!$D$3:$AK$38))/1000</f>
        <v>#VALUE!</v>
      </c>
      <c r="F86" s="58" t="e">
        <f>(SUMPRODUCT((Capacity_Entsoe_SFS_2017!$A$3:$A$38='Abgleich Kapazität'!$A86)*(Capacity_Entsoe_SFS_2017!$D$1:$AL$1='Abgleich Kapazität'!F$81)*Capacity_Entsoe_SFS_2017!$D$3:$AK$38)+SUMPRODUCT((Capacity_Entsoe_SFS_2017!$A$3:$A$38='Abgleich Kapazität'!$A86)*(Capacity_Entsoe_SFS_2017!$D$1:$AL$1='Abgleich Kapazität'!F$80)*Capacity_Entsoe_SFS_2017!$D$3:$AK$38)+SUMPRODUCT((Capacity_Entsoe_SFS_2017!$A$3:$A$38='Abgleich Kapazität'!$A86)*(Capacity_Entsoe_SFS_2017!$D$1:$AL$1='Abgleich Kapazität'!F$79)*Capacity_Entsoe_SFS_2017!$D$3:$AK$38)+SUMPRODUCT((Capacity_Entsoe_SFS_2017!$A$3:$A$38='Abgleich Kapazität'!$A86)*(Capacity_Entsoe_SFS_2017!$D$1:$AL$1='Abgleich Kapazität'!F$78)*Capacity_Entsoe_SFS_2017!$D$3:$AK$38))/1000</f>
        <v>#VALUE!</v>
      </c>
      <c r="G86" s="58" t="e">
        <f>(SUMPRODUCT((Capacity_Entsoe_SFS_2017!$A$3:$A$38='Abgleich Kapazität'!$A86)*(Capacity_Entsoe_SFS_2017!$D$1:$AL$1='Abgleich Kapazität'!G$81)*Capacity_Entsoe_SFS_2017!$D$3:$AK$38)+SUMPRODUCT((Capacity_Entsoe_SFS_2017!$A$3:$A$38='Abgleich Kapazität'!$A86)*(Capacity_Entsoe_SFS_2017!$D$1:$AL$1='Abgleich Kapazität'!G$80)*Capacity_Entsoe_SFS_2017!$D$3:$AK$38)+SUMPRODUCT((Capacity_Entsoe_SFS_2017!$A$3:$A$38='Abgleich Kapazität'!$A86)*(Capacity_Entsoe_SFS_2017!$D$1:$AL$1='Abgleich Kapazität'!G$79)*Capacity_Entsoe_SFS_2017!$D$3:$AK$38)+SUMPRODUCT((Capacity_Entsoe_SFS_2017!$A$3:$A$38='Abgleich Kapazität'!$A86)*(Capacity_Entsoe_SFS_2017!$D$1:$AL$1='Abgleich Kapazität'!G$78)*Capacity_Entsoe_SFS_2017!$D$3:$AK$38))/1000</f>
        <v>#VALUE!</v>
      </c>
      <c r="H86" s="58" t="e">
        <f>(SUMPRODUCT((Capacity_Entsoe_SFS_2017!$A$3:$A$38='Abgleich Kapazität'!$A86)*(Capacity_Entsoe_SFS_2017!$D$1:$AL$1='Abgleich Kapazität'!H$81)*Capacity_Entsoe_SFS_2017!$D$3:$AK$38)+SUMPRODUCT((Capacity_Entsoe_SFS_2017!$A$3:$A$38='Abgleich Kapazität'!$A86)*(Capacity_Entsoe_SFS_2017!$D$1:$AL$1='Abgleich Kapazität'!H$80)*Capacity_Entsoe_SFS_2017!$D$3:$AK$38)+SUMPRODUCT((Capacity_Entsoe_SFS_2017!$A$3:$A$38='Abgleich Kapazität'!$A86)*(Capacity_Entsoe_SFS_2017!$D$1:$AL$1='Abgleich Kapazität'!H$79)*Capacity_Entsoe_SFS_2017!$D$3:$AK$38)+SUMPRODUCT((Capacity_Entsoe_SFS_2017!$A$3:$A$38='Abgleich Kapazität'!$A86)*(Capacity_Entsoe_SFS_2017!$D$1:$AL$1='Abgleich Kapazität'!H$78)*Capacity_Entsoe_SFS_2017!$D$3:$AK$38))/1000</f>
        <v>#VALUE!</v>
      </c>
      <c r="I86" s="58" t="e">
        <f>(SUMPRODUCT((Capacity_Entsoe_SFS_2017!$A$3:$A$38='Abgleich Kapazität'!$A86)*(Capacity_Entsoe_SFS_2017!$D$1:$AL$1='Abgleich Kapazität'!I$81)*Capacity_Entsoe_SFS_2017!$D$3:$AK$38)+SUMPRODUCT((Capacity_Entsoe_SFS_2017!$A$3:$A$38='Abgleich Kapazität'!$A86)*(Capacity_Entsoe_SFS_2017!$D$1:$AL$1='Abgleich Kapazität'!I$80)*Capacity_Entsoe_SFS_2017!$D$3:$AK$38)+SUMPRODUCT((Capacity_Entsoe_SFS_2017!$A$3:$A$38='Abgleich Kapazität'!$A86)*(Capacity_Entsoe_SFS_2017!$D$1:$AL$1='Abgleich Kapazität'!I$79)*Capacity_Entsoe_SFS_2017!$D$3:$AK$38)+SUMPRODUCT((Capacity_Entsoe_SFS_2017!$A$3:$A$38='Abgleich Kapazität'!$A86)*(Capacity_Entsoe_SFS_2017!$D$1:$AL$1='Abgleich Kapazität'!I$78)*Capacity_Entsoe_SFS_2017!$D$3:$AK$38))/1000</f>
        <v>#VALUE!</v>
      </c>
      <c r="J86" s="58" t="e">
        <f>(SUMPRODUCT((Capacity_Entsoe_SFS_2017!$A$3:$A$38='Abgleich Kapazität'!$A86)*(Capacity_Entsoe_SFS_2017!$D$1:$AL$1='Abgleich Kapazität'!J$81)*Capacity_Entsoe_SFS_2017!$D$3:$AK$38)+SUMPRODUCT((Capacity_Entsoe_SFS_2017!$A$3:$A$38='Abgleich Kapazität'!$A86)*(Capacity_Entsoe_SFS_2017!$D$1:$AL$1='Abgleich Kapazität'!J$80)*Capacity_Entsoe_SFS_2017!$D$3:$AK$38)+SUMPRODUCT((Capacity_Entsoe_SFS_2017!$A$3:$A$38='Abgleich Kapazität'!$A86)*(Capacity_Entsoe_SFS_2017!$D$1:$AL$1='Abgleich Kapazität'!J$79)*Capacity_Entsoe_SFS_2017!$D$3:$AK$38)+SUMPRODUCT((Capacity_Entsoe_SFS_2017!$A$3:$A$38='Abgleich Kapazität'!$A86)*(Capacity_Entsoe_SFS_2017!$D$1:$AL$1='Abgleich Kapazität'!J$78)*Capacity_Entsoe_SFS_2017!$D$3:$AK$38))/1000</f>
        <v>#VALUE!</v>
      </c>
      <c r="K86" s="59" t="e">
        <f t="shared" si="79"/>
        <v>#VALUE!</v>
      </c>
      <c r="L86" s="58" t="e">
        <f>(SUMPRODUCT((Capacity_Entsoe_SFS_2017!$A$3:$A$38='Abgleich Kapazität'!$A86)*(Capacity_Entsoe_SFS_2017!$D$1:$AL$1='Abgleich Kapazität'!L$81)*Capacity_Entsoe_SFS_2017!$D$3:$AK$38)+SUMPRODUCT((Capacity_Entsoe_SFS_2017!$A$3:$A$38='Abgleich Kapazität'!$A86)*(Capacity_Entsoe_SFS_2017!$D$1:$AL$1='Abgleich Kapazität'!L$80)*Capacity_Entsoe_SFS_2017!$D$3:$AK$38)+SUMPRODUCT((Capacity_Entsoe_SFS_2017!$A$3:$A$38='Abgleich Kapazität'!$A86)*(Capacity_Entsoe_SFS_2017!$D$1:$AL$1='Abgleich Kapazität'!L$79)*Capacity_Entsoe_SFS_2017!$D$3:$AK$38)+SUMPRODUCT((Capacity_Entsoe_SFS_2017!$A$3:$A$38='Abgleich Kapazität'!$A86)*(Capacity_Entsoe_SFS_2017!$D$1:$AL$1='Abgleich Kapazität'!L$78)*Capacity_Entsoe_SFS_2017!$D$3:$AK$38)+SUMPRODUCT((Capacity_Entsoe_SFS_2017!$A$3:$A$38='Abgleich Kapazität'!$A86)*(Capacity_Entsoe_SFS_2017!$D$1:$AL$1='Abgleich Kapazität'!L$77)*Capacity_Entsoe_SFS_2017!$D$3:$AK$38)+SUMPRODUCT((Capacity_Entsoe_SFS_2017!$A$3:$A$38='Abgleich Kapazität'!$A86)*(Capacity_Entsoe_SFS_2017!$D$1:$AL$1='Abgleich Kapazität'!L$76)*Capacity_Entsoe_SFS_2017!$D$3:$AK$38))/1000</f>
        <v>#VALUE!</v>
      </c>
      <c r="M86" s="58" t="e">
        <f>(SUMPRODUCT((Capacity_Entsoe_SFS_2017!$A$3:$A$38='Abgleich Kapazität'!$A86)*(Capacity_Entsoe_SFS_2017!$D$1:$AL$1='Abgleich Kapazität'!M$81)*Capacity_Entsoe_SFS_2017!$D$3:$AK$38)+SUMPRODUCT((Capacity_Entsoe_SFS_2017!$A$3:$A$38='Abgleich Kapazität'!$A86)*(Capacity_Entsoe_SFS_2017!$D$1:$AL$1='Abgleich Kapazität'!M$80)*Capacity_Entsoe_SFS_2017!$D$3:$AK$38)+SUMPRODUCT((Capacity_Entsoe_SFS_2017!$A$3:$A$38='Abgleich Kapazität'!$A86)*(Capacity_Entsoe_SFS_2017!$D$1:$AL$1='Abgleich Kapazität'!M$79)*Capacity_Entsoe_SFS_2017!$D$3:$AK$38)+SUMPRODUCT((Capacity_Entsoe_SFS_2017!$A$3:$A$38='Abgleich Kapazität'!$A86)*(Capacity_Entsoe_SFS_2017!$D$1:$AL$1='Abgleich Kapazität'!M$78)*Capacity_Entsoe_SFS_2017!$D$3:$AK$38)+SUMPRODUCT((Capacity_Entsoe_SFS_2017!$A$3:$A$38='Abgleich Kapazität'!$A86)*(Capacity_Entsoe_SFS_2017!$D$1:$AL$1='Abgleich Kapazität'!M$77)*Capacity_Entsoe_SFS_2017!$D$3:$AK$38)+SUMPRODUCT((Capacity_Entsoe_SFS_2017!$A$3:$A$38='Abgleich Kapazität'!$A86)*(Capacity_Entsoe_SFS_2017!$D$1:$AL$1='Abgleich Kapazität'!M$76)*Capacity_Entsoe_SFS_2017!$D$3:$AK$38))/1000</f>
        <v>#VALUE!</v>
      </c>
      <c r="N86" s="58" t="e">
        <f>(SUMPRODUCT((Capacity_Entsoe_SFS_2017!$A$3:$A$38='Abgleich Kapazität'!$A86)*(Capacity_Entsoe_SFS_2017!$D$1:$AL$1='Abgleich Kapazität'!N$81)*Capacity_Entsoe_SFS_2017!$D$3:$AK$38)+SUMPRODUCT((Capacity_Entsoe_SFS_2017!$A$3:$A$38='Abgleich Kapazität'!$A86)*(Capacity_Entsoe_SFS_2017!$D$1:$AL$1='Abgleich Kapazität'!N$80)*Capacity_Entsoe_SFS_2017!$D$3:$AK$38)+SUMPRODUCT((Capacity_Entsoe_SFS_2017!$A$3:$A$38='Abgleich Kapazität'!$A86)*(Capacity_Entsoe_SFS_2017!$D$1:$AL$1='Abgleich Kapazität'!N$79)*Capacity_Entsoe_SFS_2017!$D$3:$AK$38)+SUMPRODUCT((Capacity_Entsoe_SFS_2017!$A$3:$A$38='Abgleich Kapazität'!$A86)*(Capacity_Entsoe_SFS_2017!$D$1:$AL$1='Abgleich Kapazität'!N$78)*Capacity_Entsoe_SFS_2017!$D$3:$AK$38)+SUMPRODUCT((Capacity_Entsoe_SFS_2017!$A$3:$A$38='Abgleich Kapazität'!$A86)*(Capacity_Entsoe_SFS_2017!$D$1:$AL$1='Abgleich Kapazität'!N$77)*Capacity_Entsoe_SFS_2017!$D$3:$AK$38)+SUMPRODUCT((Capacity_Entsoe_SFS_2017!$A$3:$A$38='Abgleich Kapazität'!$A86)*(Capacity_Entsoe_SFS_2017!$D$1:$AL$1='Abgleich Kapazität'!N$76)*Capacity_Entsoe_SFS_2017!$D$3:$AK$38))/1000</f>
        <v>#VALUE!</v>
      </c>
      <c r="O86" s="58" t="e">
        <f>(SUMPRODUCT((Capacity_Entsoe_SFS_2017!$A$3:$A$38='Abgleich Kapazität'!$A86)*(Capacity_Entsoe_SFS_2017!$D$1:$AL$1='Abgleich Kapazität'!O$81)*Capacity_Entsoe_SFS_2017!$D$3:$AK$38)+SUMPRODUCT((Capacity_Entsoe_SFS_2017!$A$3:$A$38='Abgleich Kapazität'!$A86)*(Capacity_Entsoe_SFS_2017!$D$1:$AL$1='Abgleich Kapazität'!O$80)*Capacity_Entsoe_SFS_2017!$D$3:$AK$38)+SUMPRODUCT((Capacity_Entsoe_SFS_2017!$A$3:$A$38='Abgleich Kapazität'!$A86)*(Capacity_Entsoe_SFS_2017!$D$1:$AL$1='Abgleich Kapazität'!O$79)*Capacity_Entsoe_SFS_2017!$D$3:$AK$38)+SUMPRODUCT((Capacity_Entsoe_SFS_2017!$A$3:$A$38='Abgleich Kapazität'!$A86)*(Capacity_Entsoe_SFS_2017!$D$1:$AL$1='Abgleich Kapazität'!O$78)*Capacity_Entsoe_SFS_2017!$D$3:$AK$38)+SUMPRODUCT((Capacity_Entsoe_SFS_2017!$A$3:$A$38='Abgleich Kapazität'!$A86)*(Capacity_Entsoe_SFS_2017!$D$1:$AL$1='Abgleich Kapazität'!O$77)*Capacity_Entsoe_SFS_2017!$D$3:$AK$38)+SUMPRODUCT((Capacity_Entsoe_SFS_2017!$A$3:$A$38='Abgleich Kapazität'!$A86)*(Capacity_Entsoe_SFS_2017!$D$1:$AL$1='Abgleich Kapazität'!O$76)*Capacity_Entsoe_SFS_2017!$D$3:$AK$38))/1000</f>
        <v>#VALUE!</v>
      </c>
      <c r="P86" s="58" t="e">
        <f>(SUMPRODUCT((Capacity_Entsoe_SFS_2017!$A$3:$A$38='Abgleich Kapazität'!$A86)*(Capacity_Entsoe_SFS_2017!$D$1:$AL$1='Abgleich Kapazität'!P$81)*Capacity_Entsoe_SFS_2017!$D$3:$AK$38)+SUMPRODUCT((Capacity_Entsoe_SFS_2017!$A$3:$A$38='Abgleich Kapazität'!$A86)*(Capacity_Entsoe_SFS_2017!$D$1:$AL$1='Abgleich Kapazität'!P$80)*Capacity_Entsoe_SFS_2017!$D$3:$AK$38)+SUMPRODUCT((Capacity_Entsoe_SFS_2017!$A$3:$A$38='Abgleich Kapazität'!$A86)*(Capacity_Entsoe_SFS_2017!$D$1:$AL$1='Abgleich Kapazität'!P$79)*Capacity_Entsoe_SFS_2017!$D$3:$AK$38)+SUMPRODUCT((Capacity_Entsoe_SFS_2017!$A$3:$A$38='Abgleich Kapazität'!$A86)*(Capacity_Entsoe_SFS_2017!$D$1:$AL$1='Abgleich Kapazität'!P$78)*Capacity_Entsoe_SFS_2017!$D$3:$AK$38)+SUMPRODUCT((Capacity_Entsoe_SFS_2017!$A$3:$A$38='Abgleich Kapazität'!$A86)*(Capacity_Entsoe_SFS_2017!$D$1:$AL$1='Abgleich Kapazität'!P$77)*Capacity_Entsoe_SFS_2017!$D$3:$AK$38)+SUMPRODUCT((Capacity_Entsoe_SFS_2017!$A$3:$A$38='Abgleich Kapazität'!$A86)*(Capacity_Entsoe_SFS_2017!$D$1:$AL$1='Abgleich Kapazität'!P$76)*Capacity_Entsoe_SFS_2017!$D$3:$AK$38))/1000</f>
        <v>#VALUE!</v>
      </c>
      <c r="Q86" s="58" t="e">
        <f>(SUMPRODUCT((Capacity_Entsoe_SFS_2017!$A$3:$A$38='Abgleich Kapazität'!$A86)*(Capacity_Entsoe_SFS_2017!$D$1:$AL$1='Abgleich Kapazität'!Q$81)*Capacity_Entsoe_SFS_2017!$D$3:$AK$38)+SUMPRODUCT((Capacity_Entsoe_SFS_2017!$A$3:$A$38='Abgleich Kapazität'!$A86)*(Capacity_Entsoe_SFS_2017!$D$1:$AL$1='Abgleich Kapazität'!Q$80)*Capacity_Entsoe_SFS_2017!$D$3:$AK$38)+SUMPRODUCT((Capacity_Entsoe_SFS_2017!$A$3:$A$38='Abgleich Kapazität'!$A86)*(Capacity_Entsoe_SFS_2017!$D$1:$AL$1='Abgleich Kapazität'!Q$79)*Capacity_Entsoe_SFS_2017!$D$3:$AK$38)+SUMPRODUCT((Capacity_Entsoe_SFS_2017!$A$3:$A$38='Abgleich Kapazität'!$A86)*(Capacity_Entsoe_SFS_2017!$D$1:$AL$1='Abgleich Kapazität'!Q$78)*Capacity_Entsoe_SFS_2017!$D$3:$AK$38)+SUMPRODUCT((Capacity_Entsoe_SFS_2017!$A$3:$A$38='Abgleich Kapazität'!$A86)*(Capacity_Entsoe_SFS_2017!$D$1:$AL$1='Abgleich Kapazität'!Q$77)*Capacity_Entsoe_SFS_2017!$D$3:$AK$38)+SUMPRODUCT((Capacity_Entsoe_SFS_2017!$A$3:$A$38='Abgleich Kapazität'!$A86)*(Capacity_Entsoe_SFS_2017!$D$1:$AL$1='Abgleich Kapazität'!Q$76)*Capacity_Entsoe_SFS_2017!$D$3:$AK$38))/1000</f>
        <v>#VALUE!</v>
      </c>
      <c r="R86" s="58" t="e">
        <f>(SUMPRODUCT((Capacity_Entsoe_SFS_2017!$A$3:$A$38='Abgleich Kapazität'!$A86)*(Capacity_Entsoe_SFS_2017!$D$1:$AL$1='Abgleich Kapazität'!R$81)*Capacity_Entsoe_SFS_2017!$D$3:$AK$38)+SUMPRODUCT((Capacity_Entsoe_SFS_2017!$A$3:$A$38='Abgleich Kapazität'!$A86)*(Capacity_Entsoe_SFS_2017!$D$1:$AL$1='Abgleich Kapazität'!R$80)*Capacity_Entsoe_SFS_2017!$D$3:$AK$38)+SUMPRODUCT((Capacity_Entsoe_SFS_2017!$A$3:$A$38='Abgleich Kapazität'!$A86)*(Capacity_Entsoe_SFS_2017!$D$1:$AL$1='Abgleich Kapazität'!R$79)*Capacity_Entsoe_SFS_2017!$D$3:$AK$38)+SUMPRODUCT((Capacity_Entsoe_SFS_2017!$A$3:$A$38='Abgleich Kapazität'!$A86)*(Capacity_Entsoe_SFS_2017!$D$1:$AL$1='Abgleich Kapazität'!R$78)*Capacity_Entsoe_SFS_2017!$D$3:$AK$38)+SUMPRODUCT((Capacity_Entsoe_SFS_2017!$A$3:$A$38='Abgleich Kapazität'!$A86)*(Capacity_Entsoe_SFS_2017!$D$1:$AL$1='Abgleich Kapazität'!R$77)*Capacity_Entsoe_SFS_2017!$D$3:$AK$38)+SUMPRODUCT((Capacity_Entsoe_SFS_2017!$A$3:$A$38='Abgleich Kapazität'!$A86)*(Capacity_Entsoe_SFS_2017!$D$1:$AL$1='Abgleich Kapazität'!R$76)*Capacity_Entsoe_SFS_2017!$D$3:$AK$38))/1000</f>
        <v>#VALUE!</v>
      </c>
      <c r="S86" s="58" t="e">
        <f>(SUMPRODUCT((Capacity_Entsoe_SFS_2017!$A$3:$A$38='Abgleich Kapazität'!$A86)*(Capacity_Entsoe_SFS_2017!$D$1:$AL$1='Abgleich Kapazität'!S$81)*Capacity_Entsoe_SFS_2017!$D$3:$AK$38)+SUMPRODUCT((Capacity_Entsoe_SFS_2017!$A$3:$A$38='Abgleich Kapazität'!$A86)*(Capacity_Entsoe_SFS_2017!$D$1:$AL$1='Abgleich Kapazität'!S$80)*Capacity_Entsoe_SFS_2017!$D$3:$AK$38)+SUMPRODUCT((Capacity_Entsoe_SFS_2017!$A$3:$A$38='Abgleich Kapazität'!$A86)*(Capacity_Entsoe_SFS_2017!$D$1:$AL$1='Abgleich Kapazität'!S$79)*Capacity_Entsoe_SFS_2017!$D$3:$AK$38)+SUMPRODUCT((Capacity_Entsoe_SFS_2017!$A$3:$A$38='Abgleich Kapazität'!$A86)*(Capacity_Entsoe_SFS_2017!$D$1:$AL$1='Abgleich Kapazität'!S$78)*Capacity_Entsoe_SFS_2017!$D$3:$AK$38)+SUMPRODUCT((Capacity_Entsoe_SFS_2017!$A$3:$A$38='Abgleich Kapazität'!$A86)*(Capacity_Entsoe_SFS_2017!$D$1:$AL$1='Abgleich Kapazität'!S$77)*Capacity_Entsoe_SFS_2017!$D$3:$AK$38)+SUMPRODUCT((Capacity_Entsoe_SFS_2017!$A$3:$A$38='Abgleich Kapazität'!$A86)*(Capacity_Entsoe_SFS_2017!$D$1:$AL$1='Abgleich Kapazität'!S$76)*Capacity_Entsoe_SFS_2017!$D$3:$AK$38))/1000</f>
        <v>#VALUE!</v>
      </c>
      <c r="T86" s="58" t="e">
        <f>(SUMPRODUCT((Capacity_Entsoe_SFS_2017!$A$3:$A$38='Abgleich Kapazität'!$A86)*(Capacity_Entsoe_SFS_2017!$D$1:$AL$1='Abgleich Kapazität'!T$81)*Capacity_Entsoe_SFS_2017!$D$3:$AK$38)+SUMPRODUCT((Capacity_Entsoe_SFS_2017!$A$3:$A$38='Abgleich Kapazität'!$A86)*(Capacity_Entsoe_SFS_2017!$D$1:$AL$1='Abgleich Kapazität'!T$80)*Capacity_Entsoe_SFS_2017!$D$3:$AK$38)+SUMPRODUCT((Capacity_Entsoe_SFS_2017!$A$3:$A$38='Abgleich Kapazität'!$A86)*(Capacity_Entsoe_SFS_2017!$D$1:$AL$1='Abgleich Kapazität'!T$79)*Capacity_Entsoe_SFS_2017!$D$3:$AK$38)+SUMPRODUCT((Capacity_Entsoe_SFS_2017!$A$3:$A$38='Abgleich Kapazität'!$A86)*(Capacity_Entsoe_SFS_2017!$D$1:$AL$1='Abgleich Kapazität'!T$78)*Capacity_Entsoe_SFS_2017!$D$3:$AK$38)+SUMPRODUCT((Capacity_Entsoe_SFS_2017!$A$3:$A$38='Abgleich Kapazität'!$A86)*(Capacity_Entsoe_SFS_2017!$D$1:$AL$1='Abgleich Kapazität'!T$77)*Capacity_Entsoe_SFS_2017!$D$3:$AK$38)+SUMPRODUCT((Capacity_Entsoe_SFS_2017!$A$3:$A$38='Abgleich Kapazität'!$A86)*(Capacity_Entsoe_SFS_2017!$D$1:$AL$1='Abgleich Kapazität'!T$76)*Capacity_Entsoe_SFS_2017!$D$3:$AK$38))/1000</f>
        <v>#VALUE!</v>
      </c>
      <c r="U86" s="58" t="e">
        <f>(SUMPRODUCT((Capacity_Entsoe_SFS_2017!$A$3:$A$38='Abgleich Kapazität'!$A86)*(Capacity_Entsoe_SFS_2017!$D$1:$AL$1='Abgleich Kapazität'!U$81)*Capacity_Entsoe_SFS_2017!$D$3:$AK$38)+SUMPRODUCT((Capacity_Entsoe_SFS_2017!$A$3:$A$38='Abgleich Kapazität'!$A86)*(Capacity_Entsoe_SFS_2017!$D$1:$AL$1='Abgleich Kapazität'!U$80)*Capacity_Entsoe_SFS_2017!$D$3:$AK$38)+SUMPRODUCT((Capacity_Entsoe_SFS_2017!$A$3:$A$38='Abgleich Kapazität'!$A86)*(Capacity_Entsoe_SFS_2017!$D$1:$AL$1='Abgleich Kapazität'!U$79)*Capacity_Entsoe_SFS_2017!$D$3:$AK$38)+SUMPRODUCT((Capacity_Entsoe_SFS_2017!$A$3:$A$38='Abgleich Kapazität'!$A86)*(Capacity_Entsoe_SFS_2017!$D$1:$AL$1='Abgleich Kapazität'!U$78)*Capacity_Entsoe_SFS_2017!$D$3:$AK$38)+SUMPRODUCT((Capacity_Entsoe_SFS_2017!$A$3:$A$38='Abgleich Kapazität'!$A86)*(Capacity_Entsoe_SFS_2017!$D$1:$AL$1='Abgleich Kapazität'!U$77)*Capacity_Entsoe_SFS_2017!$D$3:$AK$38)+SUMPRODUCT((Capacity_Entsoe_SFS_2017!$A$3:$A$38='Abgleich Kapazität'!$A86)*(Capacity_Entsoe_SFS_2017!$D$1:$AL$1='Abgleich Kapazität'!U$76)*Capacity_Entsoe_SFS_2017!$D$3:$AK$38))/1000</f>
        <v>#VALUE!</v>
      </c>
      <c r="V86" s="59" t="e">
        <f t="shared" si="80"/>
        <v>#VALUE!</v>
      </c>
    </row>
    <row r="87" spans="1:22" x14ac:dyDescent="0.25">
      <c r="A87" s="14" t="s">
        <v>13</v>
      </c>
      <c r="B87" s="25" t="e">
        <f t="shared" si="77"/>
        <v>#VALUE!</v>
      </c>
      <c r="C87" s="26" t="e">
        <f>(SUMPRODUCT((Capacity_Entsoe_SFS_2017!$A$3:$A$38='Abgleich Kapazität'!$A87)*(Capacity_Entsoe_SFS_2017!$D$1:$AL$1='Abgleich Kapazität'!C$81)*Capacity_Entsoe_SFS_2017!$D$3:$AK$38)+SUMPRODUCT((Capacity_Entsoe_SFS_2017!$A$3:$A$38='Abgleich Kapazität'!$A87)*(Capacity_Entsoe_SFS_2017!$D$1:$AL$1='Abgleich Kapazität'!C$80)*Capacity_Entsoe_SFS_2017!$D$3:$AK$38)+SUMPRODUCT((Capacity_Entsoe_SFS_2017!$A$3:$A$38='Abgleich Kapazität'!$A87)*(Capacity_Entsoe_SFS_2017!$D$1:$AL$1='Abgleich Kapazität'!C$79)*Capacity_Entsoe_SFS_2017!$D$3:$AK$38)+SUMPRODUCT((Capacity_Entsoe_SFS_2017!$A$3:$A$38='Abgleich Kapazität'!$A87)*(Capacity_Entsoe_SFS_2017!$D$1:$AL$1='Abgleich Kapazität'!C$78)*Capacity_Entsoe_SFS_2017!$D$3:$AK$38))/1000</f>
        <v>#VALUE!</v>
      </c>
      <c r="D87" s="26" t="e">
        <f t="shared" si="78"/>
        <v>#VALUE!</v>
      </c>
      <c r="E87" s="26" t="e">
        <f>(SUMPRODUCT((Capacity_Entsoe_SFS_2017!$A$3:$A$38='Abgleich Kapazität'!$A87)*(Capacity_Entsoe_SFS_2017!$D$1:$AL$1='Abgleich Kapazität'!E$81)*Capacity_Entsoe_SFS_2017!$D$3:$AK$38)+SUMPRODUCT((Capacity_Entsoe_SFS_2017!$A$3:$A$38='Abgleich Kapazität'!$A87)*(Capacity_Entsoe_SFS_2017!$D$1:$AL$1='Abgleich Kapazität'!E$80)*Capacity_Entsoe_SFS_2017!$D$3:$AK$38)+SUMPRODUCT((Capacity_Entsoe_SFS_2017!$A$3:$A$38='Abgleich Kapazität'!$A87)*(Capacity_Entsoe_SFS_2017!$D$1:$AL$1='Abgleich Kapazität'!E$79)*Capacity_Entsoe_SFS_2017!$D$3:$AK$38)+SUMPRODUCT((Capacity_Entsoe_SFS_2017!$A$3:$A$38='Abgleich Kapazität'!$A87)*(Capacity_Entsoe_SFS_2017!$D$1:$AL$1='Abgleich Kapazität'!E$78)*Capacity_Entsoe_SFS_2017!$D$3:$AK$38))/1000</f>
        <v>#VALUE!</v>
      </c>
      <c r="F87" s="26" t="e">
        <f>(SUMPRODUCT((Capacity_Entsoe_SFS_2017!$A$3:$A$38='Abgleich Kapazität'!$A87)*(Capacity_Entsoe_SFS_2017!$D$1:$AL$1='Abgleich Kapazität'!F$81)*Capacity_Entsoe_SFS_2017!$D$3:$AK$38)+SUMPRODUCT((Capacity_Entsoe_SFS_2017!$A$3:$A$38='Abgleich Kapazität'!$A87)*(Capacity_Entsoe_SFS_2017!$D$1:$AL$1='Abgleich Kapazität'!F$80)*Capacity_Entsoe_SFS_2017!$D$3:$AK$38)+SUMPRODUCT((Capacity_Entsoe_SFS_2017!$A$3:$A$38='Abgleich Kapazität'!$A87)*(Capacity_Entsoe_SFS_2017!$D$1:$AL$1='Abgleich Kapazität'!F$79)*Capacity_Entsoe_SFS_2017!$D$3:$AK$38)+SUMPRODUCT((Capacity_Entsoe_SFS_2017!$A$3:$A$38='Abgleich Kapazität'!$A87)*(Capacity_Entsoe_SFS_2017!$D$1:$AL$1='Abgleich Kapazität'!F$78)*Capacity_Entsoe_SFS_2017!$D$3:$AK$38))/1000</f>
        <v>#VALUE!</v>
      </c>
      <c r="G87" s="26" t="e">
        <f>(SUMPRODUCT((Capacity_Entsoe_SFS_2017!$A$3:$A$38='Abgleich Kapazität'!$A87)*(Capacity_Entsoe_SFS_2017!$D$1:$AL$1='Abgleich Kapazität'!G$81)*Capacity_Entsoe_SFS_2017!$D$3:$AK$38)+SUMPRODUCT((Capacity_Entsoe_SFS_2017!$A$3:$A$38='Abgleich Kapazität'!$A87)*(Capacity_Entsoe_SFS_2017!$D$1:$AL$1='Abgleich Kapazität'!G$80)*Capacity_Entsoe_SFS_2017!$D$3:$AK$38)+SUMPRODUCT((Capacity_Entsoe_SFS_2017!$A$3:$A$38='Abgleich Kapazität'!$A87)*(Capacity_Entsoe_SFS_2017!$D$1:$AL$1='Abgleich Kapazität'!G$79)*Capacity_Entsoe_SFS_2017!$D$3:$AK$38)+SUMPRODUCT((Capacity_Entsoe_SFS_2017!$A$3:$A$38='Abgleich Kapazität'!$A87)*(Capacity_Entsoe_SFS_2017!$D$1:$AL$1='Abgleich Kapazität'!G$78)*Capacity_Entsoe_SFS_2017!$D$3:$AK$38))/1000</f>
        <v>#VALUE!</v>
      </c>
      <c r="H87" s="26" t="e">
        <f>(SUMPRODUCT((Capacity_Entsoe_SFS_2017!$A$3:$A$38='Abgleich Kapazität'!$A87)*(Capacity_Entsoe_SFS_2017!$D$1:$AL$1='Abgleich Kapazität'!H$81)*Capacity_Entsoe_SFS_2017!$D$3:$AK$38)+SUMPRODUCT((Capacity_Entsoe_SFS_2017!$A$3:$A$38='Abgleich Kapazität'!$A87)*(Capacity_Entsoe_SFS_2017!$D$1:$AL$1='Abgleich Kapazität'!H$80)*Capacity_Entsoe_SFS_2017!$D$3:$AK$38)+SUMPRODUCT((Capacity_Entsoe_SFS_2017!$A$3:$A$38='Abgleich Kapazität'!$A87)*(Capacity_Entsoe_SFS_2017!$D$1:$AL$1='Abgleich Kapazität'!H$79)*Capacity_Entsoe_SFS_2017!$D$3:$AK$38)+SUMPRODUCT((Capacity_Entsoe_SFS_2017!$A$3:$A$38='Abgleich Kapazität'!$A87)*(Capacity_Entsoe_SFS_2017!$D$1:$AL$1='Abgleich Kapazität'!H$78)*Capacity_Entsoe_SFS_2017!$D$3:$AK$38))/1000</f>
        <v>#VALUE!</v>
      </c>
      <c r="I87" s="26" t="e">
        <f>(SUMPRODUCT((Capacity_Entsoe_SFS_2017!$A$3:$A$38='Abgleich Kapazität'!$A87)*(Capacity_Entsoe_SFS_2017!$D$1:$AL$1='Abgleich Kapazität'!I$81)*Capacity_Entsoe_SFS_2017!$D$3:$AK$38)+SUMPRODUCT((Capacity_Entsoe_SFS_2017!$A$3:$A$38='Abgleich Kapazität'!$A87)*(Capacity_Entsoe_SFS_2017!$D$1:$AL$1='Abgleich Kapazität'!I$80)*Capacity_Entsoe_SFS_2017!$D$3:$AK$38)+SUMPRODUCT((Capacity_Entsoe_SFS_2017!$A$3:$A$38='Abgleich Kapazität'!$A87)*(Capacity_Entsoe_SFS_2017!$D$1:$AL$1='Abgleich Kapazität'!I$79)*Capacity_Entsoe_SFS_2017!$D$3:$AK$38)+SUMPRODUCT((Capacity_Entsoe_SFS_2017!$A$3:$A$38='Abgleich Kapazität'!$A87)*(Capacity_Entsoe_SFS_2017!$D$1:$AL$1='Abgleich Kapazität'!I$78)*Capacity_Entsoe_SFS_2017!$D$3:$AK$38))/1000</f>
        <v>#VALUE!</v>
      </c>
      <c r="J87" s="26" t="e">
        <f>(SUMPRODUCT((Capacity_Entsoe_SFS_2017!$A$3:$A$38='Abgleich Kapazität'!$A87)*(Capacity_Entsoe_SFS_2017!$D$1:$AL$1='Abgleich Kapazität'!J$81)*Capacity_Entsoe_SFS_2017!$D$3:$AK$38)+SUMPRODUCT((Capacity_Entsoe_SFS_2017!$A$3:$A$38='Abgleich Kapazität'!$A87)*(Capacity_Entsoe_SFS_2017!$D$1:$AL$1='Abgleich Kapazität'!J$80)*Capacity_Entsoe_SFS_2017!$D$3:$AK$38)+SUMPRODUCT((Capacity_Entsoe_SFS_2017!$A$3:$A$38='Abgleich Kapazität'!$A87)*(Capacity_Entsoe_SFS_2017!$D$1:$AL$1='Abgleich Kapazität'!J$79)*Capacity_Entsoe_SFS_2017!$D$3:$AK$38)+SUMPRODUCT((Capacity_Entsoe_SFS_2017!$A$3:$A$38='Abgleich Kapazität'!$A87)*(Capacity_Entsoe_SFS_2017!$D$1:$AL$1='Abgleich Kapazität'!J$78)*Capacity_Entsoe_SFS_2017!$D$3:$AK$38))/1000</f>
        <v>#VALUE!</v>
      </c>
      <c r="K87" s="27" t="e">
        <f t="shared" si="79"/>
        <v>#VALUE!</v>
      </c>
      <c r="L87" s="26" t="e">
        <f>(SUMPRODUCT((Capacity_Entsoe_SFS_2017!$A$3:$A$38='Abgleich Kapazität'!$A87)*(Capacity_Entsoe_SFS_2017!$D$1:$AL$1='Abgleich Kapazität'!L$81)*Capacity_Entsoe_SFS_2017!$D$3:$AK$38)+SUMPRODUCT((Capacity_Entsoe_SFS_2017!$A$3:$A$38='Abgleich Kapazität'!$A87)*(Capacity_Entsoe_SFS_2017!$D$1:$AL$1='Abgleich Kapazität'!L$80)*Capacity_Entsoe_SFS_2017!$D$3:$AK$38)+SUMPRODUCT((Capacity_Entsoe_SFS_2017!$A$3:$A$38='Abgleich Kapazität'!$A87)*(Capacity_Entsoe_SFS_2017!$D$1:$AL$1='Abgleich Kapazität'!L$79)*Capacity_Entsoe_SFS_2017!$D$3:$AK$38)+SUMPRODUCT((Capacity_Entsoe_SFS_2017!$A$3:$A$38='Abgleich Kapazität'!$A87)*(Capacity_Entsoe_SFS_2017!$D$1:$AL$1='Abgleich Kapazität'!L$78)*Capacity_Entsoe_SFS_2017!$D$3:$AK$38)+SUMPRODUCT((Capacity_Entsoe_SFS_2017!$A$3:$A$38='Abgleich Kapazität'!$A87)*(Capacity_Entsoe_SFS_2017!$D$1:$AL$1='Abgleich Kapazität'!L$77)*Capacity_Entsoe_SFS_2017!$D$3:$AK$38)+SUMPRODUCT((Capacity_Entsoe_SFS_2017!$A$3:$A$38='Abgleich Kapazität'!$A87)*(Capacity_Entsoe_SFS_2017!$D$1:$AL$1='Abgleich Kapazität'!L$76)*Capacity_Entsoe_SFS_2017!$D$3:$AK$38))/1000</f>
        <v>#VALUE!</v>
      </c>
      <c r="M87" s="26" t="e">
        <f>(SUMPRODUCT((Capacity_Entsoe_SFS_2017!$A$3:$A$38='Abgleich Kapazität'!$A87)*(Capacity_Entsoe_SFS_2017!$D$1:$AL$1='Abgleich Kapazität'!M$81)*Capacity_Entsoe_SFS_2017!$D$3:$AK$38)+SUMPRODUCT((Capacity_Entsoe_SFS_2017!$A$3:$A$38='Abgleich Kapazität'!$A87)*(Capacity_Entsoe_SFS_2017!$D$1:$AL$1='Abgleich Kapazität'!M$80)*Capacity_Entsoe_SFS_2017!$D$3:$AK$38)+SUMPRODUCT((Capacity_Entsoe_SFS_2017!$A$3:$A$38='Abgleich Kapazität'!$A87)*(Capacity_Entsoe_SFS_2017!$D$1:$AL$1='Abgleich Kapazität'!M$79)*Capacity_Entsoe_SFS_2017!$D$3:$AK$38)+SUMPRODUCT((Capacity_Entsoe_SFS_2017!$A$3:$A$38='Abgleich Kapazität'!$A87)*(Capacity_Entsoe_SFS_2017!$D$1:$AL$1='Abgleich Kapazität'!M$78)*Capacity_Entsoe_SFS_2017!$D$3:$AK$38)+SUMPRODUCT((Capacity_Entsoe_SFS_2017!$A$3:$A$38='Abgleich Kapazität'!$A87)*(Capacity_Entsoe_SFS_2017!$D$1:$AL$1='Abgleich Kapazität'!M$77)*Capacity_Entsoe_SFS_2017!$D$3:$AK$38)+SUMPRODUCT((Capacity_Entsoe_SFS_2017!$A$3:$A$38='Abgleich Kapazität'!$A87)*(Capacity_Entsoe_SFS_2017!$D$1:$AL$1='Abgleich Kapazität'!M$76)*Capacity_Entsoe_SFS_2017!$D$3:$AK$38))/1000</f>
        <v>#VALUE!</v>
      </c>
      <c r="N87" s="26" t="e">
        <f>(SUMPRODUCT((Capacity_Entsoe_SFS_2017!$A$3:$A$38='Abgleich Kapazität'!$A87)*(Capacity_Entsoe_SFS_2017!$D$1:$AL$1='Abgleich Kapazität'!N$81)*Capacity_Entsoe_SFS_2017!$D$3:$AK$38)+SUMPRODUCT((Capacity_Entsoe_SFS_2017!$A$3:$A$38='Abgleich Kapazität'!$A87)*(Capacity_Entsoe_SFS_2017!$D$1:$AL$1='Abgleich Kapazität'!N$80)*Capacity_Entsoe_SFS_2017!$D$3:$AK$38)+SUMPRODUCT((Capacity_Entsoe_SFS_2017!$A$3:$A$38='Abgleich Kapazität'!$A87)*(Capacity_Entsoe_SFS_2017!$D$1:$AL$1='Abgleich Kapazität'!N$79)*Capacity_Entsoe_SFS_2017!$D$3:$AK$38)+SUMPRODUCT((Capacity_Entsoe_SFS_2017!$A$3:$A$38='Abgleich Kapazität'!$A87)*(Capacity_Entsoe_SFS_2017!$D$1:$AL$1='Abgleich Kapazität'!N$78)*Capacity_Entsoe_SFS_2017!$D$3:$AK$38)+SUMPRODUCT((Capacity_Entsoe_SFS_2017!$A$3:$A$38='Abgleich Kapazität'!$A87)*(Capacity_Entsoe_SFS_2017!$D$1:$AL$1='Abgleich Kapazität'!N$77)*Capacity_Entsoe_SFS_2017!$D$3:$AK$38)+SUMPRODUCT((Capacity_Entsoe_SFS_2017!$A$3:$A$38='Abgleich Kapazität'!$A87)*(Capacity_Entsoe_SFS_2017!$D$1:$AL$1='Abgleich Kapazität'!N$76)*Capacity_Entsoe_SFS_2017!$D$3:$AK$38))/1000</f>
        <v>#VALUE!</v>
      </c>
      <c r="O87" s="26" t="e">
        <f>(SUMPRODUCT((Capacity_Entsoe_SFS_2017!$A$3:$A$38='Abgleich Kapazität'!$A87)*(Capacity_Entsoe_SFS_2017!$D$1:$AL$1='Abgleich Kapazität'!O$81)*Capacity_Entsoe_SFS_2017!$D$3:$AK$38)+SUMPRODUCT((Capacity_Entsoe_SFS_2017!$A$3:$A$38='Abgleich Kapazität'!$A87)*(Capacity_Entsoe_SFS_2017!$D$1:$AL$1='Abgleich Kapazität'!O$80)*Capacity_Entsoe_SFS_2017!$D$3:$AK$38)+SUMPRODUCT((Capacity_Entsoe_SFS_2017!$A$3:$A$38='Abgleich Kapazität'!$A87)*(Capacity_Entsoe_SFS_2017!$D$1:$AL$1='Abgleich Kapazität'!O$79)*Capacity_Entsoe_SFS_2017!$D$3:$AK$38)+SUMPRODUCT((Capacity_Entsoe_SFS_2017!$A$3:$A$38='Abgleich Kapazität'!$A87)*(Capacity_Entsoe_SFS_2017!$D$1:$AL$1='Abgleich Kapazität'!O$78)*Capacity_Entsoe_SFS_2017!$D$3:$AK$38)+SUMPRODUCT((Capacity_Entsoe_SFS_2017!$A$3:$A$38='Abgleich Kapazität'!$A87)*(Capacity_Entsoe_SFS_2017!$D$1:$AL$1='Abgleich Kapazität'!O$77)*Capacity_Entsoe_SFS_2017!$D$3:$AK$38)+SUMPRODUCT((Capacity_Entsoe_SFS_2017!$A$3:$A$38='Abgleich Kapazität'!$A87)*(Capacity_Entsoe_SFS_2017!$D$1:$AL$1='Abgleich Kapazität'!O$76)*Capacity_Entsoe_SFS_2017!$D$3:$AK$38))/1000</f>
        <v>#VALUE!</v>
      </c>
      <c r="P87" s="26" t="e">
        <f>(SUMPRODUCT((Capacity_Entsoe_SFS_2017!$A$3:$A$38='Abgleich Kapazität'!$A87)*(Capacity_Entsoe_SFS_2017!$D$1:$AL$1='Abgleich Kapazität'!P$81)*Capacity_Entsoe_SFS_2017!$D$3:$AK$38)+SUMPRODUCT((Capacity_Entsoe_SFS_2017!$A$3:$A$38='Abgleich Kapazität'!$A87)*(Capacity_Entsoe_SFS_2017!$D$1:$AL$1='Abgleich Kapazität'!P$80)*Capacity_Entsoe_SFS_2017!$D$3:$AK$38)+SUMPRODUCT((Capacity_Entsoe_SFS_2017!$A$3:$A$38='Abgleich Kapazität'!$A87)*(Capacity_Entsoe_SFS_2017!$D$1:$AL$1='Abgleich Kapazität'!P$79)*Capacity_Entsoe_SFS_2017!$D$3:$AK$38)+SUMPRODUCT((Capacity_Entsoe_SFS_2017!$A$3:$A$38='Abgleich Kapazität'!$A87)*(Capacity_Entsoe_SFS_2017!$D$1:$AL$1='Abgleich Kapazität'!P$78)*Capacity_Entsoe_SFS_2017!$D$3:$AK$38)+SUMPRODUCT((Capacity_Entsoe_SFS_2017!$A$3:$A$38='Abgleich Kapazität'!$A87)*(Capacity_Entsoe_SFS_2017!$D$1:$AL$1='Abgleich Kapazität'!P$77)*Capacity_Entsoe_SFS_2017!$D$3:$AK$38)+SUMPRODUCT((Capacity_Entsoe_SFS_2017!$A$3:$A$38='Abgleich Kapazität'!$A87)*(Capacity_Entsoe_SFS_2017!$D$1:$AL$1='Abgleich Kapazität'!P$76)*Capacity_Entsoe_SFS_2017!$D$3:$AK$38))/1000</f>
        <v>#VALUE!</v>
      </c>
      <c r="Q87" s="26" t="e">
        <f>(SUMPRODUCT((Capacity_Entsoe_SFS_2017!$A$3:$A$38='Abgleich Kapazität'!$A87)*(Capacity_Entsoe_SFS_2017!$D$1:$AL$1='Abgleich Kapazität'!Q$81)*Capacity_Entsoe_SFS_2017!$D$3:$AK$38)+SUMPRODUCT((Capacity_Entsoe_SFS_2017!$A$3:$A$38='Abgleich Kapazität'!$A87)*(Capacity_Entsoe_SFS_2017!$D$1:$AL$1='Abgleich Kapazität'!Q$80)*Capacity_Entsoe_SFS_2017!$D$3:$AK$38)+SUMPRODUCT((Capacity_Entsoe_SFS_2017!$A$3:$A$38='Abgleich Kapazität'!$A87)*(Capacity_Entsoe_SFS_2017!$D$1:$AL$1='Abgleich Kapazität'!Q$79)*Capacity_Entsoe_SFS_2017!$D$3:$AK$38)+SUMPRODUCT((Capacity_Entsoe_SFS_2017!$A$3:$A$38='Abgleich Kapazität'!$A87)*(Capacity_Entsoe_SFS_2017!$D$1:$AL$1='Abgleich Kapazität'!Q$78)*Capacity_Entsoe_SFS_2017!$D$3:$AK$38)+SUMPRODUCT((Capacity_Entsoe_SFS_2017!$A$3:$A$38='Abgleich Kapazität'!$A87)*(Capacity_Entsoe_SFS_2017!$D$1:$AL$1='Abgleich Kapazität'!Q$77)*Capacity_Entsoe_SFS_2017!$D$3:$AK$38)+SUMPRODUCT((Capacity_Entsoe_SFS_2017!$A$3:$A$38='Abgleich Kapazität'!$A87)*(Capacity_Entsoe_SFS_2017!$D$1:$AL$1='Abgleich Kapazität'!Q$76)*Capacity_Entsoe_SFS_2017!$D$3:$AK$38))/1000</f>
        <v>#VALUE!</v>
      </c>
      <c r="R87" s="26" t="e">
        <f>(SUMPRODUCT((Capacity_Entsoe_SFS_2017!$A$3:$A$38='Abgleich Kapazität'!$A87)*(Capacity_Entsoe_SFS_2017!$D$1:$AL$1='Abgleich Kapazität'!R$81)*Capacity_Entsoe_SFS_2017!$D$3:$AK$38)+SUMPRODUCT((Capacity_Entsoe_SFS_2017!$A$3:$A$38='Abgleich Kapazität'!$A87)*(Capacity_Entsoe_SFS_2017!$D$1:$AL$1='Abgleich Kapazität'!R$80)*Capacity_Entsoe_SFS_2017!$D$3:$AK$38)+SUMPRODUCT((Capacity_Entsoe_SFS_2017!$A$3:$A$38='Abgleich Kapazität'!$A87)*(Capacity_Entsoe_SFS_2017!$D$1:$AL$1='Abgleich Kapazität'!R$79)*Capacity_Entsoe_SFS_2017!$D$3:$AK$38)+SUMPRODUCT((Capacity_Entsoe_SFS_2017!$A$3:$A$38='Abgleich Kapazität'!$A87)*(Capacity_Entsoe_SFS_2017!$D$1:$AL$1='Abgleich Kapazität'!R$78)*Capacity_Entsoe_SFS_2017!$D$3:$AK$38)+SUMPRODUCT((Capacity_Entsoe_SFS_2017!$A$3:$A$38='Abgleich Kapazität'!$A87)*(Capacity_Entsoe_SFS_2017!$D$1:$AL$1='Abgleich Kapazität'!R$77)*Capacity_Entsoe_SFS_2017!$D$3:$AK$38)+SUMPRODUCT((Capacity_Entsoe_SFS_2017!$A$3:$A$38='Abgleich Kapazität'!$A87)*(Capacity_Entsoe_SFS_2017!$D$1:$AL$1='Abgleich Kapazität'!R$76)*Capacity_Entsoe_SFS_2017!$D$3:$AK$38))/1000</f>
        <v>#VALUE!</v>
      </c>
      <c r="S87" s="26" t="e">
        <f>(SUMPRODUCT((Capacity_Entsoe_SFS_2017!$A$3:$A$38='Abgleich Kapazität'!$A87)*(Capacity_Entsoe_SFS_2017!$D$1:$AL$1='Abgleich Kapazität'!S$81)*Capacity_Entsoe_SFS_2017!$D$3:$AK$38)+SUMPRODUCT((Capacity_Entsoe_SFS_2017!$A$3:$A$38='Abgleich Kapazität'!$A87)*(Capacity_Entsoe_SFS_2017!$D$1:$AL$1='Abgleich Kapazität'!S$80)*Capacity_Entsoe_SFS_2017!$D$3:$AK$38)+SUMPRODUCT((Capacity_Entsoe_SFS_2017!$A$3:$A$38='Abgleich Kapazität'!$A87)*(Capacity_Entsoe_SFS_2017!$D$1:$AL$1='Abgleich Kapazität'!S$79)*Capacity_Entsoe_SFS_2017!$D$3:$AK$38)+SUMPRODUCT((Capacity_Entsoe_SFS_2017!$A$3:$A$38='Abgleich Kapazität'!$A87)*(Capacity_Entsoe_SFS_2017!$D$1:$AL$1='Abgleich Kapazität'!S$78)*Capacity_Entsoe_SFS_2017!$D$3:$AK$38)+SUMPRODUCT((Capacity_Entsoe_SFS_2017!$A$3:$A$38='Abgleich Kapazität'!$A87)*(Capacity_Entsoe_SFS_2017!$D$1:$AL$1='Abgleich Kapazität'!S$77)*Capacity_Entsoe_SFS_2017!$D$3:$AK$38)+SUMPRODUCT((Capacity_Entsoe_SFS_2017!$A$3:$A$38='Abgleich Kapazität'!$A87)*(Capacity_Entsoe_SFS_2017!$D$1:$AL$1='Abgleich Kapazität'!S$76)*Capacity_Entsoe_SFS_2017!$D$3:$AK$38))/1000</f>
        <v>#VALUE!</v>
      </c>
      <c r="T87" s="26" t="e">
        <f>(SUMPRODUCT((Capacity_Entsoe_SFS_2017!$A$3:$A$38='Abgleich Kapazität'!$A87)*(Capacity_Entsoe_SFS_2017!$D$1:$AL$1='Abgleich Kapazität'!T$81)*Capacity_Entsoe_SFS_2017!$D$3:$AK$38)+SUMPRODUCT((Capacity_Entsoe_SFS_2017!$A$3:$A$38='Abgleich Kapazität'!$A87)*(Capacity_Entsoe_SFS_2017!$D$1:$AL$1='Abgleich Kapazität'!T$80)*Capacity_Entsoe_SFS_2017!$D$3:$AK$38)+SUMPRODUCT((Capacity_Entsoe_SFS_2017!$A$3:$A$38='Abgleich Kapazität'!$A87)*(Capacity_Entsoe_SFS_2017!$D$1:$AL$1='Abgleich Kapazität'!T$79)*Capacity_Entsoe_SFS_2017!$D$3:$AK$38)+SUMPRODUCT((Capacity_Entsoe_SFS_2017!$A$3:$A$38='Abgleich Kapazität'!$A87)*(Capacity_Entsoe_SFS_2017!$D$1:$AL$1='Abgleich Kapazität'!T$78)*Capacity_Entsoe_SFS_2017!$D$3:$AK$38)+SUMPRODUCT((Capacity_Entsoe_SFS_2017!$A$3:$A$38='Abgleich Kapazität'!$A87)*(Capacity_Entsoe_SFS_2017!$D$1:$AL$1='Abgleich Kapazität'!T$77)*Capacity_Entsoe_SFS_2017!$D$3:$AK$38)+SUMPRODUCT((Capacity_Entsoe_SFS_2017!$A$3:$A$38='Abgleich Kapazität'!$A87)*(Capacity_Entsoe_SFS_2017!$D$1:$AL$1='Abgleich Kapazität'!T$76)*Capacity_Entsoe_SFS_2017!$D$3:$AK$38))/1000</f>
        <v>#VALUE!</v>
      </c>
      <c r="U87" s="26" t="e">
        <f>(SUMPRODUCT((Capacity_Entsoe_SFS_2017!$A$3:$A$38='Abgleich Kapazität'!$A87)*(Capacity_Entsoe_SFS_2017!$D$1:$AL$1='Abgleich Kapazität'!U$81)*Capacity_Entsoe_SFS_2017!$D$3:$AK$38)+SUMPRODUCT((Capacity_Entsoe_SFS_2017!$A$3:$A$38='Abgleich Kapazität'!$A87)*(Capacity_Entsoe_SFS_2017!$D$1:$AL$1='Abgleich Kapazität'!U$80)*Capacity_Entsoe_SFS_2017!$D$3:$AK$38)+SUMPRODUCT((Capacity_Entsoe_SFS_2017!$A$3:$A$38='Abgleich Kapazität'!$A87)*(Capacity_Entsoe_SFS_2017!$D$1:$AL$1='Abgleich Kapazität'!U$79)*Capacity_Entsoe_SFS_2017!$D$3:$AK$38)+SUMPRODUCT((Capacity_Entsoe_SFS_2017!$A$3:$A$38='Abgleich Kapazität'!$A87)*(Capacity_Entsoe_SFS_2017!$D$1:$AL$1='Abgleich Kapazität'!U$78)*Capacity_Entsoe_SFS_2017!$D$3:$AK$38)+SUMPRODUCT((Capacity_Entsoe_SFS_2017!$A$3:$A$38='Abgleich Kapazität'!$A87)*(Capacity_Entsoe_SFS_2017!$D$1:$AL$1='Abgleich Kapazität'!U$77)*Capacity_Entsoe_SFS_2017!$D$3:$AK$38)+SUMPRODUCT((Capacity_Entsoe_SFS_2017!$A$3:$A$38='Abgleich Kapazität'!$A87)*(Capacity_Entsoe_SFS_2017!$D$1:$AL$1='Abgleich Kapazität'!U$76)*Capacity_Entsoe_SFS_2017!$D$3:$AK$38))/1000</f>
        <v>#VALUE!</v>
      </c>
      <c r="V87" s="27" t="e">
        <f t="shared" si="80"/>
        <v>#VALUE!</v>
      </c>
    </row>
    <row r="88" spans="1:22" x14ac:dyDescent="0.25">
      <c r="A88" s="14" t="s">
        <v>14</v>
      </c>
      <c r="B88" s="57" t="e">
        <f t="shared" si="77"/>
        <v>#VALUE!</v>
      </c>
      <c r="C88" s="58" t="e">
        <f>(SUMPRODUCT((Capacity_Entsoe_SFS_2017!$A$3:$A$38='Abgleich Kapazität'!$A88)*(Capacity_Entsoe_SFS_2017!$D$1:$AL$1='Abgleich Kapazität'!C$81)*Capacity_Entsoe_SFS_2017!$D$3:$AK$38)+SUMPRODUCT((Capacity_Entsoe_SFS_2017!$A$3:$A$38='Abgleich Kapazität'!$A88)*(Capacity_Entsoe_SFS_2017!$D$1:$AL$1='Abgleich Kapazität'!C$80)*Capacity_Entsoe_SFS_2017!$D$3:$AK$38)+SUMPRODUCT((Capacity_Entsoe_SFS_2017!$A$3:$A$38='Abgleich Kapazität'!$A88)*(Capacity_Entsoe_SFS_2017!$D$1:$AL$1='Abgleich Kapazität'!C$79)*Capacity_Entsoe_SFS_2017!$D$3:$AK$38)+SUMPRODUCT((Capacity_Entsoe_SFS_2017!$A$3:$A$38='Abgleich Kapazität'!$A88)*(Capacity_Entsoe_SFS_2017!$D$1:$AL$1='Abgleich Kapazität'!C$78)*Capacity_Entsoe_SFS_2017!$D$3:$AK$38))/1000</f>
        <v>#VALUE!</v>
      </c>
      <c r="D88" s="58" t="e">
        <f t="shared" si="78"/>
        <v>#VALUE!</v>
      </c>
      <c r="E88" s="58" t="e">
        <f>(SUMPRODUCT((Capacity_Entsoe_SFS_2017!$A$3:$A$38='Abgleich Kapazität'!$A88)*(Capacity_Entsoe_SFS_2017!$D$1:$AL$1='Abgleich Kapazität'!E$81)*Capacity_Entsoe_SFS_2017!$D$3:$AK$38)+SUMPRODUCT((Capacity_Entsoe_SFS_2017!$A$3:$A$38='Abgleich Kapazität'!$A88)*(Capacity_Entsoe_SFS_2017!$D$1:$AL$1='Abgleich Kapazität'!E$80)*Capacity_Entsoe_SFS_2017!$D$3:$AK$38)+SUMPRODUCT((Capacity_Entsoe_SFS_2017!$A$3:$A$38='Abgleich Kapazität'!$A88)*(Capacity_Entsoe_SFS_2017!$D$1:$AL$1='Abgleich Kapazität'!E$79)*Capacity_Entsoe_SFS_2017!$D$3:$AK$38)+SUMPRODUCT((Capacity_Entsoe_SFS_2017!$A$3:$A$38='Abgleich Kapazität'!$A88)*(Capacity_Entsoe_SFS_2017!$D$1:$AL$1='Abgleich Kapazität'!E$78)*Capacity_Entsoe_SFS_2017!$D$3:$AK$38))/1000</f>
        <v>#VALUE!</v>
      </c>
      <c r="F88" s="58" t="e">
        <f>(SUMPRODUCT((Capacity_Entsoe_SFS_2017!$A$3:$A$38='Abgleich Kapazität'!$A88)*(Capacity_Entsoe_SFS_2017!$D$1:$AL$1='Abgleich Kapazität'!F$81)*Capacity_Entsoe_SFS_2017!$D$3:$AK$38)+SUMPRODUCT((Capacity_Entsoe_SFS_2017!$A$3:$A$38='Abgleich Kapazität'!$A88)*(Capacity_Entsoe_SFS_2017!$D$1:$AL$1='Abgleich Kapazität'!F$80)*Capacity_Entsoe_SFS_2017!$D$3:$AK$38)+SUMPRODUCT((Capacity_Entsoe_SFS_2017!$A$3:$A$38='Abgleich Kapazität'!$A88)*(Capacity_Entsoe_SFS_2017!$D$1:$AL$1='Abgleich Kapazität'!F$79)*Capacity_Entsoe_SFS_2017!$D$3:$AK$38)+SUMPRODUCT((Capacity_Entsoe_SFS_2017!$A$3:$A$38='Abgleich Kapazität'!$A88)*(Capacity_Entsoe_SFS_2017!$D$1:$AL$1='Abgleich Kapazität'!F$78)*Capacity_Entsoe_SFS_2017!$D$3:$AK$38))/1000</f>
        <v>#VALUE!</v>
      </c>
      <c r="G88" s="58" t="e">
        <f>(SUMPRODUCT((Capacity_Entsoe_SFS_2017!$A$3:$A$38='Abgleich Kapazität'!$A88)*(Capacity_Entsoe_SFS_2017!$D$1:$AL$1='Abgleich Kapazität'!G$81)*Capacity_Entsoe_SFS_2017!$D$3:$AK$38)+SUMPRODUCT((Capacity_Entsoe_SFS_2017!$A$3:$A$38='Abgleich Kapazität'!$A88)*(Capacity_Entsoe_SFS_2017!$D$1:$AL$1='Abgleich Kapazität'!G$80)*Capacity_Entsoe_SFS_2017!$D$3:$AK$38)+SUMPRODUCT((Capacity_Entsoe_SFS_2017!$A$3:$A$38='Abgleich Kapazität'!$A88)*(Capacity_Entsoe_SFS_2017!$D$1:$AL$1='Abgleich Kapazität'!G$79)*Capacity_Entsoe_SFS_2017!$D$3:$AK$38)+SUMPRODUCT((Capacity_Entsoe_SFS_2017!$A$3:$A$38='Abgleich Kapazität'!$A88)*(Capacity_Entsoe_SFS_2017!$D$1:$AL$1='Abgleich Kapazität'!G$78)*Capacity_Entsoe_SFS_2017!$D$3:$AK$38))/1000</f>
        <v>#VALUE!</v>
      </c>
      <c r="H88" s="58" t="e">
        <f>(SUMPRODUCT((Capacity_Entsoe_SFS_2017!$A$3:$A$38='Abgleich Kapazität'!$A88)*(Capacity_Entsoe_SFS_2017!$D$1:$AL$1='Abgleich Kapazität'!H$81)*Capacity_Entsoe_SFS_2017!$D$3:$AK$38)+SUMPRODUCT((Capacity_Entsoe_SFS_2017!$A$3:$A$38='Abgleich Kapazität'!$A88)*(Capacity_Entsoe_SFS_2017!$D$1:$AL$1='Abgleich Kapazität'!H$80)*Capacity_Entsoe_SFS_2017!$D$3:$AK$38)+SUMPRODUCT((Capacity_Entsoe_SFS_2017!$A$3:$A$38='Abgleich Kapazität'!$A88)*(Capacity_Entsoe_SFS_2017!$D$1:$AL$1='Abgleich Kapazität'!H$79)*Capacity_Entsoe_SFS_2017!$D$3:$AK$38)+SUMPRODUCT((Capacity_Entsoe_SFS_2017!$A$3:$A$38='Abgleich Kapazität'!$A88)*(Capacity_Entsoe_SFS_2017!$D$1:$AL$1='Abgleich Kapazität'!H$78)*Capacity_Entsoe_SFS_2017!$D$3:$AK$38))/1000</f>
        <v>#VALUE!</v>
      </c>
      <c r="I88" s="58" t="e">
        <f>(SUMPRODUCT((Capacity_Entsoe_SFS_2017!$A$3:$A$38='Abgleich Kapazität'!$A88)*(Capacity_Entsoe_SFS_2017!$D$1:$AL$1='Abgleich Kapazität'!I$81)*Capacity_Entsoe_SFS_2017!$D$3:$AK$38)+SUMPRODUCT((Capacity_Entsoe_SFS_2017!$A$3:$A$38='Abgleich Kapazität'!$A88)*(Capacity_Entsoe_SFS_2017!$D$1:$AL$1='Abgleich Kapazität'!I$80)*Capacity_Entsoe_SFS_2017!$D$3:$AK$38)+SUMPRODUCT((Capacity_Entsoe_SFS_2017!$A$3:$A$38='Abgleich Kapazität'!$A88)*(Capacity_Entsoe_SFS_2017!$D$1:$AL$1='Abgleich Kapazität'!I$79)*Capacity_Entsoe_SFS_2017!$D$3:$AK$38)+SUMPRODUCT((Capacity_Entsoe_SFS_2017!$A$3:$A$38='Abgleich Kapazität'!$A88)*(Capacity_Entsoe_SFS_2017!$D$1:$AL$1='Abgleich Kapazität'!I$78)*Capacity_Entsoe_SFS_2017!$D$3:$AK$38))/1000</f>
        <v>#VALUE!</v>
      </c>
      <c r="J88" s="58" t="e">
        <f>(SUMPRODUCT((Capacity_Entsoe_SFS_2017!$A$3:$A$38='Abgleich Kapazität'!$A88)*(Capacity_Entsoe_SFS_2017!$D$1:$AL$1='Abgleich Kapazität'!J$81)*Capacity_Entsoe_SFS_2017!$D$3:$AK$38)+SUMPRODUCT((Capacity_Entsoe_SFS_2017!$A$3:$A$38='Abgleich Kapazität'!$A88)*(Capacity_Entsoe_SFS_2017!$D$1:$AL$1='Abgleich Kapazität'!J$80)*Capacity_Entsoe_SFS_2017!$D$3:$AK$38)+SUMPRODUCT((Capacity_Entsoe_SFS_2017!$A$3:$A$38='Abgleich Kapazität'!$A88)*(Capacity_Entsoe_SFS_2017!$D$1:$AL$1='Abgleich Kapazität'!J$79)*Capacity_Entsoe_SFS_2017!$D$3:$AK$38)+SUMPRODUCT((Capacity_Entsoe_SFS_2017!$A$3:$A$38='Abgleich Kapazität'!$A88)*(Capacity_Entsoe_SFS_2017!$D$1:$AL$1='Abgleich Kapazität'!J$78)*Capacity_Entsoe_SFS_2017!$D$3:$AK$38))/1000</f>
        <v>#VALUE!</v>
      </c>
      <c r="K88" s="59" t="e">
        <f t="shared" si="79"/>
        <v>#VALUE!</v>
      </c>
      <c r="L88" s="58" t="e">
        <f>(SUMPRODUCT((Capacity_Entsoe_SFS_2017!$A$3:$A$38='Abgleich Kapazität'!$A88)*(Capacity_Entsoe_SFS_2017!$D$1:$AL$1='Abgleich Kapazität'!L$81)*Capacity_Entsoe_SFS_2017!$D$3:$AK$38)+SUMPRODUCT((Capacity_Entsoe_SFS_2017!$A$3:$A$38='Abgleich Kapazität'!$A88)*(Capacity_Entsoe_SFS_2017!$D$1:$AL$1='Abgleich Kapazität'!L$80)*Capacity_Entsoe_SFS_2017!$D$3:$AK$38)+SUMPRODUCT((Capacity_Entsoe_SFS_2017!$A$3:$A$38='Abgleich Kapazität'!$A88)*(Capacity_Entsoe_SFS_2017!$D$1:$AL$1='Abgleich Kapazität'!L$79)*Capacity_Entsoe_SFS_2017!$D$3:$AK$38)+SUMPRODUCT((Capacity_Entsoe_SFS_2017!$A$3:$A$38='Abgleich Kapazität'!$A88)*(Capacity_Entsoe_SFS_2017!$D$1:$AL$1='Abgleich Kapazität'!L$78)*Capacity_Entsoe_SFS_2017!$D$3:$AK$38)+SUMPRODUCT((Capacity_Entsoe_SFS_2017!$A$3:$A$38='Abgleich Kapazität'!$A88)*(Capacity_Entsoe_SFS_2017!$D$1:$AL$1='Abgleich Kapazität'!L$77)*Capacity_Entsoe_SFS_2017!$D$3:$AK$38)+SUMPRODUCT((Capacity_Entsoe_SFS_2017!$A$3:$A$38='Abgleich Kapazität'!$A88)*(Capacity_Entsoe_SFS_2017!$D$1:$AL$1='Abgleich Kapazität'!L$76)*Capacity_Entsoe_SFS_2017!$D$3:$AK$38))/1000</f>
        <v>#VALUE!</v>
      </c>
      <c r="M88" s="58" t="e">
        <f>(SUMPRODUCT((Capacity_Entsoe_SFS_2017!$A$3:$A$38='Abgleich Kapazität'!$A88)*(Capacity_Entsoe_SFS_2017!$D$1:$AL$1='Abgleich Kapazität'!M$81)*Capacity_Entsoe_SFS_2017!$D$3:$AK$38)+SUMPRODUCT((Capacity_Entsoe_SFS_2017!$A$3:$A$38='Abgleich Kapazität'!$A88)*(Capacity_Entsoe_SFS_2017!$D$1:$AL$1='Abgleich Kapazität'!M$80)*Capacity_Entsoe_SFS_2017!$D$3:$AK$38)+SUMPRODUCT((Capacity_Entsoe_SFS_2017!$A$3:$A$38='Abgleich Kapazität'!$A88)*(Capacity_Entsoe_SFS_2017!$D$1:$AL$1='Abgleich Kapazität'!M$79)*Capacity_Entsoe_SFS_2017!$D$3:$AK$38)+SUMPRODUCT((Capacity_Entsoe_SFS_2017!$A$3:$A$38='Abgleich Kapazität'!$A88)*(Capacity_Entsoe_SFS_2017!$D$1:$AL$1='Abgleich Kapazität'!M$78)*Capacity_Entsoe_SFS_2017!$D$3:$AK$38)+SUMPRODUCT((Capacity_Entsoe_SFS_2017!$A$3:$A$38='Abgleich Kapazität'!$A88)*(Capacity_Entsoe_SFS_2017!$D$1:$AL$1='Abgleich Kapazität'!M$77)*Capacity_Entsoe_SFS_2017!$D$3:$AK$38)+SUMPRODUCT((Capacity_Entsoe_SFS_2017!$A$3:$A$38='Abgleich Kapazität'!$A88)*(Capacity_Entsoe_SFS_2017!$D$1:$AL$1='Abgleich Kapazität'!M$76)*Capacity_Entsoe_SFS_2017!$D$3:$AK$38))/1000</f>
        <v>#VALUE!</v>
      </c>
      <c r="N88" s="58" t="e">
        <f>(SUMPRODUCT((Capacity_Entsoe_SFS_2017!$A$3:$A$38='Abgleich Kapazität'!$A88)*(Capacity_Entsoe_SFS_2017!$D$1:$AL$1='Abgleich Kapazität'!N$81)*Capacity_Entsoe_SFS_2017!$D$3:$AK$38)+SUMPRODUCT((Capacity_Entsoe_SFS_2017!$A$3:$A$38='Abgleich Kapazität'!$A88)*(Capacity_Entsoe_SFS_2017!$D$1:$AL$1='Abgleich Kapazität'!N$80)*Capacity_Entsoe_SFS_2017!$D$3:$AK$38)+SUMPRODUCT((Capacity_Entsoe_SFS_2017!$A$3:$A$38='Abgleich Kapazität'!$A88)*(Capacity_Entsoe_SFS_2017!$D$1:$AL$1='Abgleich Kapazität'!N$79)*Capacity_Entsoe_SFS_2017!$D$3:$AK$38)+SUMPRODUCT((Capacity_Entsoe_SFS_2017!$A$3:$A$38='Abgleich Kapazität'!$A88)*(Capacity_Entsoe_SFS_2017!$D$1:$AL$1='Abgleich Kapazität'!N$78)*Capacity_Entsoe_SFS_2017!$D$3:$AK$38)+SUMPRODUCT((Capacity_Entsoe_SFS_2017!$A$3:$A$38='Abgleich Kapazität'!$A88)*(Capacity_Entsoe_SFS_2017!$D$1:$AL$1='Abgleich Kapazität'!N$77)*Capacity_Entsoe_SFS_2017!$D$3:$AK$38)+SUMPRODUCT((Capacity_Entsoe_SFS_2017!$A$3:$A$38='Abgleich Kapazität'!$A88)*(Capacity_Entsoe_SFS_2017!$D$1:$AL$1='Abgleich Kapazität'!N$76)*Capacity_Entsoe_SFS_2017!$D$3:$AK$38))/1000</f>
        <v>#VALUE!</v>
      </c>
      <c r="O88" s="58" t="e">
        <f>(SUMPRODUCT((Capacity_Entsoe_SFS_2017!$A$3:$A$38='Abgleich Kapazität'!$A88)*(Capacity_Entsoe_SFS_2017!$D$1:$AL$1='Abgleich Kapazität'!O$81)*Capacity_Entsoe_SFS_2017!$D$3:$AK$38)+SUMPRODUCT((Capacity_Entsoe_SFS_2017!$A$3:$A$38='Abgleich Kapazität'!$A88)*(Capacity_Entsoe_SFS_2017!$D$1:$AL$1='Abgleich Kapazität'!O$80)*Capacity_Entsoe_SFS_2017!$D$3:$AK$38)+SUMPRODUCT((Capacity_Entsoe_SFS_2017!$A$3:$A$38='Abgleich Kapazität'!$A88)*(Capacity_Entsoe_SFS_2017!$D$1:$AL$1='Abgleich Kapazität'!O$79)*Capacity_Entsoe_SFS_2017!$D$3:$AK$38)+SUMPRODUCT((Capacity_Entsoe_SFS_2017!$A$3:$A$38='Abgleich Kapazität'!$A88)*(Capacity_Entsoe_SFS_2017!$D$1:$AL$1='Abgleich Kapazität'!O$78)*Capacity_Entsoe_SFS_2017!$D$3:$AK$38)+SUMPRODUCT((Capacity_Entsoe_SFS_2017!$A$3:$A$38='Abgleich Kapazität'!$A88)*(Capacity_Entsoe_SFS_2017!$D$1:$AL$1='Abgleich Kapazität'!O$77)*Capacity_Entsoe_SFS_2017!$D$3:$AK$38)+SUMPRODUCT((Capacity_Entsoe_SFS_2017!$A$3:$A$38='Abgleich Kapazität'!$A88)*(Capacity_Entsoe_SFS_2017!$D$1:$AL$1='Abgleich Kapazität'!O$76)*Capacity_Entsoe_SFS_2017!$D$3:$AK$38))/1000</f>
        <v>#VALUE!</v>
      </c>
      <c r="P88" s="58" t="e">
        <f>(SUMPRODUCT((Capacity_Entsoe_SFS_2017!$A$3:$A$38='Abgleich Kapazität'!$A88)*(Capacity_Entsoe_SFS_2017!$D$1:$AL$1='Abgleich Kapazität'!P$81)*Capacity_Entsoe_SFS_2017!$D$3:$AK$38)+SUMPRODUCT((Capacity_Entsoe_SFS_2017!$A$3:$A$38='Abgleich Kapazität'!$A88)*(Capacity_Entsoe_SFS_2017!$D$1:$AL$1='Abgleich Kapazität'!P$80)*Capacity_Entsoe_SFS_2017!$D$3:$AK$38)+SUMPRODUCT((Capacity_Entsoe_SFS_2017!$A$3:$A$38='Abgleich Kapazität'!$A88)*(Capacity_Entsoe_SFS_2017!$D$1:$AL$1='Abgleich Kapazität'!P$79)*Capacity_Entsoe_SFS_2017!$D$3:$AK$38)+SUMPRODUCT((Capacity_Entsoe_SFS_2017!$A$3:$A$38='Abgleich Kapazität'!$A88)*(Capacity_Entsoe_SFS_2017!$D$1:$AL$1='Abgleich Kapazität'!P$78)*Capacity_Entsoe_SFS_2017!$D$3:$AK$38)+SUMPRODUCT((Capacity_Entsoe_SFS_2017!$A$3:$A$38='Abgleich Kapazität'!$A88)*(Capacity_Entsoe_SFS_2017!$D$1:$AL$1='Abgleich Kapazität'!P$77)*Capacity_Entsoe_SFS_2017!$D$3:$AK$38)+SUMPRODUCT((Capacity_Entsoe_SFS_2017!$A$3:$A$38='Abgleich Kapazität'!$A88)*(Capacity_Entsoe_SFS_2017!$D$1:$AL$1='Abgleich Kapazität'!P$76)*Capacity_Entsoe_SFS_2017!$D$3:$AK$38))/1000</f>
        <v>#VALUE!</v>
      </c>
      <c r="Q88" s="58" t="e">
        <f>(SUMPRODUCT((Capacity_Entsoe_SFS_2017!$A$3:$A$38='Abgleich Kapazität'!$A88)*(Capacity_Entsoe_SFS_2017!$D$1:$AL$1='Abgleich Kapazität'!Q$81)*Capacity_Entsoe_SFS_2017!$D$3:$AK$38)+SUMPRODUCT((Capacity_Entsoe_SFS_2017!$A$3:$A$38='Abgleich Kapazität'!$A88)*(Capacity_Entsoe_SFS_2017!$D$1:$AL$1='Abgleich Kapazität'!Q$80)*Capacity_Entsoe_SFS_2017!$D$3:$AK$38)+SUMPRODUCT((Capacity_Entsoe_SFS_2017!$A$3:$A$38='Abgleich Kapazität'!$A88)*(Capacity_Entsoe_SFS_2017!$D$1:$AL$1='Abgleich Kapazität'!Q$79)*Capacity_Entsoe_SFS_2017!$D$3:$AK$38)+SUMPRODUCT((Capacity_Entsoe_SFS_2017!$A$3:$A$38='Abgleich Kapazität'!$A88)*(Capacity_Entsoe_SFS_2017!$D$1:$AL$1='Abgleich Kapazität'!Q$78)*Capacity_Entsoe_SFS_2017!$D$3:$AK$38)+SUMPRODUCT((Capacity_Entsoe_SFS_2017!$A$3:$A$38='Abgleich Kapazität'!$A88)*(Capacity_Entsoe_SFS_2017!$D$1:$AL$1='Abgleich Kapazität'!Q$77)*Capacity_Entsoe_SFS_2017!$D$3:$AK$38)+SUMPRODUCT((Capacity_Entsoe_SFS_2017!$A$3:$A$38='Abgleich Kapazität'!$A88)*(Capacity_Entsoe_SFS_2017!$D$1:$AL$1='Abgleich Kapazität'!Q$76)*Capacity_Entsoe_SFS_2017!$D$3:$AK$38))/1000</f>
        <v>#VALUE!</v>
      </c>
      <c r="R88" s="58" t="e">
        <f>(SUMPRODUCT((Capacity_Entsoe_SFS_2017!$A$3:$A$38='Abgleich Kapazität'!$A88)*(Capacity_Entsoe_SFS_2017!$D$1:$AL$1='Abgleich Kapazität'!R$81)*Capacity_Entsoe_SFS_2017!$D$3:$AK$38)+SUMPRODUCT((Capacity_Entsoe_SFS_2017!$A$3:$A$38='Abgleich Kapazität'!$A88)*(Capacity_Entsoe_SFS_2017!$D$1:$AL$1='Abgleich Kapazität'!R$80)*Capacity_Entsoe_SFS_2017!$D$3:$AK$38)+SUMPRODUCT((Capacity_Entsoe_SFS_2017!$A$3:$A$38='Abgleich Kapazität'!$A88)*(Capacity_Entsoe_SFS_2017!$D$1:$AL$1='Abgleich Kapazität'!R$79)*Capacity_Entsoe_SFS_2017!$D$3:$AK$38)+SUMPRODUCT((Capacity_Entsoe_SFS_2017!$A$3:$A$38='Abgleich Kapazität'!$A88)*(Capacity_Entsoe_SFS_2017!$D$1:$AL$1='Abgleich Kapazität'!R$78)*Capacity_Entsoe_SFS_2017!$D$3:$AK$38)+SUMPRODUCT((Capacity_Entsoe_SFS_2017!$A$3:$A$38='Abgleich Kapazität'!$A88)*(Capacity_Entsoe_SFS_2017!$D$1:$AL$1='Abgleich Kapazität'!R$77)*Capacity_Entsoe_SFS_2017!$D$3:$AK$38)+SUMPRODUCT((Capacity_Entsoe_SFS_2017!$A$3:$A$38='Abgleich Kapazität'!$A88)*(Capacity_Entsoe_SFS_2017!$D$1:$AL$1='Abgleich Kapazität'!R$76)*Capacity_Entsoe_SFS_2017!$D$3:$AK$38))/1000</f>
        <v>#VALUE!</v>
      </c>
      <c r="S88" s="58" t="e">
        <f>(SUMPRODUCT((Capacity_Entsoe_SFS_2017!$A$3:$A$38='Abgleich Kapazität'!$A88)*(Capacity_Entsoe_SFS_2017!$D$1:$AL$1='Abgleich Kapazität'!S$81)*Capacity_Entsoe_SFS_2017!$D$3:$AK$38)+SUMPRODUCT((Capacity_Entsoe_SFS_2017!$A$3:$A$38='Abgleich Kapazität'!$A88)*(Capacity_Entsoe_SFS_2017!$D$1:$AL$1='Abgleich Kapazität'!S$80)*Capacity_Entsoe_SFS_2017!$D$3:$AK$38)+SUMPRODUCT((Capacity_Entsoe_SFS_2017!$A$3:$A$38='Abgleich Kapazität'!$A88)*(Capacity_Entsoe_SFS_2017!$D$1:$AL$1='Abgleich Kapazität'!S$79)*Capacity_Entsoe_SFS_2017!$D$3:$AK$38)+SUMPRODUCT((Capacity_Entsoe_SFS_2017!$A$3:$A$38='Abgleich Kapazität'!$A88)*(Capacity_Entsoe_SFS_2017!$D$1:$AL$1='Abgleich Kapazität'!S$78)*Capacity_Entsoe_SFS_2017!$D$3:$AK$38)+SUMPRODUCT((Capacity_Entsoe_SFS_2017!$A$3:$A$38='Abgleich Kapazität'!$A88)*(Capacity_Entsoe_SFS_2017!$D$1:$AL$1='Abgleich Kapazität'!S$77)*Capacity_Entsoe_SFS_2017!$D$3:$AK$38)+SUMPRODUCT((Capacity_Entsoe_SFS_2017!$A$3:$A$38='Abgleich Kapazität'!$A88)*(Capacity_Entsoe_SFS_2017!$D$1:$AL$1='Abgleich Kapazität'!S$76)*Capacity_Entsoe_SFS_2017!$D$3:$AK$38))/1000</f>
        <v>#VALUE!</v>
      </c>
      <c r="T88" s="58" t="e">
        <f>(SUMPRODUCT((Capacity_Entsoe_SFS_2017!$A$3:$A$38='Abgleich Kapazität'!$A88)*(Capacity_Entsoe_SFS_2017!$D$1:$AL$1='Abgleich Kapazität'!T$81)*Capacity_Entsoe_SFS_2017!$D$3:$AK$38)+SUMPRODUCT((Capacity_Entsoe_SFS_2017!$A$3:$A$38='Abgleich Kapazität'!$A88)*(Capacity_Entsoe_SFS_2017!$D$1:$AL$1='Abgleich Kapazität'!T$80)*Capacity_Entsoe_SFS_2017!$D$3:$AK$38)+SUMPRODUCT((Capacity_Entsoe_SFS_2017!$A$3:$A$38='Abgleich Kapazität'!$A88)*(Capacity_Entsoe_SFS_2017!$D$1:$AL$1='Abgleich Kapazität'!T$79)*Capacity_Entsoe_SFS_2017!$D$3:$AK$38)+SUMPRODUCT((Capacity_Entsoe_SFS_2017!$A$3:$A$38='Abgleich Kapazität'!$A88)*(Capacity_Entsoe_SFS_2017!$D$1:$AL$1='Abgleich Kapazität'!T$78)*Capacity_Entsoe_SFS_2017!$D$3:$AK$38)+SUMPRODUCT((Capacity_Entsoe_SFS_2017!$A$3:$A$38='Abgleich Kapazität'!$A88)*(Capacity_Entsoe_SFS_2017!$D$1:$AL$1='Abgleich Kapazität'!T$77)*Capacity_Entsoe_SFS_2017!$D$3:$AK$38)+SUMPRODUCT((Capacity_Entsoe_SFS_2017!$A$3:$A$38='Abgleich Kapazität'!$A88)*(Capacity_Entsoe_SFS_2017!$D$1:$AL$1='Abgleich Kapazität'!T$76)*Capacity_Entsoe_SFS_2017!$D$3:$AK$38))/1000</f>
        <v>#VALUE!</v>
      </c>
      <c r="U88" s="58" t="e">
        <f>(SUMPRODUCT((Capacity_Entsoe_SFS_2017!$A$3:$A$38='Abgleich Kapazität'!$A88)*(Capacity_Entsoe_SFS_2017!$D$1:$AL$1='Abgleich Kapazität'!U$81)*Capacity_Entsoe_SFS_2017!$D$3:$AK$38)+SUMPRODUCT((Capacity_Entsoe_SFS_2017!$A$3:$A$38='Abgleich Kapazität'!$A88)*(Capacity_Entsoe_SFS_2017!$D$1:$AL$1='Abgleich Kapazität'!U$80)*Capacity_Entsoe_SFS_2017!$D$3:$AK$38)+SUMPRODUCT((Capacity_Entsoe_SFS_2017!$A$3:$A$38='Abgleich Kapazität'!$A88)*(Capacity_Entsoe_SFS_2017!$D$1:$AL$1='Abgleich Kapazität'!U$79)*Capacity_Entsoe_SFS_2017!$D$3:$AK$38)+SUMPRODUCT((Capacity_Entsoe_SFS_2017!$A$3:$A$38='Abgleich Kapazität'!$A88)*(Capacity_Entsoe_SFS_2017!$D$1:$AL$1='Abgleich Kapazität'!U$78)*Capacity_Entsoe_SFS_2017!$D$3:$AK$38)+SUMPRODUCT((Capacity_Entsoe_SFS_2017!$A$3:$A$38='Abgleich Kapazität'!$A88)*(Capacity_Entsoe_SFS_2017!$D$1:$AL$1='Abgleich Kapazität'!U$77)*Capacity_Entsoe_SFS_2017!$D$3:$AK$38)+SUMPRODUCT((Capacity_Entsoe_SFS_2017!$A$3:$A$38='Abgleich Kapazität'!$A88)*(Capacity_Entsoe_SFS_2017!$D$1:$AL$1='Abgleich Kapazität'!U$76)*Capacity_Entsoe_SFS_2017!$D$3:$AK$38))/1000</f>
        <v>#VALUE!</v>
      </c>
      <c r="V88" s="59" t="e">
        <f t="shared" si="80"/>
        <v>#VALUE!</v>
      </c>
    </row>
    <row r="89" spans="1:22" x14ac:dyDescent="0.25">
      <c r="A89" s="14" t="s">
        <v>15</v>
      </c>
      <c r="B89" s="25" t="e">
        <f t="shared" si="77"/>
        <v>#VALUE!</v>
      </c>
      <c r="C89" s="26" t="e">
        <f>(SUMPRODUCT((Capacity_Entsoe_SFS_2017!$A$3:$A$38='Abgleich Kapazität'!$A89)*(Capacity_Entsoe_SFS_2017!$D$1:$AL$1='Abgleich Kapazität'!C$81)*Capacity_Entsoe_SFS_2017!$D$3:$AK$38)+SUMPRODUCT((Capacity_Entsoe_SFS_2017!$A$3:$A$38='Abgleich Kapazität'!$A89)*(Capacity_Entsoe_SFS_2017!$D$1:$AL$1='Abgleich Kapazität'!C$80)*Capacity_Entsoe_SFS_2017!$D$3:$AK$38)+SUMPRODUCT((Capacity_Entsoe_SFS_2017!$A$3:$A$38='Abgleich Kapazität'!$A89)*(Capacity_Entsoe_SFS_2017!$D$1:$AL$1='Abgleich Kapazität'!C$79)*Capacity_Entsoe_SFS_2017!$D$3:$AK$38)+SUMPRODUCT((Capacity_Entsoe_SFS_2017!$A$3:$A$38='Abgleich Kapazität'!$A89)*(Capacity_Entsoe_SFS_2017!$D$1:$AL$1='Abgleich Kapazität'!C$78)*Capacity_Entsoe_SFS_2017!$D$3:$AK$38))/1000</f>
        <v>#VALUE!</v>
      </c>
      <c r="D89" s="26" t="e">
        <f t="shared" si="78"/>
        <v>#VALUE!</v>
      </c>
      <c r="E89" s="26" t="e">
        <f>(SUMPRODUCT((Capacity_Entsoe_SFS_2017!$A$3:$A$38='Abgleich Kapazität'!$A89)*(Capacity_Entsoe_SFS_2017!$D$1:$AL$1='Abgleich Kapazität'!E$81)*Capacity_Entsoe_SFS_2017!$D$3:$AK$38)+SUMPRODUCT((Capacity_Entsoe_SFS_2017!$A$3:$A$38='Abgleich Kapazität'!$A89)*(Capacity_Entsoe_SFS_2017!$D$1:$AL$1='Abgleich Kapazität'!E$80)*Capacity_Entsoe_SFS_2017!$D$3:$AK$38)+SUMPRODUCT((Capacity_Entsoe_SFS_2017!$A$3:$A$38='Abgleich Kapazität'!$A89)*(Capacity_Entsoe_SFS_2017!$D$1:$AL$1='Abgleich Kapazität'!E$79)*Capacity_Entsoe_SFS_2017!$D$3:$AK$38)+SUMPRODUCT((Capacity_Entsoe_SFS_2017!$A$3:$A$38='Abgleich Kapazität'!$A89)*(Capacity_Entsoe_SFS_2017!$D$1:$AL$1='Abgleich Kapazität'!E$78)*Capacity_Entsoe_SFS_2017!$D$3:$AK$38))/1000</f>
        <v>#VALUE!</v>
      </c>
      <c r="F89" s="26" t="e">
        <f>(SUMPRODUCT((Capacity_Entsoe_SFS_2017!$A$3:$A$38='Abgleich Kapazität'!$A89)*(Capacity_Entsoe_SFS_2017!$D$1:$AL$1='Abgleich Kapazität'!F$81)*Capacity_Entsoe_SFS_2017!$D$3:$AK$38)+SUMPRODUCT((Capacity_Entsoe_SFS_2017!$A$3:$A$38='Abgleich Kapazität'!$A89)*(Capacity_Entsoe_SFS_2017!$D$1:$AL$1='Abgleich Kapazität'!F$80)*Capacity_Entsoe_SFS_2017!$D$3:$AK$38)+SUMPRODUCT((Capacity_Entsoe_SFS_2017!$A$3:$A$38='Abgleich Kapazität'!$A89)*(Capacity_Entsoe_SFS_2017!$D$1:$AL$1='Abgleich Kapazität'!F$79)*Capacity_Entsoe_SFS_2017!$D$3:$AK$38)+SUMPRODUCT((Capacity_Entsoe_SFS_2017!$A$3:$A$38='Abgleich Kapazität'!$A89)*(Capacity_Entsoe_SFS_2017!$D$1:$AL$1='Abgleich Kapazität'!F$78)*Capacity_Entsoe_SFS_2017!$D$3:$AK$38))/1000</f>
        <v>#VALUE!</v>
      </c>
      <c r="G89" s="26" t="e">
        <f>(SUMPRODUCT((Capacity_Entsoe_SFS_2017!$A$3:$A$38='Abgleich Kapazität'!$A89)*(Capacity_Entsoe_SFS_2017!$D$1:$AL$1='Abgleich Kapazität'!G$81)*Capacity_Entsoe_SFS_2017!$D$3:$AK$38)+SUMPRODUCT((Capacity_Entsoe_SFS_2017!$A$3:$A$38='Abgleich Kapazität'!$A89)*(Capacity_Entsoe_SFS_2017!$D$1:$AL$1='Abgleich Kapazität'!G$80)*Capacity_Entsoe_SFS_2017!$D$3:$AK$38)+SUMPRODUCT((Capacity_Entsoe_SFS_2017!$A$3:$A$38='Abgleich Kapazität'!$A89)*(Capacity_Entsoe_SFS_2017!$D$1:$AL$1='Abgleich Kapazität'!G$79)*Capacity_Entsoe_SFS_2017!$D$3:$AK$38)+SUMPRODUCT((Capacity_Entsoe_SFS_2017!$A$3:$A$38='Abgleich Kapazität'!$A89)*(Capacity_Entsoe_SFS_2017!$D$1:$AL$1='Abgleich Kapazität'!G$78)*Capacity_Entsoe_SFS_2017!$D$3:$AK$38))/1000</f>
        <v>#VALUE!</v>
      </c>
      <c r="H89" s="26" t="e">
        <f>(SUMPRODUCT((Capacity_Entsoe_SFS_2017!$A$3:$A$38='Abgleich Kapazität'!$A89)*(Capacity_Entsoe_SFS_2017!$D$1:$AL$1='Abgleich Kapazität'!H$81)*Capacity_Entsoe_SFS_2017!$D$3:$AK$38)+SUMPRODUCT((Capacity_Entsoe_SFS_2017!$A$3:$A$38='Abgleich Kapazität'!$A89)*(Capacity_Entsoe_SFS_2017!$D$1:$AL$1='Abgleich Kapazität'!H$80)*Capacity_Entsoe_SFS_2017!$D$3:$AK$38)+SUMPRODUCT((Capacity_Entsoe_SFS_2017!$A$3:$A$38='Abgleich Kapazität'!$A89)*(Capacity_Entsoe_SFS_2017!$D$1:$AL$1='Abgleich Kapazität'!H$79)*Capacity_Entsoe_SFS_2017!$D$3:$AK$38)+SUMPRODUCT((Capacity_Entsoe_SFS_2017!$A$3:$A$38='Abgleich Kapazität'!$A89)*(Capacity_Entsoe_SFS_2017!$D$1:$AL$1='Abgleich Kapazität'!H$78)*Capacity_Entsoe_SFS_2017!$D$3:$AK$38))/1000</f>
        <v>#VALUE!</v>
      </c>
      <c r="I89" s="26" t="e">
        <f>(SUMPRODUCT((Capacity_Entsoe_SFS_2017!$A$3:$A$38='Abgleich Kapazität'!$A89)*(Capacity_Entsoe_SFS_2017!$D$1:$AL$1='Abgleich Kapazität'!I$81)*Capacity_Entsoe_SFS_2017!$D$3:$AK$38)+SUMPRODUCT((Capacity_Entsoe_SFS_2017!$A$3:$A$38='Abgleich Kapazität'!$A89)*(Capacity_Entsoe_SFS_2017!$D$1:$AL$1='Abgleich Kapazität'!I$80)*Capacity_Entsoe_SFS_2017!$D$3:$AK$38)+SUMPRODUCT((Capacity_Entsoe_SFS_2017!$A$3:$A$38='Abgleich Kapazität'!$A89)*(Capacity_Entsoe_SFS_2017!$D$1:$AL$1='Abgleich Kapazität'!I$79)*Capacity_Entsoe_SFS_2017!$D$3:$AK$38)+SUMPRODUCT((Capacity_Entsoe_SFS_2017!$A$3:$A$38='Abgleich Kapazität'!$A89)*(Capacity_Entsoe_SFS_2017!$D$1:$AL$1='Abgleich Kapazität'!I$78)*Capacity_Entsoe_SFS_2017!$D$3:$AK$38))/1000</f>
        <v>#VALUE!</v>
      </c>
      <c r="J89" s="26" t="e">
        <f>(SUMPRODUCT((Capacity_Entsoe_SFS_2017!$A$3:$A$38='Abgleich Kapazität'!$A89)*(Capacity_Entsoe_SFS_2017!$D$1:$AL$1='Abgleich Kapazität'!J$81)*Capacity_Entsoe_SFS_2017!$D$3:$AK$38)+SUMPRODUCT((Capacity_Entsoe_SFS_2017!$A$3:$A$38='Abgleich Kapazität'!$A89)*(Capacity_Entsoe_SFS_2017!$D$1:$AL$1='Abgleich Kapazität'!J$80)*Capacity_Entsoe_SFS_2017!$D$3:$AK$38)+SUMPRODUCT((Capacity_Entsoe_SFS_2017!$A$3:$A$38='Abgleich Kapazität'!$A89)*(Capacity_Entsoe_SFS_2017!$D$1:$AL$1='Abgleich Kapazität'!J$79)*Capacity_Entsoe_SFS_2017!$D$3:$AK$38)+SUMPRODUCT((Capacity_Entsoe_SFS_2017!$A$3:$A$38='Abgleich Kapazität'!$A89)*(Capacity_Entsoe_SFS_2017!$D$1:$AL$1='Abgleich Kapazität'!J$78)*Capacity_Entsoe_SFS_2017!$D$3:$AK$38))/1000</f>
        <v>#VALUE!</v>
      </c>
      <c r="K89" s="27" t="e">
        <f t="shared" si="79"/>
        <v>#VALUE!</v>
      </c>
      <c r="L89" s="26" t="e">
        <f>(SUMPRODUCT((Capacity_Entsoe_SFS_2017!$A$3:$A$38='Abgleich Kapazität'!$A89)*(Capacity_Entsoe_SFS_2017!$D$1:$AL$1='Abgleich Kapazität'!L$81)*Capacity_Entsoe_SFS_2017!$D$3:$AK$38)+SUMPRODUCT((Capacity_Entsoe_SFS_2017!$A$3:$A$38='Abgleich Kapazität'!$A89)*(Capacity_Entsoe_SFS_2017!$D$1:$AL$1='Abgleich Kapazität'!L$80)*Capacity_Entsoe_SFS_2017!$D$3:$AK$38)+SUMPRODUCT((Capacity_Entsoe_SFS_2017!$A$3:$A$38='Abgleich Kapazität'!$A89)*(Capacity_Entsoe_SFS_2017!$D$1:$AL$1='Abgleich Kapazität'!L$79)*Capacity_Entsoe_SFS_2017!$D$3:$AK$38)+SUMPRODUCT((Capacity_Entsoe_SFS_2017!$A$3:$A$38='Abgleich Kapazität'!$A89)*(Capacity_Entsoe_SFS_2017!$D$1:$AL$1='Abgleich Kapazität'!L$78)*Capacity_Entsoe_SFS_2017!$D$3:$AK$38)+SUMPRODUCT((Capacity_Entsoe_SFS_2017!$A$3:$A$38='Abgleich Kapazität'!$A89)*(Capacity_Entsoe_SFS_2017!$D$1:$AL$1='Abgleich Kapazität'!L$77)*Capacity_Entsoe_SFS_2017!$D$3:$AK$38)+SUMPRODUCT((Capacity_Entsoe_SFS_2017!$A$3:$A$38='Abgleich Kapazität'!$A89)*(Capacity_Entsoe_SFS_2017!$D$1:$AL$1='Abgleich Kapazität'!L$76)*Capacity_Entsoe_SFS_2017!$D$3:$AK$38))/1000</f>
        <v>#VALUE!</v>
      </c>
      <c r="M89" s="26" t="e">
        <f>(SUMPRODUCT((Capacity_Entsoe_SFS_2017!$A$3:$A$38='Abgleich Kapazität'!$A89)*(Capacity_Entsoe_SFS_2017!$D$1:$AL$1='Abgleich Kapazität'!M$81)*Capacity_Entsoe_SFS_2017!$D$3:$AK$38)+SUMPRODUCT((Capacity_Entsoe_SFS_2017!$A$3:$A$38='Abgleich Kapazität'!$A89)*(Capacity_Entsoe_SFS_2017!$D$1:$AL$1='Abgleich Kapazität'!M$80)*Capacity_Entsoe_SFS_2017!$D$3:$AK$38)+SUMPRODUCT((Capacity_Entsoe_SFS_2017!$A$3:$A$38='Abgleich Kapazität'!$A89)*(Capacity_Entsoe_SFS_2017!$D$1:$AL$1='Abgleich Kapazität'!M$79)*Capacity_Entsoe_SFS_2017!$D$3:$AK$38)+SUMPRODUCT((Capacity_Entsoe_SFS_2017!$A$3:$A$38='Abgleich Kapazität'!$A89)*(Capacity_Entsoe_SFS_2017!$D$1:$AL$1='Abgleich Kapazität'!M$78)*Capacity_Entsoe_SFS_2017!$D$3:$AK$38)+SUMPRODUCT((Capacity_Entsoe_SFS_2017!$A$3:$A$38='Abgleich Kapazität'!$A89)*(Capacity_Entsoe_SFS_2017!$D$1:$AL$1='Abgleich Kapazität'!M$77)*Capacity_Entsoe_SFS_2017!$D$3:$AK$38)+SUMPRODUCT((Capacity_Entsoe_SFS_2017!$A$3:$A$38='Abgleich Kapazität'!$A89)*(Capacity_Entsoe_SFS_2017!$D$1:$AL$1='Abgleich Kapazität'!M$76)*Capacity_Entsoe_SFS_2017!$D$3:$AK$38))/1000</f>
        <v>#VALUE!</v>
      </c>
      <c r="N89" s="26" t="e">
        <f>(SUMPRODUCT((Capacity_Entsoe_SFS_2017!$A$3:$A$38='Abgleich Kapazität'!$A89)*(Capacity_Entsoe_SFS_2017!$D$1:$AL$1='Abgleich Kapazität'!N$81)*Capacity_Entsoe_SFS_2017!$D$3:$AK$38)+SUMPRODUCT((Capacity_Entsoe_SFS_2017!$A$3:$A$38='Abgleich Kapazität'!$A89)*(Capacity_Entsoe_SFS_2017!$D$1:$AL$1='Abgleich Kapazität'!N$80)*Capacity_Entsoe_SFS_2017!$D$3:$AK$38)+SUMPRODUCT((Capacity_Entsoe_SFS_2017!$A$3:$A$38='Abgleich Kapazität'!$A89)*(Capacity_Entsoe_SFS_2017!$D$1:$AL$1='Abgleich Kapazität'!N$79)*Capacity_Entsoe_SFS_2017!$D$3:$AK$38)+SUMPRODUCT((Capacity_Entsoe_SFS_2017!$A$3:$A$38='Abgleich Kapazität'!$A89)*(Capacity_Entsoe_SFS_2017!$D$1:$AL$1='Abgleich Kapazität'!N$78)*Capacity_Entsoe_SFS_2017!$D$3:$AK$38)+SUMPRODUCT((Capacity_Entsoe_SFS_2017!$A$3:$A$38='Abgleich Kapazität'!$A89)*(Capacity_Entsoe_SFS_2017!$D$1:$AL$1='Abgleich Kapazität'!N$77)*Capacity_Entsoe_SFS_2017!$D$3:$AK$38)+SUMPRODUCT((Capacity_Entsoe_SFS_2017!$A$3:$A$38='Abgleich Kapazität'!$A89)*(Capacity_Entsoe_SFS_2017!$D$1:$AL$1='Abgleich Kapazität'!N$76)*Capacity_Entsoe_SFS_2017!$D$3:$AK$38))/1000</f>
        <v>#VALUE!</v>
      </c>
      <c r="O89" s="26" t="e">
        <f>(SUMPRODUCT((Capacity_Entsoe_SFS_2017!$A$3:$A$38='Abgleich Kapazität'!$A89)*(Capacity_Entsoe_SFS_2017!$D$1:$AL$1='Abgleich Kapazität'!O$81)*Capacity_Entsoe_SFS_2017!$D$3:$AK$38)+SUMPRODUCT((Capacity_Entsoe_SFS_2017!$A$3:$A$38='Abgleich Kapazität'!$A89)*(Capacity_Entsoe_SFS_2017!$D$1:$AL$1='Abgleich Kapazität'!O$80)*Capacity_Entsoe_SFS_2017!$D$3:$AK$38)+SUMPRODUCT((Capacity_Entsoe_SFS_2017!$A$3:$A$38='Abgleich Kapazität'!$A89)*(Capacity_Entsoe_SFS_2017!$D$1:$AL$1='Abgleich Kapazität'!O$79)*Capacity_Entsoe_SFS_2017!$D$3:$AK$38)+SUMPRODUCT((Capacity_Entsoe_SFS_2017!$A$3:$A$38='Abgleich Kapazität'!$A89)*(Capacity_Entsoe_SFS_2017!$D$1:$AL$1='Abgleich Kapazität'!O$78)*Capacity_Entsoe_SFS_2017!$D$3:$AK$38)+SUMPRODUCT((Capacity_Entsoe_SFS_2017!$A$3:$A$38='Abgleich Kapazität'!$A89)*(Capacity_Entsoe_SFS_2017!$D$1:$AL$1='Abgleich Kapazität'!O$77)*Capacity_Entsoe_SFS_2017!$D$3:$AK$38)+SUMPRODUCT((Capacity_Entsoe_SFS_2017!$A$3:$A$38='Abgleich Kapazität'!$A89)*(Capacity_Entsoe_SFS_2017!$D$1:$AL$1='Abgleich Kapazität'!O$76)*Capacity_Entsoe_SFS_2017!$D$3:$AK$38))/1000</f>
        <v>#VALUE!</v>
      </c>
      <c r="P89" s="26" t="e">
        <f>(SUMPRODUCT((Capacity_Entsoe_SFS_2017!$A$3:$A$38='Abgleich Kapazität'!$A89)*(Capacity_Entsoe_SFS_2017!$D$1:$AL$1='Abgleich Kapazität'!P$81)*Capacity_Entsoe_SFS_2017!$D$3:$AK$38)+SUMPRODUCT((Capacity_Entsoe_SFS_2017!$A$3:$A$38='Abgleich Kapazität'!$A89)*(Capacity_Entsoe_SFS_2017!$D$1:$AL$1='Abgleich Kapazität'!P$80)*Capacity_Entsoe_SFS_2017!$D$3:$AK$38)+SUMPRODUCT((Capacity_Entsoe_SFS_2017!$A$3:$A$38='Abgleich Kapazität'!$A89)*(Capacity_Entsoe_SFS_2017!$D$1:$AL$1='Abgleich Kapazität'!P$79)*Capacity_Entsoe_SFS_2017!$D$3:$AK$38)+SUMPRODUCT((Capacity_Entsoe_SFS_2017!$A$3:$A$38='Abgleich Kapazität'!$A89)*(Capacity_Entsoe_SFS_2017!$D$1:$AL$1='Abgleich Kapazität'!P$78)*Capacity_Entsoe_SFS_2017!$D$3:$AK$38)+SUMPRODUCT((Capacity_Entsoe_SFS_2017!$A$3:$A$38='Abgleich Kapazität'!$A89)*(Capacity_Entsoe_SFS_2017!$D$1:$AL$1='Abgleich Kapazität'!P$77)*Capacity_Entsoe_SFS_2017!$D$3:$AK$38)+SUMPRODUCT((Capacity_Entsoe_SFS_2017!$A$3:$A$38='Abgleich Kapazität'!$A89)*(Capacity_Entsoe_SFS_2017!$D$1:$AL$1='Abgleich Kapazität'!P$76)*Capacity_Entsoe_SFS_2017!$D$3:$AK$38))/1000</f>
        <v>#VALUE!</v>
      </c>
      <c r="Q89" s="26" t="e">
        <f>(SUMPRODUCT((Capacity_Entsoe_SFS_2017!$A$3:$A$38='Abgleich Kapazität'!$A89)*(Capacity_Entsoe_SFS_2017!$D$1:$AL$1='Abgleich Kapazität'!Q$81)*Capacity_Entsoe_SFS_2017!$D$3:$AK$38)+SUMPRODUCT((Capacity_Entsoe_SFS_2017!$A$3:$A$38='Abgleich Kapazität'!$A89)*(Capacity_Entsoe_SFS_2017!$D$1:$AL$1='Abgleich Kapazität'!Q$80)*Capacity_Entsoe_SFS_2017!$D$3:$AK$38)+SUMPRODUCT((Capacity_Entsoe_SFS_2017!$A$3:$A$38='Abgleich Kapazität'!$A89)*(Capacity_Entsoe_SFS_2017!$D$1:$AL$1='Abgleich Kapazität'!Q$79)*Capacity_Entsoe_SFS_2017!$D$3:$AK$38)+SUMPRODUCT((Capacity_Entsoe_SFS_2017!$A$3:$A$38='Abgleich Kapazität'!$A89)*(Capacity_Entsoe_SFS_2017!$D$1:$AL$1='Abgleich Kapazität'!Q$78)*Capacity_Entsoe_SFS_2017!$D$3:$AK$38)+SUMPRODUCT((Capacity_Entsoe_SFS_2017!$A$3:$A$38='Abgleich Kapazität'!$A89)*(Capacity_Entsoe_SFS_2017!$D$1:$AL$1='Abgleich Kapazität'!Q$77)*Capacity_Entsoe_SFS_2017!$D$3:$AK$38)+SUMPRODUCT((Capacity_Entsoe_SFS_2017!$A$3:$A$38='Abgleich Kapazität'!$A89)*(Capacity_Entsoe_SFS_2017!$D$1:$AL$1='Abgleich Kapazität'!Q$76)*Capacity_Entsoe_SFS_2017!$D$3:$AK$38))/1000</f>
        <v>#VALUE!</v>
      </c>
      <c r="R89" s="26" t="e">
        <f>(SUMPRODUCT((Capacity_Entsoe_SFS_2017!$A$3:$A$38='Abgleich Kapazität'!$A89)*(Capacity_Entsoe_SFS_2017!$D$1:$AL$1='Abgleich Kapazität'!R$81)*Capacity_Entsoe_SFS_2017!$D$3:$AK$38)+SUMPRODUCT((Capacity_Entsoe_SFS_2017!$A$3:$A$38='Abgleich Kapazität'!$A89)*(Capacity_Entsoe_SFS_2017!$D$1:$AL$1='Abgleich Kapazität'!R$80)*Capacity_Entsoe_SFS_2017!$D$3:$AK$38)+SUMPRODUCT((Capacity_Entsoe_SFS_2017!$A$3:$A$38='Abgleich Kapazität'!$A89)*(Capacity_Entsoe_SFS_2017!$D$1:$AL$1='Abgleich Kapazität'!R$79)*Capacity_Entsoe_SFS_2017!$D$3:$AK$38)+SUMPRODUCT((Capacity_Entsoe_SFS_2017!$A$3:$A$38='Abgleich Kapazität'!$A89)*(Capacity_Entsoe_SFS_2017!$D$1:$AL$1='Abgleich Kapazität'!R$78)*Capacity_Entsoe_SFS_2017!$D$3:$AK$38)+SUMPRODUCT((Capacity_Entsoe_SFS_2017!$A$3:$A$38='Abgleich Kapazität'!$A89)*(Capacity_Entsoe_SFS_2017!$D$1:$AL$1='Abgleich Kapazität'!R$77)*Capacity_Entsoe_SFS_2017!$D$3:$AK$38)+SUMPRODUCT((Capacity_Entsoe_SFS_2017!$A$3:$A$38='Abgleich Kapazität'!$A89)*(Capacity_Entsoe_SFS_2017!$D$1:$AL$1='Abgleich Kapazität'!R$76)*Capacity_Entsoe_SFS_2017!$D$3:$AK$38))/1000</f>
        <v>#VALUE!</v>
      </c>
      <c r="S89" s="26" t="e">
        <f>(SUMPRODUCT((Capacity_Entsoe_SFS_2017!$A$3:$A$38='Abgleich Kapazität'!$A89)*(Capacity_Entsoe_SFS_2017!$D$1:$AL$1='Abgleich Kapazität'!S$81)*Capacity_Entsoe_SFS_2017!$D$3:$AK$38)+SUMPRODUCT((Capacity_Entsoe_SFS_2017!$A$3:$A$38='Abgleich Kapazität'!$A89)*(Capacity_Entsoe_SFS_2017!$D$1:$AL$1='Abgleich Kapazität'!S$80)*Capacity_Entsoe_SFS_2017!$D$3:$AK$38)+SUMPRODUCT((Capacity_Entsoe_SFS_2017!$A$3:$A$38='Abgleich Kapazität'!$A89)*(Capacity_Entsoe_SFS_2017!$D$1:$AL$1='Abgleich Kapazität'!S$79)*Capacity_Entsoe_SFS_2017!$D$3:$AK$38)+SUMPRODUCT((Capacity_Entsoe_SFS_2017!$A$3:$A$38='Abgleich Kapazität'!$A89)*(Capacity_Entsoe_SFS_2017!$D$1:$AL$1='Abgleich Kapazität'!S$78)*Capacity_Entsoe_SFS_2017!$D$3:$AK$38)+SUMPRODUCT((Capacity_Entsoe_SFS_2017!$A$3:$A$38='Abgleich Kapazität'!$A89)*(Capacity_Entsoe_SFS_2017!$D$1:$AL$1='Abgleich Kapazität'!S$77)*Capacity_Entsoe_SFS_2017!$D$3:$AK$38)+SUMPRODUCT((Capacity_Entsoe_SFS_2017!$A$3:$A$38='Abgleich Kapazität'!$A89)*(Capacity_Entsoe_SFS_2017!$D$1:$AL$1='Abgleich Kapazität'!S$76)*Capacity_Entsoe_SFS_2017!$D$3:$AK$38))/1000</f>
        <v>#VALUE!</v>
      </c>
      <c r="T89" s="26" t="e">
        <f>(SUMPRODUCT((Capacity_Entsoe_SFS_2017!$A$3:$A$38='Abgleich Kapazität'!$A89)*(Capacity_Entsoe_SFS_2017!$D$1:$AL$1='Abgleich Kapazität'!T$81)*Capacity_Entsoe_SFS_2017!$D$3:$AK$38)+SUMPRODUCT((Capacity_Entsoe_SFS_2017!$A$3:$A$38='Abgleich Kapazität'!$A89)*(Capacity_Entsoe_SFS_2017!$D$1:$AL$1='Abgleich Kapazität'!T$80)*Capacity_Entsoe_SFS_2017!$D$3:$AK$38)+SUMPRODUCT((Capacity_Entsoe_SFS_2017!$A$3:$A$38='Abgleich Kapazität'!$A89)*(Capacity_Entsoe_SFS_2017!$D$1:$AL$1='Abgleich Kapazität'!T$79)*Capacity_Entsoe_SFS_2017!$D$3:$AK$38)+SUMPRODUCT((Capacity_Entsoe_SFS_2017!$A$3:$A$38='Abgleich Kapazität'!$A89)*(Capacity_Entsoe_SFS_2017!$D$1:$AL$1='Abgleich Kapazität'!T$78)*Capacity_Entsoe_SFS_2017!$D$3:$AK$38)+SUMPRODUCT((Capacity_Entsoe_SFS_2017!$A$3:$A$38='Abgleich Kapazität'!$A89)*(Capacity_Entsoe_SFS_2017!$D$1:$AL$1='Abgleich Kapazität'!T$77)*Capacity_Entsoe_SFS_2017!$D$3:$AK$38)+SUMPRODUCT((Capacity_Entsoe_SFS_2017!$A$3:$A$38='Abgleich Kapazität'!$A89)*(Capacity_Entsoe_SFS_2017!$D$1:$AL$1='Abgleich Kapazität'!T$76)*Capacity_Entsoe_SFS_2017!$D$3:$AK$38))/1000</f>
        <v>#VALUE!</v>
      </c>
      <c r="U89" s="26" t="e">
        <f>(SUMPRODUCT((Capacity_Entsoe_SFS_2017!$A$3:$A$38='Abgleich Kapazität'!$A89)*(Capacity_Entsoe_SFS_2017!$D$1:$AL$1='Abgleich Kapazität'!U$81)*Capacity_Entsoe_SFS_2017!$D$3:$AK$38)+SUMPRODUCT((Capacity_Entsoe_SFS_2017!$A$3:$A$38='Abgleich Kapazität'!$A89)*(Capacity_Entsoe_SFS_2017!$D$1:$AL$1='Abgleich Kapazität'!U$80)*Capacity_Entsoe_SFS_2017!$D$3:$AK$38)+SUMPRODUCT((Capacity_Entsoe_SFS_2017!$A$3:$A$38='Abgleich Kapazität'!$A89)*(Capacity_Entsoe_SFS_2017!$D$1:$AL$1='Abgleich Kapazität'!U$79)*Capacity_Entsoe_SFS_2017!$D$3:$AK$38)+SUMPRODUCT((Capacity_Entsoe_SFS_2017!$A$3:$A$38='Abgleich Kapazität'!$A89)*(Capacity_Entsoe_SFS_2017!$D$1:$AL$1='Abgleich Kapazität'!U$78)*Capacity_Entsoe_SFS_2017!$D$3:$AK$38)+SUMPRODUCT((Capacity_Entsoe_SFS_2017!$A$3:$A$38='Abgleich Kapazität'!$A89)*(Capacity_Entsoe_SFS_2017!$D$1:$AL$1='Abgleich Kapazität'!U$77)*Capacity_Entsoe_SFS_2017!$D$3:$AK$38)+SUMPRODUCT((Capacity_Entsoe_SFS_2017!$A$3:$A$38='Abgleich Kapazität'!$A89)*(Capacity_Entsoe_SFS_2017!$D$1:$AL$1='Abgleich Kapazität'!U$76)*Capacity_Entsoe_SFS_2017!$D$3:$AK$38))/1000</f>
        <v>#VALUE!</v>
      </c>
      <c r="V89" s="27" t="e">
        <f t="shared" si="80"/>
        <v>#VALUE!</v>
      </c>
    </row>
    <row r="90" spans="1:22" x14ac:dyDescent="0.25">
      <c r="A90" s="14" t="s">
        <v>16</v>
      </c>
      <c r="B90" s="57" t="e">
        <f t="shared" si="77"/>
        <v>#VALUE!</v>
      </c>
      <c r="C90" s="58" t="e">
        <f>(SUMPRODUCT((Capacity_Entsoe_SFS_2017!$A$3:$A$38='Abgleich Kapazität'!$A90)*(Capacity_Entsoe_SFS_2017!$D$1:$AL$1='Abgleich Kapazität'!C$81)*Capacity_Entsoe_SFS_2017!$D$3:$AK$38)+SUMPRODUCT((Capacity_Entsoe_SFS_2017!$A$3:$A$38='Abgleich Kapazität'!$A90)*(Capacity_Entsoe_SFS_2017!$D$1:$AL$1='Abgleich Kapazität'!C$80)*Capacity_Entsoe_SFS_2017!$D$3:$AK$38)+SUMPRODUCT((Capacity_Entsoe_SFS_2017!$A$3:$A$38='Abgleich Kapazität'!$A90)*(Capacity_Entsoe_SFS_2017!$D$1:$AL$1='Abgleich Kapazität'!C$79)*Capacity_Entsoe_SFS_2017!$D$3:$AK$38)+SUMPRODUCT((Capacity_Entsoe_SFS_2017!$A$3:$A$38='Abgleich Kapazität'!$A90)*(Capacity_Entsoe_SFS_2017!$D$1:$AL$1='Abgleich Kapazität'!C$78)*Capacity_Entsoe_SFS_2017!$D$3:$AK$38))/1000</f>
        <v>#VALUE!</v>
      </c>
      <c r="D90" s="58" t="e">
        <f t="shared" si="78"/>
        <v>#VALUE!</v>
      </c>
      <c r="E90" s="58" t="e">
        <f>(SUMPRODUCT((Capacity_Entsoe_SFS_2017!$A$3:$A$38='Abgleich Kapazität'!$A90)*(Capacity_Entsoe_SFS_2017!$D$1:$AL$1='Abgleich Kapazität'!E$81)*Capacity_Entsoe_SFS_2017!$D$3:$AK$38)+SUMPRODUCT((Capacity_Entsoe_SFS_2017!$A$3:$A$38='Abgleich Kapazität'!$A90)*(Capacity_Entsoe_SFS_2017!$D$1:$AL$1='Abgleich Kapazität'!E$80)*Capacity_Entsoe_SFS_2017!$D$3:$AK$38)+SUMPRODUCT((Capacity_Entsoe_SFS_2017!$A$3:$A$38='Abgleich Kapazität'!$A90)*(Capacity_Entsoe_SFS_2017!$D$1:$AL$1='Abgleich Kapazität'!E$79)*Capacity_Entsoe_SFS_2017!$D$3:$AK$38)+SUMPRODUCT((Capacity_Entsoe_SFS_2017!$A$3:$A$38='Abgleich Kapazität'!$A90)*(Capacity_Entsoe_SFS_2017!$D$1:$AL$1='Abgleich Kapazität'!E$78)*Capacity_Entsoe_SFS_2017!$D$3:$AK$38))/1000</f>
        <v>#VALUE!</v>
      </c>
      <c r="F90" s="58" t="e">
        <f>(SUMPRODUCT((Capacity_Entsoe_SFS_2017!$A$3:$A$38='Abgleich Kapazität'!$A90)*(Capacity_Entsoe_SFS_2017!$D$1:$AL$1='Abgleich Kapazität'!F$81)*Capacity_Entsoe_SFS_2017!$D$3:$AK$38)+SUMPRODUCT((Capacity_Entsoe_SFS_2017!$A$3:$A$38='Abgleich Kapazität'!$A90)*(Capacity_Entsoe_SFS_2017!$D$1:$AL$1='Abgleich Kapazität'!F$80)*Capacity_Entsoe_SFS_2017!$D$3:$AK$38)+SUMPRODUCT((Capacity_Entsoe_SFS_2017!$A$3:$A$38='Abgleich Kapazität'!$A90)*(Capacity_Entsoe_SFS_2017!$D$1:$AL$1='Abgleich Kapazität'!F$79)*Capacity_Entsoe_SFS_2017!$D$3:$AK$38)+SUMPRODUCT((Capacity_Entsoe_SFS_2017!$A$3:$A$38='Abgleich Kapazität'!$A90)*(Capacity_Entsoe_SFS_2017!$D$1:$AL$1='Abgleich Kapazität'!F$78)*Capacity_Entsoe_SFS_2017!$D$3:$AK$38))/1000</f>
        <v>#VALUE!</v>
      </c>
      <c r="G90" s="58" t="e">
        <f>(SUMPRODUCT((Capacity_Entsoe_SFS_2017!$A$3:$A$38='Abgleich Kapazität'!$A90)*(Capacity_Entsoe_SFS_2017!$D$1:$AL$1='Abgleich Kapazität'!G$81)*Capacity_Entsoe_SFS_2017!$D$3:$AK$38)+SUMPRODUCT((Capacity_Entsoe_SFS_2017!$A$3:$A$38='Abgleich Kapazität'!$A90)*(Capacity_Entsoe_SFS_2017!$D$1:$AL$1='Abgleich Kapazität'!G$80)*Capacity_Entsoe_SFS_2017!$D$3:$AK$38)+SUMPRODUCT((Capacity_Entsoe_SFS_2017!$A$3:$A$38='Abgleich Kapazität'!$A90)*(Capacity_Entsoe_SFS_2017!$D$1:$AL$1='Abgleich Kapazität'!G$79)*Capacity_Entsoe_SFS_2017!$D$3:$AK$38)+SUMPRODUCT((Capacity_Entsoe_SFS_2017!$A$3:$A$38='Abgleich Kapazität'!$A90)*(Capacity_Entsoe_SFS_2017!$D$1:$AL$1='Abgleich Kapazität'!G$78)*Capacity_Entsoe_SFS_2017!$D$3:$AK$38))/1000</f>
        <v>#VALUE!</v>
      </c>
      <c r="H90" s="58" t="e">
        <f>(SUMPRODUCT((Capacity_Entsoe_SFS_2017!$A$3:$A$38='Abgleich Kapazität'!$A90)*(Capacity_Entsoe_SFS_2017!$D$1:$AL$1='Abgleich Kapazität'!H$81)*Capacity_Entsoe_SFS_2017!$D$3:$AK$38)+SUMPRODUCT((Capacity_Entsoe_SFS_2017!$A$3:$A$38='Abgleich Kapazität'!$A90)*(Capacity_Entsoe_SFS_2017!$D$1:$AL$1='Abgleich Kapazität'!H$80)*Capacity_Entsoe_SFS_2017!$D$3:$AK$38)+SUMPRODUCT((Capacity_Entsoe_SFS_2017!$A$3:$A$38='Abgleich Kapazität'!$A90)*(Capacity_Entsoe_SFS_2017!$D$1:$AL$1='Abgleich Kapazität'!H$79)*Capacity_Entsoe_SFS_2017!$D$3:$AK$38)+SUMPRODUCT((Capacity_Entsoe_SFS_2017!$A$3:$A$38='Abgleich Kapazität'!$A90)*(Capacity_Entsoe_SFS_2017!$D$1:$AL$1='Abgleich Kapazität'!H$78)*Capacity_Entsoe_SFS_2017!$D$3:$AK$38))/1000</f>
        <v>#VALUE!</v>
      </c>
      <c r="I90" s="58" t="e">
        <f>(SUMPRODUCT((Capacity_Entsoe_SFS_2017!$A$3:$A$38='Abgleich Kapazität'!$A90)*(Capacity_Entsoe_SFS_2017!$D$1:$AL$1='Abgleich Kapazität'!I$81)*Capacity_Entsoe_SFS_2017!$D$3:$AK$38)+SUMPRODUCT((Capacity_Entsoe_SFS_2017!$A$3:$A$38='Abgleich Kapazität'!$A90)*(Capacity_Entsoe_SFS_2017!$D$1:$AL$1='Abgleich Kapazität'!I$80)*Capacity_Entsoe_SFS_2017!$D$3:$AK$38)+SUMPRODUCT((Capacity_Entsoe_SFS_2017!$A$3:$A$38='Abgleich Kapazität'!$A90)*(Capacity_Entsoe_SFS_2017!$D$1:$AL$1='Abgleich Kapazität'!I$79)*Capacity_Entsoe_SFS_2017!$D$3:$AK$38)+SUMPRODUCT((Capacity_Entsoe_SFS_2017!$A$3:$A$38='Abgleich Kapazität'!$A90)*(Capacity_Entsoe_SFS_2017!$D$1:$AL$1='Abgleich Kapazität'!I$78)*Capacity_Entsoe_SFS_2017!$D$3:$AK$38))/1000</f>
        <v>#VALUE!</v>
      </c>
      <c r="J90" s="58" t="e">
        <f>(SUMPRODUCT((Capacity_Entsoe_SFS_2017!$A$3:$A$38='Abgleich Kapazität'!$A90)*(Capacity_Entsoe_SFS_2017!$D$1:$AL$1='Abgleich Kapazität'!J$81)*Capacity_Entsoe_SFS_2017!$D$3:$AK$38)+SUMPRODUCT((Capacity_Entsoe_SFS_2017!$A$3:$A$38='Abgleich Kapazität'!$A90)*(Capacity_Entsoe_SFS_2017!$D$1:$AL$1='Abgleich Kapazität'!J$80)*Capacity_Entsoe_SFS_2017!$D$3:$AK$38)+SUMPRODUCT((Capacity_Entsoe_SFS_2017!$A$3:$A$38='Abgleich Kapazität'!$A90)*(Capacity_Entsoe_SFS_2017!$D$1:$AL$1='Abgleich Kapazität'!J$79)*Capacity_Entsoe_SFS_2017!$D$3:$AK$38)+SUMPRODUCT((Capacity_Entsoe_SFS_2017!$A$3:$A$38='Abgleich Kapazität'!$A90)*(Capacity_Entsoe_SFS_2017!$D$1:$AL$1='Abgleich Kapazität'!J$78)*Capacity_Entsoe_SFS_2017!$D$3:$AK$38))/1000</f>
        <v>#VALUE!</v>
      </c>
      <c r="K90" s="59" t="e">
        <f t="shared" si="79"/>
        <v>#VALUE!</v>
      </c>
      <c r="L90" s="58" t="e">
        <f>(SUMPRODUCT((Capacity_Entsoe_SFS_2017!$A$3:$A$38='Abgleich Kapazität'!$A90)*(Capacity_Entsoe_SFS_2017!$D$1:$AL$1='Abgleich Kapazität'!L$81)*Capacity_Entsoe_SFS_2017!$D$3:$AK$38)+SUMPRODUCT((Capacity_Entsoe_SFS_2017!$A$3:$A$38='Abgleich Kapazität'!$A90)*(Capacity_Entsoe_SFS_2017!$D$1:$AL$1='Abgleich Kapazität'!L$80)*Capacity_Entsoe_SFS_2017!$D$3:$AK$38)+SUMPRODUCT((Capacity_Entsoe_SFS_2017!$A$3:$A$38='Abgleich Kapazität'!$A90)*(Capacity_Entsoe_SFS_2017!$D$1:$AL$1='Abgleich Kapazität'!L$79)*Capacity_Entsoe_SFS_2017!$D$3:$AK$38)+SUMPRODUCT((Capacity_Entsoe_SFS_2017!$A$3:$A$38='Abgleich Kapazität'!$A90)*(Capacity_Entsoe_SFS_2017!$D$1:$AL$1='Abgleich Kapazität'!L$78)*Capacity_Entsoe_SFS_2017!$D$3:$AK$38)+SUMPRODUCT((Capacity_Entsoe_SFS_2017!$A$3:$A$38='Abgleich Kapazität'!$A90)*(Capacity_Entsoe_SFS_2017!$D$1:$AL$1='Abgleich Kapazität'!L$77)*Capacity_Entsoe_SFS_2017!$D$3:$AK$38)+SUMPRODUCT((Capacity_Entsoe_SFS_2017!$A$3:$A$38='Abgleich Kapazität'!$A90)*(Capacity_Entsoe_SFS_2017!$D$1:$AL$1='Abgleich Kapazität'!L$76)*Capacity_Entsoe_SFS_2017!$D$3:$AK$38))/1000</f>
        <v>#VALUE!</v>
      </c>
      <c r="M90" s="58" t="e">
        <f>(SUMPRODUCT((Capacity_Entsoe_SFS_2017!$A$3:$A$38='Abgleich Kapazität'!$A90)*(Capacity_Entsoe_SFS_2017!$D$1:$AL$1='Abgleich Kapazität'!M$81)*Capacity_Entsoe_SFS_2017!$D$3:$AK$38)+SUMPRODUCT((Capacity_Entsoe_SFS_2017!$A$3:$A$38='Abgleich Kapazität'!$A90)*(Capacity_Entsoe_SFS_2017!$D$1:$AL$1='Abgleich Kapazität'!M$80)*Capacity_Entsoe_SFS_2017!$D$3:$AK$38)+SUMPRODUCT((Capacity_Entsoe_SFS_2017!$A$3:$A$38='Abgleich Kapazität'!$A90)*(Capacity_Entsoe_SFS_2017!$D$1:$AL$1='Abgleich Kapazität'!M$79)*Capacity_Entsoe_SFS_2017!$D$3:$AK$38)+SUMPRODUCT((Capacity_Entsoe_SFS_2017!$A$3:$A$38='Abgleich Kapazität'!$A90)*(Capacity_Entsoe_SFS_2017!$D$1:$AL$1='Abgleich Kapazität'!M$78)*Capacity_Entsoe_SFS_2017!$D$3:$AK$38)+SUMPRODUCT((Capacity_Entsoe_SFS_2017!$A$3:$A$38='Abgleich Kapazität'!$A90)*(Capacity_Entsoe_SFS_2017!$D$1:$AL$1='Abgleich Kapazität'!M$77)*Capacity_Entsoe_SFS_2017!$D$3:$AK$38)+SUMPRODUCT((Capacity_Entsoe_SFS_2017!$A$3:$A$38='Abgleich Kapazität'!$A90)*(Capacity_Entsoe_SFS_2017!$D$1:$AL$1='Abgleich Kapazität'!M$76)*Capacity_Entsoe_SFS_2017!$D$3:$AK$38))/1000</f>
        <v>#VALUE!</v>
      </c>
      <c r="N90" s="58" t="e">
        <f>(SUMPRODUCT((Capacity_Entsoe_SFS_2017!$A$3:$A$38='Abgleich Kapazität'!$A90)*(Capacity_Entsoe_SFS_2017!$D$1:$AL$1='Abgleich Kapazität'!N$81)*Capacity_Entsoe_SFS_2017!$D$3:$AK$38)+SUMPRODUCT((Capacity_Entsoe_SFS_2017!$A$3:$A$38='Abgleich Kapazität'!$A90)*(Capacity_Entsoe_SFS_2017!$D$1:$AL$1='Abgleich Kapazität'!N$80)*Capacity_Entsoe_SFS_2017!$D$3:$AK$38)+SUMPRODUCT((Capacity_Entsoe_SFS_2017!$A$3:$A$38='Abgleich Kapazität'!$A90)*(Capacity_Entsoe_SFS_2017!$D$1:$AL$1='Abgleich Kapazität'!N$79)*Capacity_Entsoe_SFS_2017!$D$3:$AK$38)+SUMPRODUCT((Capacity_Entsoe_SFS_2017!$A$3:$A$38='Abgleich Kapazität'!$A90)*(Capacity_Entsoe_SFS_2017!$D$1:$AL$1='Abgleich Kapazität'!N$78)*Capacity_Entsoe_SFS_2017!$D$3:$AK$38)+SUMPRODUCT((Capacity_Entsoe_SFS_2017!$A$3:$A$38='Abgleich Kapazität'!$A90)*(Capacity_Entsoe_SFS_2017!$D$1:$AL$1='Abgleich Kapazität'!N$77)*Capacity_Entsoe_SFS_2017!$D$3:$AK$38)+SUMPRODUCT((Capacity_Entsoe_SFS_2017!$A$3:$A$38='Abgleich Kapazität'!$A90)*(Capacity_Entsoe_SFS_2017!$D$1:$AL$1='Abgleich Kapazität'!N$76)*Capacity_Entsoe_SFS_2017!$D$3:$AK$38))/1000</f>
        <v>#VALUE!</v>
      </c>
      <c r="O90" s="58" t="e">
        <f>(SUMPRODUCT((Capacity_Entsoe_SFS_2017!$A$3:$A$38='Abgleich Kapazität'!$A90)*(Capacity_Entsoe_SFS_2017!$D$1:$AL$1='Abgleich Kapazität'!O$81)*Capacity_Entsoe_SFS_2017!$D$3:$AK$38)+SUMPRODUCT((Capacity_Entsoe_SFS_2017!$A$3:$A$38='Abgleich Kapazität'!$A90)*(Capacity_Entsoe_SFS_2017!$D$1:$AL$1='Abgleich Kapazität'!O$80)*Capacity_Entsoe_SFS_2017!$D$3:$AK$38)+SUMPRODUCT((Capacity_Entsoe_SFS_2017!$A$3:$A$38='Abgleich Kapazität'!$A90)*(Capacity_Entsoe_SFS_2017!$D$1:$AL$1='Abgleich Kapazität'!O$79)*Capacity_Entsoe_SFS_2017!$D$3:$AK$38)+SUMPRODUCT((Capacity_Entsoe_SFS_2017!$A$3:$A$38='Abgleich Kapazität'!$A90)*(Capacity_Entsoe_SFS_2017!$D$1:$AL$1='Abgleich Kapazität'!O$78)*Capacity_Entsoe_SFS_2017!$D$3:$AK$38)+SUMPRODUCT((Capacity_Entsoe_SFS_2017!$A$3:$A$38='Abgleich Kapazität'!$A90)*(Capacity_Entsoe_SFS_2017!$D$1:$AL$1='Abgleich Kapazität'!O$77)*Capacity_Entsoe_SFS_2017!$D$3:$AK$38)+SUMPRODUCT((Capacity_Entsoe_SFS_2017!$A$3:$A$38='Abgleich Kapazität'!$A90)*(Capacity_Entsoe_SFS_2017!$D$1:$AL$1='Abgleich Kapazität'!O$76)*Capacity_Entsoe_SFS_2017!$D$3:$AK$38))/1000</f>
        <v>#VALUE!</v>
      </c>
      <c r="P90" s="58" t="e">
        <f>(SUMPRODUCT((Capacity_Entsoe_SFS_2017!$A$3:$A$38='Abgleich Kapazität'!$A90)*(Capacity_Entsoe_SFS_2017!$D$1:$AL$1='Abgleich Kapazität'!P$81)*Capacity_Entsoe_SFS_2017!$D$3:$AK$38)+SUMPRODUCT((Capacity_Entsoe_SFS_2017!$A$3:$A$38='Abgleich Kapazität'!$A90)*(Capacity_Entsoe_SFS_2017!$D$1:$AL$1='Abgleich Kapazität'!P$80)*Capacity_Entsoe_SFS_2017!$D$3:$AK$38)+SUMPRODUCT((Capacity_Entsoe_SFS_2017!$A$3:$A$38='Abgleich Kapazität'!$A90)*(Capacity_Entsoe_SFS_2017!$D$1:$AL$1='Abgleich Kapazität'!P$79)*Capacity_Entsoe_SFS_2017!$D$3:$AK$38)+SUMPRODUCT((Capacity_Entsoe_SFS_2017!$A$3:$A$38='Abgleich Kapazität'!$A90)*(Capacity_Entsoe_SFS_2017!$D$1:$AL$1='Abgleich Kapazität'!P$78)*Capacity_Entsoe_SFS_2017!$D$3:$AK$38)+SUMPRODUCT((Capacity_Entsoe_SFS_2017!$A$3:$A$38='Abgleich Kapazität'!$A90)*(Capacity_Entsoe_SFS_2017!$D$1:$AL$1='Abgleich Kapazität'!P$77)*Capacity_Entsoe_SFS_2017!$D$3:$AK$38)+SUMPRODUCT((Capacity_Entsoe_SFS_2017!$A$3:$A$38='Abgleich Kapazität'!$A90)*(Capacity_Entsoe_SFS_2017!$D$1:$AL$1='Abgleich Kapazität'!P$76)*Capacity_Entsoe_SFS_2017!$D$3:$AK$38))/1000</f>
        <v>#VALUE!</v>
      </c>
      <c r="Q90" s="58" t="e">
        <f>(SUMPRODUCT((Capacity_Entsoe_SFS_2017!$A$3:$A$38='Abgleich Kapazität'!$A90)*(Capacity_Entsoe_SFS_2017!$D$1:$AL$1='Abgleich Kapazität'!Q$81)*Capacity_Entsoe_SFS_2017!$D$3:$AK$38)+SUMPRODUCT((Capacity_Entsoe_SFS_2017!$A$3:$A$38='Abgleich Kapazität'!$A90)*(Capacity_Entsoe_SFS_2017!$D$1:$AL$1='Abgleich Kapazität'!Q$80)*Capacity_Entsoe_SFS_2017!$D$3:$AK$38)+SUMPRODUCT((Capacity_Entsoe_SFS_2017!$A$3:$A$38='Abgleich Kapazität'!$A90)*(Capacity_Entsoe_SFS_2017!$D$1:$AL$1='Abgleich Kapazität'!Q$79)*Capacity_Entsoe_SFS_2017!$D$3:$AK$38)+SUMPRODUCT((Capacity_Entsoe_SFS_2017!$A$3:$A$38='Abgleich Kapazität'!$A90)*(Capacity_Entsoe_SFS_2017!$D$1:$AL$1='Abgleich Kapazität'!Q$78)*Capacity_Entsoe_SFS_2017!$D$3:$AK$38)+SUMPRODUCT((Capacity_Entsoe_SFS_2017!$A$3:$A$38='Abgleich Kapazität'!$A90)*(Capacity_Entsoe_SFS_2017!$D$1:$AL$1='Abgleich Kapazität'!Q$77)*Capacity_Entsoe_SFS_2017!$D$3:$AK$38)+SUMPRODUCT((Capacity_Entsoe_SFS_2017!$A$3:$A$38='Abgleich Kapazität'!$A90)*(Capacity_Entsoe_SFS_2017!$D$1:$AL$1='Abgleich Kapazität'!Q$76)*Capacity_Entsoe_SFS_2017!$D$3:$AK$38))/1000</f>
        <v>#VALUE!</v>
      </c>
      <c r="R90" s="58" t="e">
        <f>(SUMPRODUCT((Capacity_Entsoe_SFS_2017!$A$3:$A$38='Abgleich Kapazität'!$A90)*(Capacity_Entsoe_SFS_2017!$D$1:$AL$1='Abgleich Kapazität'!R$81)*Capacity_Entsoe_SFS_2017!$D$3:$AK$38)+SUMPRODUCT((Capacity_Entsoe_SFS_2017!$A$3:$A$38='Abgleich Kapazität'!$A90)*(Capacity_Entsoe_SFS_2017!$D$1:$AL$1='Abgleich Kapazität'!R$80)*Capacity_Entsoe_SFS_2017!$D$3:$AK$38)+SUMPRODUCT((Capacity_Entsoe_SFS_2017!$A$3:$A$38='Abgleich Kapazität'!$A90)*(Capacity_Entsoe_SFS_2017!$D$1:$AL$1='Abgleich Kapazität'!R$79)*Capacity_Entsoe_SFS_2017!$D$3:$AK$38)+SUMPRODUCT((Capacity_Entsoe_SFS_2017!$A$3:$A$38='Abgleich Kapazität'!$A90)*(Capacity_Entsoe_SFS_2017!$D$1:$AL$1='Abgleich Kapazität'!R$78)*Capacity_Entsoe_SFS_2017!$D$3:$AK$38)+SUMPRODUCT((Capacity_Entsoe_SFS_2017!$A$3:$A$38='Abgleich Kapazität'!$A90)*(Capacity_Entsoe_SFS_2017!$D$1:$AL$1='Abgleich Kapazität'!R$77)*Capacity_Entsoe_SFS_2017!$D$3:$AK$38)+SUMPRODUCT((Capacity_Entsoe_SFS_2017!$A$3:$A$38='Abgleich Kapazität'!$A90)*(Capacity_Entsoe_SFS_2017!$D$1:$AL$1='Abgleich Kapazität'!R$76)*Capacity_Entsoe_SFS_2017!$D$3:$AK$38))/1000</f>
        <v>#VALUE!</v>
      </c>
      <c r="S90" s="58" t="e">
        <f>(SUMPRODUCT((Capacity_Entsoe_SFS_2017!$A$3:$A$38='Abgleich Kapazität'!$A90)*(Capacity_Entsoe_SFS_2017!$D$1:$AL$1='Abgleich Kapazität'!S$81)*Capacity_Entsoe_SFS_2017!$D$3:$AK$38)+SUMPRODUCT((Capacity_Entsoe_SFS_2017!$A$3:$A$38='Abgleich Kapazität'!$A90)*(Capacity_Entsoe_SFS_2017!$D$1:$AL$1='Abgleich Kapazität'!S$80)*Capacity_Entsoe_SFS_2017!$D$3:$AK$38)+SUMPRODUCT((Capacity_Entsoe_SFS_2017!$A$3:$A$38='Abgleich Kapazität'!$A90)*(Capacity_Entsoe_SFS_2017!$D$1:$AL$1='Abgleich Kapazität'!S$79)*Capacity_Entsoe_SFS_2017!$D$3:$AK$38)+SUMPRODUCT((Capacity_Entsoe_SFS_2017!$A$3:$A$38='Abgleich Kapazität'!$A90)*(Capacity_Entsoe_SFS_2017!$D$1:$AL$1='Abgleich Kapazität'!S$78)*Capacity_Entsoe_SFS_2017!$D$3:$AK$38)+SUMPRODUCT((Capacity_Entsoe_SFS_2017!$A$3:$A$38='Abgleich Kapazität'!$A90)*(Capacity_Entsoe_SFS_2017!$D$1:$AL$1='Abgleich Kapazität'!S$77)*Capacity_Entsoe_SFS_2017!$D$3:$AK$38)+SUMPRODUCT((Capacity_Entsoe_SFS_2017!$A$3:$A$38='Abgleich Kapazität'!$A90)*(Capacity_Entsoe_SFS_2017!$D$1:$AL$1='Abgleich Kapazität'!S$76)*Capacity_Entsoe_SFS_2017!$D$3:$AK$38))/1000</f>
        <v>#VALUE!</v>
      </c>
      <c r="T90" s="58" t="e">
        <f>(SUMPRODUCT((Capacity_Entsoe_SFS_2017!$A$3:$A$38='Abgleich Kapazität'!$A90)*(Capacity_Entsoe_SFS_2017!$D$1:$AL$1='Abgleich Kapazität'!T$81)*Capacity_Entsoe_SFS_2017!$D$3:$AK$38)+SUMPRODUCT((Capacity_Entsoe_SFS_2017!$A$3:$A$38='Abgleich Kapazität'!$A90)*(Capacity_Entsoe_SFS_2017!$D$1:$AL$1='Abgleich Kapazität'!T$80)*Capacity_Entsoe_SFS_2017!$D$3:$AK$38)+SUMPRODUCT((Capacity_Entsoe_SFS_2017!$A$3:$A$38='Abgleich Kapazität'!$A90)*(Capacity_Entsoe_SFS_2017!$D$1:$AL$1='Abgleich Kapazität'!T$79)*Capacity_Entsoe_SFS_2017!$D$3:$AK$38)+SUMPRODUCT((Capacity_Entsoe_SFS_2017!$A$3:$A$38='Abgleich Kapazität'!$A90)*(Capacity_Entsoe_SFS_2017!$D$1:$AL$1='Abgleich Kapazität'!T$78)*Capacity_Entsoe_SFS_2017!$D$3:$AK$38)+SUMPRODUCT((Capacity_Entsoe_SFS_2017!$A$3:$A$38='Abgleich Kapazität'!$A90)*(Capacity_Entsoe_SFS_2017!$D$1:$AL$1='Abgleich Kapazität'!T$77)*Capacity_Entsoe_SFS_2017!$D$3:$AK$38)+SUMPRODUCT((Capacity_Entsoe_SFS_2017!$A$3:$A$38='Abgleich Kapazität'!$A90)*(Capacity_Entsoe_SFS_2017!$D$1:$AL$1='Abgleich Kapazität'!T$76)*Capacity_Entsoe_SFS_2017!$D$3:$AK$38))/1000</f>
        <v>#VALUE!</v>
      </c>
      <c r="U90" s="58" t="e">
        <f>(SUMPRODUCT((Capacity_Entsoe_SFS_2017!$A$3:$A$38='Abgleich Kapazität'!$A90)*(Capacity_Entsoe_SFS_2017!$D$1:$AL$1='Abgleich Kapazität'!U$81)*Capacity_Entsoe_SFS_2017!$D$3:$AK$38)+SUMPRODUCT((Capacity_Entsoe_SFS_2017!$A$3:$A$38='Abgleich Kapazität'!$A90)*(Capacity_Entsoe_SFS_2017!$D$1:$AL$1='Abgleich Kapazität'!U$80)*Capacity_Entsoe_SFS_2017!$D$3:$AK$38)+SUMPRODUCT((Capacity_Entsoe_SFS_2017!$A$3:$A$38='Abgleich Kapazität'!$A90)*(Capacity_Entsoe_SFS_2017!$D$1:$AL$1='Abgleich Kapazität'!U$79)*Capacity_Entsoe_SFS_2017!$D$3:$AK$38)+SUMPRODUCT((Capacity_Entsoe_SFS_2017!$A$3:$A$38='Abgleich Kapazität'!$A90)*(Capacity_Entsoe_SFS_2017!$D$1:$AL$1='Abgleich Kapazität'!U$78)*Capacity_Entsoe_SFS_2017!$D$3:$AK$38)+SUMPRODUCT((Capacity_Entsoe_SFS_2017!$A$3:$A$38='Abgleich Kapazität'!$A90)*(Capacity_Entsoe_SFS_2017!$D$1:$AL$1='Abgleich Kapazität'!U$77)*Capacity_Entsoe_SFS_2017!$D$3:$AK$38)+SUMPRODUCT((Capacity_Entsoe_SFS_2017!$A$3:$A$38='Abgleich Kapazität'!$A90)*(Capacity_Entsoe_SFS_2017!$D$1:$AL$1='Abgleich Kapazität'!U$76)*Capacity_Entsoe_SFS_2017!$D$3:$AK$38))/1000</f>
        <v>#VALUE!</v>
      </c>
      <c r="V90" s="59" t="e">
        <f t="shared" si="80"/>
        <v>#VALUE!</v>
      </c>
    </row>
    <row r="91" spans="1:22" x14ac:dyDescent="0.25">
      <c r="A91" s="14" t="s">
        <v>17</v>
      </c>
      <c r="B91" s="25" t="e">
        <f t="shared" si="77"/>
        <v>#VALUE!</v>
      </c>
      <c r="C91" s="26" t="e">
        <f>(SUMPRODUCT((Capacity_Entsoe_SFS_2017!$A$3:$A$38='Abgleich Kapazität'!$A91)*(Capacity_Entsoe_SFS_2017!$D$1:$AL$1='Abgleich Kapazität'!C$81)*Capacity_Entsoe_SFS_2017!$D$3:$AK$38)+SUMPRODUCT((Capacity_Entsoe_SFS_2017!$A$3:$A$38='Abgleich Kapazität'!$A91)*(Capacity_Entsoe_SFS_2017!$D$1:$AL$1='Abgleich Kapazität'!C$80)*Capacity_Entsoe_SFS_2017!$D$3:$AK$38)+SUMPRODUCT((Capacity_Entsoe_SFS_2017!$A$3:$A$38='Abgleich Kapazität'!$A91)*(Capacity_Entsoe_SFS_2017!$D$1:$AL$1='Abgleich Kapazität'!C$79)*Capacity_Entsoe_SFS_2017!$D$3:$AK$38)+SUMPRODUCT((Capacity_Entsoe_SFS_2017!$A$3:$A$38='Abgleich Kapazität'!$A91)*(Capacity_Entsoe_SFS_2017!$D$1:$AL$1='Abgleich Kapazität'!C$78)*Capacity_Entsoe_SFS_2017!$D$3:$AK$38))/1000</f>
        <v>#VALUE!</v>
      </c>
      <c r="D91" s="26" t="e">
        <f t="shared" si="78"/>
        <v>#VALUE!</v>
      </c>
      <c r="E91" s="26" t="e">
        <f>(SUMPRODUCT((Capacity_Entsoe_SFS_2017!$A$3:$A$38='Abgleich Kapazität'!$A91)*(Capacity_Entsoe_SFS_2017!$D$1:$AL$1='Abgleich Kapazität'!E$81)*Capacity_Entsoe_SFS_2017!$D$3:$AK$38)+SUMPRODUCT((Capacity_Entsoe_SFS_2017!$A$3:$A$38='Abgleich Kapazität'!$A91)*(Capacity_Entsoe_SFS_2017!$D$1:$AL$1='Abgleich Kapazität'!E$80)*Capacity_Entsoe_SFS_2017!$D$3:$AK$38)+SUMPRODUCT((Capacity_Entsoe_SFS_2017!$A$3:$A$38='Abgleich Kapazität'!$A91)*(Capacity_Entsoe_SFS_2017!$D$1:$AL$1='Abgleich Kapazität'!E$79)*Capacity_Entsoe_SFS_2017!$D$3:$AK$38)+SUMPRODUCT((Capacity_Entsoe_SFS_2017!$A$3:$A$38='Abgleich Kapazität'!$A91)*(Capacity_Entsoe_SFS_2017!$D$1:$AL$1='Abgleich Kapazität'!E$78)*Capacity_Entsoe_SFS_2017!$D$3:$AK$38))/1000</f>
        <v>#VALUE!</v>
      </c>
      <c r="F91" s="26" t="e">
        <f>(SUMPRODUCT((Capacity_Entsoe_SFS_2017!$A$3:$A$38='Abgleich Kapazität'!$A91)*(Capacity_Entsoe_SFS_2017!$D$1:$AL$1='Abgleich Kapazität'!F$81)*Capacity_Entsoe_SFS_2017!$D$3:$AK$38)+SUMPRODUCT((Capacity_Entsoe_SFS_2017!$A$3:$A$38='Abgleich Kapazität'!$A91)*(Capacity_Entsoe_SFS_2017!$D$1:$AL$1='Abgleich Kapazität'!F$80)*Capacity_Entsoe_SFS_2017!$D$3:$AK$38)+SUMPRODUCT((Capacity_Entsoe_SFS_2017!$A$3:$A$38='Abgleich Kapazität'!$A91)*(Capacity_Entsoe_SFS_2017!$D$1:$AL$1='Abgleich Kapazität'!F$79)*Capacity_Entsoe_SFS_2017!$D$3:$AK$38)+SUMPRODUCT((Capacity_Entsoe_SFS_2017!$A$3:$A$38='Abgleich Kapazität'!$A91)*(Capacity_Entsoe_SFS_2017!$D$1:$AL$1='Abgleich Kapazität'!F$78)*Capacity_Entsoe_SFS_2017!$D$3:$AK$38))/1000</f>
        <v>#VALUE!</v>
      </c>
      <c r="G91" s="26" t="e">
        <f>(SUMPRODUCT((Capacity_Entsoe_SFS_2017!$A$3:$A$38='Abgleich Kapazität'!$A91)*(Capacity_Entsoe_SFS_2017!$D$1:$AL$1='Abgleich Kapazität'!G$81)*Capacity_Entsoe_SFS_2017!$D$3:$AK$38)+SUMPRODUCT((Capacity_Entsoe_SFS_2017!$A$3:$A$38='Abgleich Kapazität'!$A91)*(Capacity_Entsoe_SFS_2017!$D$1:$AL$1='Abgleich Kapazität'!G$80)*Capacity_Entsoe_SFS_2017!$D$3:$AK$38)+SUMPRODUCT((Capacity_Entsoe_SFS_2017!$A$3:$A$38='Abgleich Kapazität'!$A91)*(Capacity_Entsoe_SFS_2017!$D$1:$AL$1='Abgleich Kapazität'!G$79)*Capacity_Entsoe_SFS_2017!$D$3:$AK$38)+SUMPRODUCT((Capacity_Entsoe_SFS_2017!$A$3:$A$38='Abgleich Kapazität'!$A91)*(Capacity_Entsoe_SFS_2017!$D$1:$AL$1='Abgleich Kapazität'!G$78)*Capacity_Entsoe_SFS_2017!$D$3:$AK$38))/1000</f>
        <v>#VALUE!</v>
      </c>
      <c r="H91" s="26" t="e">
        <f>(SUMPRODUCT((Capacity_Entsoe_SFS_2017!$A$3:$A$38='Abgleich Kapazität'!$A91)*(Capacity_Entsoe_SFS_2017!$D$1:$AL$1='Abgleich Kapazität'!H$81)*Capacity_Entsoe_SFS_2017!$D$3:$AK$38)+SUMPRODUCT((Capacity_Entsoe_SFS_2017!$A$3:$A$38='Abgleich Kapazität'!$A91)*(Capacity_Entsoe_SFS_2017!$D$1:$AL$1='Abgleich Kapazität'!H$80)*Capacity_Entsoe_SFS_2017!$D$3:$AK$38)+SUMPRODUCT((Capacity_Entsoe_SFS_2017!$A$3:$A$38='Abgleich Kapazität'!$A91)*(Capacity_Entsoe_SFS_2017!$D$1:$AL$1='Abgleich Kapazität'!H$79)*Capacity_Entsoe_SFS_2017!$D$3:$AK$38)+SUMPRODUCT((Capacity_Entsoe_SFS_2017!$A$3:$A$38='Abgleich Kapazität'!$A91)*(Capacity_Entsoe_SFS_2017!$D$1:$AL$1='Abgleich Kapazität'!H$78)*Capacity_Entsoe_SFS_2017!$D$3:$AK$38))/1000</f>
        <v>#VALUE!</v>
      </c>
      <c r="I91" s="26" t="e">
        <f>(SUMPRODUCT((Capacity_Entsoe_SFS_2017!$A$3:$A$38='Abgleich Kapazität'!$A91)*(Capacity_Entsoe_SFS_2017!$D$1:$AL$1='Abgleich Kapazität'!I$81)*Capacity_Entsoe_SFS_2017!$D$3:$AK$38)+SUMPRODUCT((Capacity_Entsoe_SFS_2017!$A$3:$A$38='Abgleich Kapazität'!$A91)*(Capacity_Entsoe_SFS_2017!$D$1:$AL$1='Abgleich Kapazität'!I$80)*Capacity_Entsoe_SFS_2017!$D$3:$AK$38)+SUMPRODUCT((Capacity_Entsoe_SFS_2017!$A$3:$A$38='Abgleich Kapazität'!$A91)*(Capacity_Entsoe_SFS_2017!$D$1:$AL$1='Abgleich Kapazität'!I$79)*Capacity_Entsoe_SFS_2017!$D$3:$AK$38)+SUMPRODUCT((Capacity_Entsoe_SFS_2017!$A$3:$A$38='Abgleich Kapazität'!$A91)*(Capacity_Entsoe_SFS_2017!$D$1:$AL$1='Abgleich Kapazität'!I$78)*Capacity_Entsoe_SFS_2017!$D$3:$AK$38))/1000</f>
        <v>#VALUE!</v>
      </c>
      <c r="J91" s="26" t="e">
        <f>(SUMPRODUCT((Capacity_Entsoe_SFS_2017!$A$3:$A$38='Abgleich Kapazität'!$A91)*(Capacity_Entsoe_SFS_2017!$D$1:$AL$1='Abgleich Kapazität'!J$81)*Capacity_Entsoe_SFS_2017!$D$3:$AK$38)+SUMPRODUCT((Capacity_Entsoe_SFS_2017!$A$3:$A$38='Abgleich Kapazität'!$A91)*(Capacity_Entsoe_SFS_2017!$D$1:$AL$1='Abgleich Kapazität'!J$80)*Capacity_Entsoe_SFS_2017!$D$3:$AK$38)+SUMPRODUCT((Capacity_Entsoe_SFS_2017!$A$3:$A$38='Abgleich Kapazität'!$A91)*(Capacity_Entsoe_SFS_2017!$D$1:$AL$1='Abgleich Kapazität'!J$79)*Capacity_Entsoe_SFS_2017!$D$3:$AK$38)+SUMPRODUCT((Capacity_Entsoe_SFS_2017!$A$3:$A$38='Abgleich Kapazität'!$A91)*(Capacity_Entsoe_SFS_2017!$D$1:$AL$1='Abgleich Kapazität'!J$78)*Capacity_Entsoe_SFS_2017!$D$3:$AK$38))/1000</f>
        <v>#VALUE!</v>
      </c>
      <c r="K91" s="27" t="e">
        <f t="shared" si="79"/>
        <v>#VALUE!</v>
      </c>
      <c r="L91" s="26" t="e">
        <f>(SUMPRODUCT((Capacity_Entsoe_SFS_2017!$A$3:$A$38='Abgleich Kapazität'!$A91)*(Capacity_Entsoe_SFS_2017!$D$1:$AL$1='Abgleich Kapazität'!L$81)*Capacity_Entsoe_SFS_2017!$D$3:$AK$38)+SUMPRODUCT((Capacity_Entsoe_SFS_2017!$A$3:$A$38='Abgleich Kapazität'!$A91)*(Capacity_Entsoe_SFS_2017!$D$1:$AL$1='Abgleich Kapazität'!L$80)*Capacity_Entsoe_SFS_2017!$D$3:$AK$38)+SUMPRODUCT((Capacity_Entsoe_SFS_2017!$A$3:$A$38='Abgleich Kapazität'!$A91)*(Capacity_Entsoe_SFS_2017!$D$1:$AL$1='Abgleich Kapazität'!L$79)*Capacity_Entsoe_SFS_2017!$D$3:$AK$38)+SUMPRODUCT((Capacity_Entsoe_SFS_2017!$A$3:$A$38='Abgleich Kapazität'!$A91)*(Capacity_Entsoe_SFS_2017!$D$1:$AL$1='Abgleich Kapazität'!L$78)*Capacity_Entsoe_SFS_2017!$D$3:$AK$38)+SUMPRODUCT((Capacity_Entsoe_SFS_2017!$A$3:$A$38='Abgleich Kapazität'!$A91)*(Capacity_Entsoe_SFS_2017!$D$1:$AL$1='Abgleich Kapazität'!L$77)*Capacity_Entsoe_SFS_2017!$D$3:$AK$38)+SUMPRODUCT((Capacity_Entsoe_SFS_2017!$A$3:$A$38='Abgleich Kapazität'!$A91)*(Capacity_Entsoe_SFS_2017!$D$1:$AL$1='Abgleich Kapazität'!L$76)*Capacity_Entsoe_SFS_2017!$D$3:$AK$38))/1000</f>
        <v>#VALUE!</v>
      </c>
      <c r="M91" s="26" t="e">
        <f>(SUMPRODUCT((Capacity_Entsoe_SFS_2017!$A$3:$A$38='Abgleich Kapazität'!$A91)*(Capacity_Entsoe_SFS_2017!$D$1:$AL$1='Abgleich Kapazität'!M$81)*Capacity_Entsoe_SFS_2017!$D$3:$AK$38)+SUMPRODUCT((Capacity_Entsoe_SFS_2017!$A$3:$A$38='Abgleich Kapazität'!$A91)*(Capacity_Entsoe_SFS_2017!$D$1:$AL$1='Abgleich Kapazität'!M$80)*Capacity_Entsoe_SFS_2017!$D$3:$AK$38)+SUMPRODUCT((Capacity_Entsoe_SFS_2017!$A$3:$A$38='Abgleich Kapazität'!$A91)*(Capacity_Entsoe_SFS_2017!$D$1:$AL$1='Abgleich Kapazität'!M$79)*Capacity_Entsoe_SFS_2017!$D$3:$AK$38)+SUMPRODUCT((Capacity_Entsoe_SFS_2017!$A$3:$A$38='Abgleich Kapazität'!$A91)*(Capacity_Entsoe_SFS_2017!$D$1:$AL$1='Abgleich Kapazität'!M$78)*Capacity_Entsoe_SFS_2017!$D$3:$AK$38)+SUMPRODUCT((Capacity_Entsoe_SFS_2017!$A$3:$A$38='Abgleich Kapazität'!$A91)*(Capacity_Entsoe_SFS_2017!$D$1:$AL$1='Abgleich Kapazität'!M$77)*Capacity_Entsoe_SFS_2017!$D$3:$AK$38)+SUMPRODUCT((Capacity_Entsoe_SFS_2017!$A$3:$A$38='Abgleich Kapazität'!$A91)*(Capacity_Entsoe_SFS_2017!$D$1:$AL$1='Abgleich Kapazität'!M$76)*Capacity_Entsoe_SFS_2017!$D$3:$AK$38))/1000</f>
        <v>#VALUE!</v>
      </c>
      <c r="N91" s="26" t="e">
        <f>(SUMPRODUCT((Capacity_Entsoe_SFS_2017!$A$3:$A$38='Abgleich Kapazität'!$A91)*(Capacity_Entsoe_SFS_2017!$D$1:$AL$1='Abgleich Kapazität'!N$81)*Capacity_Entsoe_SFS_2017!$D$3:$AK$38)+SUMPRODUCT((Capacity_Entsoe_SFS_2017!$A$3:$A$38='Abgleich Kapazität'!$A91)*(Capacity_Entsoe_SFS_2017!$D$1:$AL$1='Abgleich Kapazität'!N$80)*Capacity_Entsoe_SFS_2017!$D$3:$AK$38)+SUMPRODUCT((Capacity_Entsoe_SFS_2017!$A$3:$A$38='Abgleich Kapazität'!$A91)*(Capacity_Entsoe_SFS_2017!$D$1:$AL$1='Abgleich Kapazität'!N$79)*Capacity_Entsoe_SFS_2017!$D$3:$AK$38)+SUMPRODUCT((Capacity_Entsoe_SFS_2017!$A$3:$A$38='Abgleich Kapazität'!$A91)*(Capacity_Entsoe_SFS_2017!$D$1:$AL$1='Abgleich Kapazität'!N$78)*Capacity_Entsoe_SFS_2017!$D$3:$AK$38)+SUMPRODUCT((Capacity_Entsoe_SFS_2017!$A$3:$A$38='Abgleich Kapazität'!$A91)*(Capacity_Entsoe_SFS_2017!$D$1:$AL$1='Abgleich Kapazität'!N$77)*Capacity_Entsoe_SFS_2017!$D$3:$AK$38)+SUMPRODUCT((Capacity_Entsoe_SFS_2017!$A$3:$A$38='Abgleich Kapazität'!$A91)*(Capacity_Entsoe_SFS_2017!$D$1:$AL$1='Abgleich Kapazität'!N$76)*Capacity_Entsoe_SFS_2017!$D$3:$AK$38))/1000</f>
        <v>#VALUE!</v>
      </c>
      <c r="O91" s="26" t="e">
        <f>(SUMPRODUCT((Capacity_Entsoe_SFS_2017!$A$3:$A$38='Abgleich Kapazität'!$A91)*(Capacity_Entsoe_SFS_2017!$D$1:$AL$1='Abgleich Kapazität'!O$81)*Capacity_Entsoe_SFS_2017!$D$3:$AK$38)+SUMPRODUCT((Capacity_Entsoe_SFS_2017!$A$3:$A$38='Abgleich Kapazität'!$A91)*(Capacity_Entsoe_SFS_2017!$D$1:$AL$1='Abgleich Kapazität'!O$80)*Capacity_Entsoe_SFS_2017!$D$3:$AK$38)+SUMPRODUCT((Capacity_Entsoe_SFS_2017!$A$3:$A$38='Abgleich Kapazität'!$A91)*(Capacity_Entsoe_SFS_2017!$D$1:$AL$1='Abgleich Kapazität'!O$79)*Capacity_Entsoe_SFS_2017!$D$3:$AK$38)+SUMPRODUCT((Capacity_Entsoe_SFS_2017!$A$3:$A$38='Abgleich Kapazität'!$A91)*(Capacity_Entsoe_SFS_2017!$D$1:$AL$1='Abgleich Kapazität'!O$78)*Capacity_Entsoe_SFS_2017!$D$3:$AK$38)+SUMPRODUCT((Capacity_Entsoe_SFS_2017!$A$3:$A$38='Abgleich Kapazität'!$A91)*(Capacity_Entsoe_SFS_2017!$D$1:$AL$1='Abgleich Kapazität'!O$77)*Capacity_Entsoe_SFS_2017!$D$3:$AK$38)+SUMPRODUCT((Capacity_Entsoe_SFS_2017!$A$3:$A$38='Abgleich Kapazität'!$A91)*(Capacity_Entsoe_SFS_2017!$D$1:$AL$1='Abgleich Kapazität'!O$76)*Capacity_Entsoe_SFS_2017!$D$3:$AK$38))/1000</f>
        <v>#VALUE!</v>
      </c>
      <c r="P91" s="26" t="e">
        <f>(SUMPRODUCT((Capacity_Entsoe_SFS_2017!$A$3:$A$38='Abgleich Kapazität'!$A91)*(Capacity_Entsoe_SFS_2017!$D$1:$AL$1='Abgleich Kapazität'!P$81)*Capacity_Entsoe_SFS_2017!$D$3:$AK$38)+SUMPRODUCT((Capacity_Entsoe_SFS_2017!$A$3:$A$38='Abgleich Kapazität'!$A91)*(Capacity_Entsoe_SFS_2017!$D$1:$AL$1='Abgleich Kapazität'!P$80)*Capacity_Entsoe_SFS_2017!$D$3:$AK$38)+SUMPRODUCT((Capacity_Entsoe_SFS_2017!$A$3:$A$38='Abgleich Kapazität'!$A91)*(Capacity_Entsoe_SFS_2017!$D$1:$AL$1='Abgleich Kapazität'!P$79)*Capacity_Entsoe_SFS_2017!$D$3:$AK$38)+SUMPRODUCT((Capacity_Entsoe_SFS_2017!$A$3:$A$38='Abgleich Kapazität'!$A91)*(Capacity_Entsoe_SFS_2017!$D$1:$AL$1='Abgleich Kapazität'!P$78)*Capacity_Entsoe_SFS_2017!$D$3:$AK$38)+SUMPRODUCT((Capacity_Entsoe_SFS_2017!$A$3:$A$38='Abgleich Kapazität'!$A91)*(Capacity_Entsoe_SFS_2017!$D$1:$AL$1='Abgleich Kapazität'!P$77)*Capacity_Entsoe_SFS_2017!$D$3:$AK$38)+SUMPRODUCT((Capacity_Entsoe_SFS_2017!$A$3:$A$38='Abgleich Kapazität'!$A91)*(Capacity_Entsoe_SFS_2017!$D$1:$AL$1='Abgleich Kapazität'!P$76)*Capacity_Entsoe_SFS_2017!$D$3:$AK$38))/1000</f>
        <v>#VALUE!</v>
      </c>
      <c r="Q91" s="26" t="e">
        <f>(SUMPRODUCT((Capacity_Entsoe_SFS_2017!$A$3:$A$38='Abgleich Kapazität'!$A91)*(Capacity_Entsoe_SFS_2017!$D$1:$AL$1='Abgleich Kapazität'!Q$81)*Capacity_Entsoe_SFS_2017!$D$3:$AK$38)+SUMPRODUCT((Capacity_Entsoe_SFS_2017!$A$3:$A$38='Abgleich Kapazität'!$A91)*(Capacity_Entsoe_SFS_2017!$D$1:$AL$1='Abgleich Kapazität'!Q$80)*Capacity_Entsoe_SFS_2017!$D$3:$AK$38)+SUMPRODUCT((Capacity_Entsoe_SFS_2017!$A$3:$A$38='Abgleich Kapazität'!$A91)*(Capacity_Entsoe_SFS_2017!$D$1:$AL$1='Abgleich Kapazität'!Q$79)*Capacity_Entsoe_SFS_2017!$D$3:$AK$38)+SUMPRODUCT((Capacity_Entsoe_SFS_2017!$A$3:$A$38='Abgleich Kapazität'!$A91)*(Capacity_Entsoe_SFS_2017!$D$1:$AL$1='Abgleich Kapazität'!Q$78)*Capacity_Entsoe_SFS_2017!$D$3:$AK$38)+SUMPRODUCT((Capacity_Entsoe_SFS_2017!$A$3:$A$38='Abgleich Kapazität'!$A91)*(Capacity_Entsoe_SFS_2017!$D$1:$AL$1='Abgleich Kapazität'!Q$77)*Capacity_Entsoe_SFS_2017!$D$3:$AK$38)+SUMPRODUCT((Capacity_Entsoe_SFS_2017!$A$3:$A$38='Abgleich Kapazität'!$A91)*(Capacity_Entsoe_SFS_2017!$D$1:$AL$1='Abgleich Kapazität'!Q$76)*Capacity_Entsoe_SFS_2017!$D$3:$AK$38))/1000</f>
        <v>#VALUE!</v>
      </c>
      <c r="R91" s="26" t="e">
        <f>(SUMPRODUCT((Capacity_Entsoe_SFS_2017!$A$3:$A$38='Abgleich Kapazität'!$A91)*(Capacity_Entsoe_SFS_2017!$D$1:$AL$1='Abgleich Kapazität'!R$81)*Capacity_Entsoe_SFS_2017!$D$3:$AK$38)+SUMPRODUCT((Capacity_Entsoe_SFS_2017!$A$3:$A$38='Abgleich Kapazität'!$A91)*(Capacity_Entsoe_SFS_2017!$D$1:$AL$1='Abgleich Kapazität'!R$80)*Capacity_Entsoe_SFS_2017!$D$3:$AK$38)+SUMPRODUCT((Capacity_Entsoe_SFS_2017!$A$3:$A$38='Abgleich Kapazität'!$A91)*(Capacity_Entsoe_SFS_2017!$D$1:$AL$1='Abgleich Kapazität'!R$79)*Capacity_Entsoe_SFS_2017!$D$3:$AK$38)+SUMPRODUCT((Capacity_Entsoe_SFS_2017!$A$3:$A$38='Abgleich Kapazität'!$A91)*(Capacity_Entsoe_SFS_2017!$D$1:$AL$1='Abgleich Kapazität'!R$78)*Capacity_Entsoe_SFS_2017!$D$3:$AK$38)+SUMPRODUCT((Capacity_Entsoe_SFS_2017!$A$3:$A$38='Abgleich Kapazität'!$A91)*(Capacity_Entsoe_SFS_2017!$D$1:$AL$1='Abgleich Kapazität'!R$77)*Capacity_Entsoe_SFS_2017!$D$3:$AK$38)+SUMPRODUCT((Capacity_Entsoe_SFS_2017!$A$3:$A$38='Abgleich Kapazität'!$A91)*(Capacity_Entsoe_SFS_2017!$D$1:$AL$1='Abgleich Kapazität'!R$76)*Capacity_Entsoe_SFS_2017!$D$3:$AK$38))/1000</f>
        <v>#VALUE!</v>
      </c>
      <c r="S91" s="26" t="e">
        <f>(SUMPRODUCT((Capacity_Entsoe_SFS_2017!$A$3:$A$38='Abgleich Kapazität'!$A91)*(Capacity_Entsoe_SFS_2017!$D$1:$AL$1='Abgleich Kapazität'!S$81)*Capacity_Entsoe_SFS_2017!$D$3:$AK$38)+SUMPRODUCT((Capacity_Entsoe_SFS_2017!$A$3:$A$38='Abgleich Kapazität'!$A91)*(Capacity_Entsoe_SFS_2017!$D$1:$AL$1='Abgleich Kapazität'!S$80)*Capacity_Entsoe_SFS_2017!$D$3:$AK$38)+SUMPRODUCT((Capacity_Entsoe_SFS_2017!$A$3:$A$38='Abgleich Kapazität'!$A91)*(Capacity_Entsoe_SFS_2017!$D$1:$AL$1='Abgleich Kapazität'!S$79)*Capacity_Entsoe_SFS_2017!$D$3:$AK$38)+SUMPRODUCT((Capacity_Entsoe_SFS_2017!$A$3:$A$38='Abgleich Kapazität'!$A91)*(Capacity_Entsoe_SFS_2017!$D$1:$AL$1='Abgleich Kapazität'!S$78)*Capacity_Entsoe_SFS_2017!$D$3:$AK$38)+SUMPRODUCT((Capacity_Entsoe_SFS_2017!$A$3:$A$38='Abgleich Kapazität'!$A91)*(Capacity_Entsoe_SFS_2017!$D$1:$AL$1='Abgleich Kapazität'!S$77)*Capacity_Entsoe_SFS_2017!$D$3:$AK$38)+SUMPRODUCT((Capacity_Entsoe_SFS_2017!$A$3:$A$38='Abgleich Kapazität'!$A91)*(Capacity_Entsoe_SFS_2017!$D$1:$AL$1='Abgleich Kapazität'!S$76)*Capacity_Entsoe_SFS_2017!$D$3:$AK$38))/1000</f>
        <v>#VALUE!</v>
      </c>
      <c r="T91" s="26" t="e">
        <f>(SUMPRODUCT((Capacity_Entsoe_SFS_2017!$A$3:$A$38='Abgleich Kapazität'!$A91)*(Capacity_Entsoe_SFS_2017!$D$1:$AL$1='Abgleich Kapazität'!T$81)*Capacity_Entsoe_SFS_2017!$D$3:$AK$38)+SUMPRODUCT((Capacity_Entsoe_SFS_2017!$A$3:$A$38='Abgleich Kapazität'!$A91)*(Capacity_Entsoe_SFS_2017!$D$1:$AL$1='Abgleich Kapazität'!T$80)*Capacity_Entsoe_SFS_2017!$D$3:$AK$38)+SUMPRODUCT((Capacity_Entsoe_SFS_2017!$A$3:$A$38='Abgleich Kapazität'!$A91)*(Capacity_Entsoe_SFS_2017!$D$1:$AL$1='Abgleich Kapazität'!T$79)*Capacity_Entsoe_SFS_2017!$D$3:$AK$38)+SUMPRODUCT((Capacity_Entsoe_SFS_2017!$A$3:$A$38='Abgleich Kapazität'!$A91)*(Capacity_Entsoe_SFS_2017!$D$1:$AL$1='Abgleich Kapazität'!T$78)*Capacity_Entsoe_SFS_2017!$D$3:$AK$38)+SUMPRODUCT((Capacity_Entsoe_SFS_2017!$A$3:$A$38='Abgleich Kapazität'!$A91)*(Capacity_Entsoe_SFS_2017!$D$1:$AL$1='Abgleich Kapazität'!T$77)*Capacity_Entsoe_SFS_2017!$D$3:$AK$38)+SUMPRODUCT((Capacity_Entsoe_SFS_2017!$A$3:$A$38='Abgleich Kapazität'!$A91)*(Capacity_Entsoe_SFS_2017!$D$1:$AL$1='Abgleich Kapazität'!T$76)*Capacity_Entsoe_SFS_2017!$D$3:$AK$38))/1000</f>
        <v>#VALUE!</v>
      </c>
      <c r="U91" s="26" t="e">
        <f>(SUMPRODUCT((Capacity_Entsoe_SFS_2017!$A$3:$A$38='Abgleich Kapazität'!$A91)*(Capacity_Entsoe_SFS_2017!$D$1:$AL$1='Abgleich Kapazität'!U$81)*Capacity_Entsoe_SFS_2017!$D$3:$AK$38)+SUMPRODUCT((Capacity_Entsoe_SFS_2017!$A$3:$A$38='Abgleich Kapazität'!$A91)*(Capacity_Entsoe_SFS_2017!$D$1:$AL$1='Abgleich Kapazität'!U$80)*Capacity_Entsoe_SFS_2017!$D$3:$AK$38)+SUMPRODUCT((Capacity_Entsoe_SFS_2017!$A$3:$A$38='Abgleich Kapazität'!$A91)*(Capacity_Entsoe_SFS_2017!$D$1:$AL$1='Abgleich Kapazität'!U$79)*Capacity_Entsoe_SFS_2017!$D$3:$AK$38)+SUMPRODUCT((Capacity_Entsoe_SFS_2017!$A$3:$A$38='Abgleich Kapazität'!$A91)*(Capacity_Entsoe_SFS_2017!$D$1:$AL$1='Abgleich Kapazität'!U$78)*Capacity_Entsoe_SFS_2017!$D$3:$AK$38)+SUMPRODUCT((Capacity_Entsoe_SFS_2017!$A$3:$A$38='Abgleich Kapazität'!$A91)*(Capacity_Entsoe_SFS_2017!$D$1:$AL$1='Abgleich Kapazität'!U$77)*Capacity_Entsoe_SFS_2017!$D$3:$AK$38)+SUMPRODUCT((Capacity_Entsoe_SFS_2017!$A$3:$A$38='Abgleich Kapazität'!$A91)*(Capacity_Entsoe_SFS_2017!$D$1:$AL$1='Abgleich Kapazität'!U$76)*Capacity_Entsoe_SFS_2017!$D$3:$AK$38))/1000</f>
        <v>#VALUE!</v>
      </c>
      <c r="V91" s="27" t="e">
        <f t="shared" si="80"/>
        <v>#VALUE!</v>
      </c>
    </row>
    <row r="92" spans="1:22" x14ac:dyDescent="0.25">
      <c r="A92" s="14" t="s">
        <v>18</v>
      </c>
      <c r="B92" s="57" t="e">
        <f t="shared" si="77"/>
        <v>#VALUE!</v>
      </c>
      <c r="C92" s="58" t="e">
        <f>(SUMPRODUCT((Capacity_Entsoe_SFS_2017!$A$3:$A$38='Abgleich Kapazität'!$A92)*(Capacity_Entsoe_SFS_2017!$D$1:$AL$1='Abgleich Kapazität'!C$81)*Capacity_Entsoe_SFS_2017!$D$3:$AK$38)+SUMPRODUCT((Capacity_Entsoe_SFS_2017!$A$3:$A$38='Abgleich Kapazität'!$A92)*(Capacity_Entsoe_SFS_2017!$D$1:$AL$1='Abgleich Kapazität'!C$80)*Capacity_Entsoe_SFS_2017!$D$3:$AK$38)+SUMPRODUCT((Capacity_Entsoe_SFS_2017!$A$3:$A$38='Abgleich Kapazität'!$A92)*(Capacity_Entsoe_SFS_2017!$D$1:$AL$1='Abgleich Kapazität'!C$79)*Capacity_Entsoe_SFS_2017!$D$3:$AK$38)+SUMPRODUCT((Capacity_Entsoe_SFS_2017!$A$3:$A$38='Abgleich Kapazität'!$A92)*(Capacity_Entsoe_SFS_2017!$D$1:$AL$1='Abgleich Kapazität'!C$78)*Capacity_Entsoe_SFS_2017!$D$3:$AK$38))/1000</f>
        <v>#VALUE!</v>
      </c>
      <c r="D92" s="58" t="e">
        <f t="shared" si="78"/>
        <v>#VALUE!</v>
      </c>
      <c r="E92" s="58" t="e">
        <f>(SUMPRODUCT((Capacity_Entsoe_SFS_2017!$A$3:$A$38='Abgleich Kapazität'!$A92)*(Capacity_Entsoe_SFS_2017!$D$1:$AL$1='Abgleich Kapazität'!E$81)*Capacity_Entsoe_SFS_2017!$D$3:$AK$38)+SUMPRODUCT((Capacity_Entsoe_SFS_2017!$A$3:$A$38='Abgleich Kapazität'!$A92)*(Capacity_Entsoe_SFS_2017!$D$1:$AL$1='Abgleich Kapazität'!E$80)*Capacity_Entsoe_SFS_2017!$D$3:$AK$38)+SUMPRODUCT((Capacity_Entsoe_SFS_2017!$A$3:$A$38='Abgleich Kapazität'!$A92)*(Capacity_Entsoe_SFS_2017!$D$1:$AL$1='Abgleich Kapazität'!E$79)*Capacity_Entsoe_SFS_2017!$D$3:$AK$38)+SUMPRODUCT((Capacity_Entsoe_SFS_2017!$A$3:$A$38='Abgleich Kapazität'!$A92)*(Capacity_Entsoe_SFS_2017!$D$1:$AL$1='Abgleich Kapazität'!E$78)*Capacity_Entsoe_SFS_2017!$D$3:$AK$38))/1000</f>
        <v>#VALUE!</v>
      </c>
      <c r="F92" s="58" t="e">
        <f>(SUMPRODUCT((Capacity_Entsoe_SFS_2017!$A$3:$A$38='Abgleich Kapazität'!$A92)*(Capacity_Entsoe_SFS_2017!$D$1:$AL$1='Abgleich Kapazität'!F$81)*Capacity_Entsoe_SFS_2017!$D$3:$AK$38)+SUMPRODUCT((Capacity_Entsoe_SFS_2017!$A$3:$A$38='Abgleich Kapazität'!$A92)*(Capacity_Entsoe_SFS_2017!$D$1:$AL$1='Abgleich Kapazität'!F$80)*Capacity_Entsoe_SFS_2017!$D$3:$AK$38)+SUMPRODUCT((Capacity_Entsoe_SFS_2017!$A$3:$A$38='Abgleich Kapazität'!$A92)*(Capacity_Entsoe_SFS_2017!$D$1:$AL$1='Abgleich Kapazität'!F$79)*Capacity_Entsoe_SFS_2017!$D$3:$AK$38)+SUMPRODUCT((Capacity_Entsoe_SFS_2017!$A$3:$A$38='Abgleich Kapazität'!$A92)*(Capacity_Entsoe_SFS_2017!$D$1:$AL$1='Abgleich Kapazität'!F$78)*Capacity_Entsoe_SFS_2017!$D$3:$AK$38))/1000</f>
        <v>#VALUE!</v>
      </c>
      <c r="G92" s="58" t="e">
        <f>(SUMPRODUCT((Capacity_Entsoe_SFS_2017!$A$3:$A$38='Abgleich Kapazität'!$A92)*(Capacity_Entsoe_SFS_2017!$D$1:$AL$1='Abgleich Kapazität'!G$81)*Capacity_Entsoe_SFS_2017!$D$3:$AK$38)+SUMPRODUCT((Capacity_Entsoe_SFS_2017!$A$3:$A$38='Abgleich Kapazität'!$A92)*(Capacity_Entsoe_SFS_2017!$D$1:$AL$1='Abgleich Kapazität'!G$80)*Capacity_Entsoe_SFS_2017!$D$3:$AK$38)+SUMPRODUCT((Capacity_Entsoe_SFS_2017!$A$3:$A$38='Abgleich Kapazität'!$A92)*(Capacity_Entsoe_SFS_2017!$D$1:$AL$1='Abgleich Kapazität'!G$79)*Capacity_Entsoe_SFS_2017!$D$3:$AK$38)+SUMPRODUCT((Capacity_Entsoe_SFS_2017!$A$3:$A$38='Abgleich Kapazität'!$A92)*(Capacity_Entsoe_SFS_2017!$D$1:$AL$1='Abgleich Kapazität'!G$78)*Capacity_Entsoe_SFS_2017!$D$3:$AK$38))/1000</f>
        <v>#VALUE!</v>
      </c>
      <c r="H92" s="58" t="e">
        <f>(SUMPRODUCT((Capacity_Entsoe_SFS_2017!$A$3:$A$38='Abgleich Kapazität'!$A92)*(Capacity_Entsoe_SFS_2017!$D$1:$AL$1='Abgleich Kapazität'!H$81)*Capacity_Entsoe_SFS_2017!$D$3:$AK$38)+SUMPRODUCT((Capacity_Entsoe_SFS_2017!$A$3:$A$38='Abgleich Kapazität'!$A92)*(Capacity_Entsoe_SFS_2017!$D$1:$AL$1='Abgleich Kapazität'!H$80)*Capacity_Entsoe_SFS_2017!$D$3:$AK$38)+SUMPRODUCT((Capacity_Entsoe_SFS_2017!$A$3:$A$38='Abgleich Kapazität'!$A92)*(Capacity_Entsoe_SFS_2017!$D$1:$AL$1='Abgleich Kapazität'!H$79)*Capacity_Entsoe_SFS_2017!$D$3:$AK$38)+SUMPRODUCT((Capacity_Entsoe_SFS_2017!$A$3:$A$38='Abgleich Kapazität'!$A92)*(Capacity_Entsoe_SFS_2017!$D$1:$AL$1='Abgleich Kapazität'!H$78)*Capacity_Entsoe_SFS_2017!$D$3:$AK$38))/1000</f>
        <v>#VALUE!</v>
      </c>
      <c r="I92" s="58" t="e">
        <f>(SUMPRODUCT((Capacity_Entsoe_SFS_2017!$A$3:$A$38='Abgleich Kapazität'!$A92)*(Capacity_Entsoe_SFS_2017!$D$1:$AL$1='Abgleich Kapazität'!I$81)*Capacity_Entsoe_SFS_2017!$D$3:$AK$38)+SUMPRODUCT((Capacity_Entsoe_SFS_2017!$A$3:$A$38='Abgleich Kapazität'!$A92)*(Capacity_Entsoe_SFS_2017!$D$1:$AL$1='Abgleich Kapazität'!I$80)*Capacity_Entsoe_SFS_2017!$D$3:$AK$38)+SUMPRODUCT((Capacity_Entsoe_SFS_2017!$A$3:$A$38='Abgleich Kapazität'!$A92)*(Capacity_Entsoe_SFS_2017!$D$1:$AL$1='Abgleich Kapazität'!I$79)*Capacity_Entsoe_SFS_2017!$D$3:$AK$38)+SUMPRODUCT((Capacity_Entsoe_SFS_2017!$A$3:$A$38='Abgleich Kapazität'!$A92)*(Capacity_Entsoe_SFS_2017!$D$1:$AL$1='Abgleich Kapazität'!I$78)*Capacity_Entsoe_SFS_2017!$D$3:$AK$38))/1000</f>
        <v>#VALUE!</v>
      </c>
      <c r="J92" s="58" t="e">
        <f>(SUMPRODUCT((Capacity_Entsoe_SFS_2017!$A$3:$A$38='Abgleich Kapazität'!$A92)*(Capacity_Entsoe_SFS_2017!$D$1:$AL$1='Abgleich Kapazität'!J$81)*Capacity_Entsoe_SFS_2017!$D$3:$AK$38)+SUMPRODUCT((Capacity_Entsoe_SFS_2017!$A$3:$A$38='Abgleich Kapazität'!$A92)*(Capacity_Entsoe_SFS_2017!$D$1:$AL$1='Abgleich Kapazität'!J$80)*Capacity_Entsoe_SFS_2017!$D$3:$AK$38)+SUMPRODUCT((Capacity_Entsoe_SFS_2017!$A$3:$A$38='Abgleich Kapazität'!$A92)*(Capacity_Entsoe_SFS_2017!$D$1:$AL$1='Abgleich Kapazität'!J$79)*Capacity_Entsoe_SFS_2017!$D$3:$AK$38)+SUMPRODUCT((Capacity_Entsoe_SFS_2017!$A$3:$A$38='Abgleich Kapazität'!$A92)*(Capacity_Entsoe_SFS_2017!$D$1:$AL$1='Abgleich Kapazität'!J$78)*Capacity_Entsoe_SFS_2017!$D$3:$AK$38))/1000</f>
        <v>#VALUE!</v>
      </c>
      <c r="K92" s="59" t="e">
        <f t="shared" si="79"/>
        <v>#VALUE!</v>
      </c>
      <c r="L92" s="58" t="e">
        <f>(SUMPRODUCT((Capacity_Entsoe_SFS_2017!$A$3:$A$38='Abgleich Kapazität'!$A92)*(Capacity_Entsoe_SFS_2017!$D$1:$AL$1='Abgleich Kapazität'!L$81)*Capacity_Entsoe_SFS_2017!$D$3:$AK$38)+SUMPRODUCT((Capacity_Entsoe_SFS_2017!$A$3:$A$38='Abgleich Kapazität'!$A92)*(Capacity_Entsoe_SFS_2017!$D$1:$AL$1='Abgleich Kapazität'!L$80)*Capacity_Entsoe_SFS_2017!$D$3:$AK$38)+SUMPRODUCT((Capacity_Entsoe_SFS_2017!$A$3:$A$38='Abgleich Kapazität'!$A92)*(Capacity_Entsoe_SFS_2017!$D$1:$AL$1='Abgleich Kapazität'!L$79)*Capacity_Entsoe_SFS_2017!$D$3:$AK$38)+SUMPRODUCT((Capacity_Entsoe_SFS_2017!$A$3:$A$38='Abgleich Kapazität'!$A92)*(Capacity_Entsoe_SFS_2017!$D$1:$AL$1='Abgleich Kapazität'!L$78)*Capacity_Entsoe_SFS_2017!$D$3:$AK$38)+SUMPRODUCT((Capacity_Entsoe_SFS_2017!$A$3:$A$38='Abgleich Kapazität'!$A92)*(Capacity_Entsoe_SFS_2017!$D$1:$AL$1='Abgleich Kapazität'!L$77)*Capacity_Entsoe_SFS_2017!$D$3:$AK$38)+SUMPRODUCT((Capacity_Entsoe_SFS_2017!$A$3:$A$38='Abgleich Kapazität'!$A92)*(Capacity_Entsoe_SFS_2017!$D$1:$AL$1='Abgleich Kapazität'!L$76)*Capacity_Entsoe_SFS_2017!$D$3:$AK$38))/1000</f>
        <v>#VALUE!</v>
      </c>
      <c r="M92" s="58" t="e">
        <f>(SUMPRODUCT((Capacity_Entsoe_SFS_2017!$A$3:$A$38='Abgleich Kapazität'!$A92)*(Capacity_Entsoe_SFS_2017!$D$1:$AL$1='Abgleich Kapazität'!M$81)*Capacity_Entsoe_SFS_2017!$D$3:$AK$38)+SUMPRODUCT((Capacity_Entsoe_SFS_2017!$A$3:$A$38='Abgleich Kapazität'!$A92)*(Capacity_Entsoe_SFS_2017!$D$1:$AL$1='Abgleich Kapazität'!M$80)*Capacity_Entsoe_SFS_2017!$D$3:$AK$38)+SUMPRODUCT((Capacity_Entsoe_SFS_2017!$A$3:$A$38='Abgleich Kapazität'!$A92)*(Capacity_Entsoe_SFS_2017!$D$1:$AL$1='Abgleich Kapazität'!M$79)*Capacity_Entsoe_SFS_2017!$D$3:$AK$38)+SUMPRODUCT((Capacity_Entsoe_SFS_2017!$A$3:$A$38='Abgleich Kapazität'!$A92)*(Capacity_Entsoe_SFS_2017!$D$1:$AL$1='Abgleich Kapazität'!M$78)*Capacity_Entsoe_SFS_2017!$D$3:$AK$38)+SUMPRODUCT((Capacity_Entsoe_SFS_2017!$A$3:$A$38='Abgleich Kapazität'!$A92)*(Capacity_Entsoe_SFS_2017!$D$1:$AL$1='Abgleich Kapazität'!M$77)*Capacity_Entsoe_SFS_2017!$D$3:$AK$38)+SUMPRODUCT((Capacity_Entsoe_SFS_2017!$A$3:$A$38='Abgleich Kapazität'!$A92)*(Capacity_Entsoe_SFS_2017!$D$1:$AL$1='Abgleich Kapazität'!M$76)*Capacity_Entsoe_SFS_2017!$D$3:$AK$38))/1000</f>
        <v>#VALUE!</v>
      </c>
      <c r="N92" s="58" t="e">
        <f>(SUMPRODUCT((Capacity_Entsoe_SFS_2017!$A$3:$A$38='Abgleich Kapazität'!$A92)*(Capacity_Entsoe_SFS_2017!$D$1:$AL$1='Abgleich Kapazität'!N$81)*Capacity_Entsoe_SFS_2017!$D$3:$AK$38)+SUMPRODUCT((Capacity_Entsoe_SFS_2017!$A$3:$A$38='Abgleich Kapazität'!$A92)*(Capacity_Entsoe_SFS_2017!$D$1:$AL$1='Abgleich Kapazität'!N$80)*Capacity_Entsoe_SFS_2017!$D$3:$AK$38)+SUMPRODUCT((Capacity_Entsoe_SFS_2017!$A$3:$A$38='Abgleich Kapazität'!$A92)*(Capacity_Entsoe_SFS_2017!$D$1:$AL$1='Abgleich Kapazität'!N$79)*Capacity_Entsoe_SFS_2017!$D$3:$AK$38)+SUMPRODUCT((Capacity_Entsoe_SFS_2017!$A$3:$A$38='Abgleich Kapazität'!$A92)*(Capacity_Entsoe_SFS_2017!$D$1:$AL$1='Abgleich Kapazität'!N$78)*Capacity_Entsoe_SFS_2017!$D$3:$AK$38)+SUMPRODUCT((Capacity_Entsoe_SFS_2017!$A$3:$A$38='Abgleich Kapazität'!$A92)*(Capacity_Entsoe_SFS_2017!$D$1:$AL$1='Abgleich Kapazität'!N$77)*Capacity_Entsoe_SFS_2017!$D$3:$AK$38)+SUMPRODUCT((Capacity_Entsoe_SFS_2017!$A$3:$A$38='Abgleich Kapazität'!$A92)*(Capacity_Entsoe_SFS_2017!$D$1:$AL$1='Abgleich Kapazität'!N$76)*Capacity_Entsoe_SFS_2017!$D$3:$AK$38))/1000</f>
        <v>#VALUE!</v>
      </c>
      <c r="O92" s="58" t="e">
        <f>(SUMPRODUCT((Capacity_Entsoe_SFS_2017!$A$3:$A$38='Abgleich Kapazität'!$A92)*(Capacity_Entsoe_SFS_2017!$D$1:$AL$1='Abgleich Kapazität'!O$81)*Capacity_Entsoe_SFS_2017!$D$3:$AK$38)+SUMPRODUCT((Capacity_Entsoe_SFS_2017!$A$3:$A$38='Abgleich Kapazität'!$A92)*(Capacity_Entsoe_SFS_2017!$D$1:$AL$1='Abgleich Kapazität'!O$80)*Capacity_Entsoe_SFS_2017!$D$3:$AK$38)+SUMPRODUCT((Capacity_Entsoe_SFS_2017!$A$3:$A$38='Abgleich Kapazität'!$A92)*(Capacity_Entsoe_SFS_2017!$D$1:$AL$1='Abgleich Kapazität'!O$79)*Capacity_Entsoe_SFS_2017!$D$3:$AK$38)+SUMPRODUCT((Capacity_Entsoe_SFS_2017!$A$3:$A$38='Abgleich Kapazität'!$A92)*(Capacity_Entsoe_SFS_2017!$D$1:$AL$1='Abgleich Kapazität'!O$78)*Capacity_Entsoe_SFS_2017!$D$3:$AK$38)+SUMPRODUCT((Capacity_Entsoe_SFS_2017!$A$3:$A$38='Abgleich Kapazität'!$A92)*(Capacity_Entsoe_SFS_2017!$D$1:$AL$1='Abgleich Kapazität'!O$77)*Capacity_Entsoe_SFS_2017!$D$3:$AK$38)+SUMPRODUCT((Capacity_Entsoe_SFS_2017!$A$3:$A$38='Abgleich Kapazität'!$A92)*(Capacity_Entsoe_SFS_2017!$D$1:$AL$1='Abgleich Kapazität'!O$76)*Capacity_Entsoe_SFS_2017!$D$3:$AK$38))/1000</f>
        <v>#VALUE!</v>
      </c>
      <c r="P92" s="58" t="e">
        <f>(SUMPRODUCT((Capacity_Entsoe_SFS_2017!$A$3:$A$38='Abgleich Kapazität'!$A92)*(Capacity_Entsoe_SFS_2017!$D$1:$AL$1='Abgleich Kapazität'!P$81)*Capacity_Entsoe_SFS_2017!$D$3:$AK$38)+SUMPRODUCT((Capacity_Entsoe_SFS_2017!$A$3:$A$38='Abgleich Kapazität'!$A92)*(Capacity_Entsoe_SFS_2017!$D$1:$AL$1='Abgleich Kapazität'!P$80)*Capacity_Entsoe_SFS_2017!$D$3:$AK$38)+SUMPRODUCT((Capacity_Entsoe_SFS_2017!$A$3:$A$38='Abgleich Kapazität'!$A92)*(Capacity_Entsoe_SFS_2017!$D$1:$AL$1='Abgleich Kapazität'!P$79)*Capacity_Entsoe_SFS_2017!$D$3:$AK$38)+SUMPRODUCT((Capacity_Entsoe_SFS_2017!$A$3:$A$38='Abgleich Kapazität'!$A92)*(Capacity_Entsoe_SFS_2017!$D$1:$AL$1='Abgleich Kapazität'!P$78)*Capacity_Entsoe_SFS_2017!$D$3:$AK$38)+SUMPRODUCT((Capacity_Entsoe_SFS_2017!$A$3:$A$38='Abgleich Kapazität'!$A92)*(Capacity_Entsoe_SFS_2017!$D$1:$AL$1='Abgleich Kapazität'!P$77)*Capacity_Entsoe_SFS_2017!$D$3:$AK$38)+SUMPRODUCT((Capacity_Entsoe_SFS_2017!$A$3:$A$38='Abgleich Kapazität'!$A92)*(Capacity_Entsoe_SFS_2017!$D$1:$AL$1='Abgleich Kapazität'!P$76)*Capacity_Entsoe_SFS_2017!$D$3:$AK$38))/1000</f>
        <v>#VALUE!</v>
      </c>
      <c r="Q92" s="58" t="e">
        <f>(SUMPRODUCT((Capacity_Entsoe_SFS_2017!$A$3:$A$38='Abgleich Kapazität'!$A92)*(Capacity_Entsoe_SFS_2017!$D$1:$AL$1='Abgleich Kapazität'!Q$81)*Capacity_Entsoe_SFS_2017!$D$3:$AK$38)+SUMPRODUCT((Capacity_Entsoe_SFS_2017!$A$3:$A$38='Abgleich Kapazität'!$A92)*(Capacity_Entsoe_SFS_2017!$D$1:$AL$1='Abgleich Kapazität'!Q$80)*Capacity_Entsoe_SFS_2017!$D$3:$AK$38)+SUMPRODUCT((Capacity_Entsoe_SFS_2017!$A$3:$A$38='Abgleich Kapazität'!$A92)*(Capacity_Entsoe_SFS_2017!$D$1:$AL$1='Abgleich Kapazität'!Q$79)*Capacity_Entsoe_SFS_2017!$D$3:$AK$38)+SUMPRODUCT((Capacity_Entsoe_SFS_2017!$A$3:$A$38='Abgleich Kapazität'!$A92)*(Capacity_Entsoe_SFS_2017!$D$1:$AL$1='Abgleich Kapazität'!Q$78)*Capacity_Entsoe_SFS_2017!$D$3:$AK$38)+SUMPRODUCT((Capacity_Entsoe_SFS_2017!$A$3:$A$38='Abgleich Kapazität'!$A92)*(Capacity_Entsoe_SFS_2017!$D$1:$AL$1='Abgleich Kapazität'!Q$77)*Capacity_Entsoe_SFS_2017!$D$3:$AK$38)+SUMPRODUCT((Capacity_Entsoe_SFS_2017!$A$3:$A$38='Abgleich Kapazität'!$A92)*(Capacity_Entsoe_SFS_2017!$D$1:$AL$1='Abgleich Kapazität'!Q$76)*Capacity_Entsoe_SFS_2017!$D$3:$AK$38))/1000</f>
        <v>#VALUE!</v>
      </c>
      <c r="R92" s="58" t="e">
        <f>(SUMPRODUCT((Capacity_Entsoe_SFS_2017!$A$3:$A$38='Abgleich Kapazität'!$A92)*(Capacity_Entsoe_SFS_2017!$D$1:$AL$1='Abgleich Kapazität'!R$81)*Capacity_Entsoe_SFS_2017!$D$3:$AK$38)+SUMPRODUCT((Capacity_Entsoe_SFS_2017!$A$3:$A$38='Abgleich Kapazität'!$A92)*(Capacity_Entsoe_SFS_2017!$D$1:$AL$1='Abgleich Kapazität'!R$80)*Capacity_Entsoe_SFS_2017!$D$3:$AK$38)+SUMPRODUCT((Capacity_Entsoe_SFS_2017!$A$3:$A$38='Abgleich Kapazität'!$A92)*(Capacity_Entsoe_SFS_2017!$D$1:$AL$1='Abgleich Kapazität'!R$79)*Capacity_Entsoe_SFS_2017!$D$3:$AK$38)+SUMPRODUCT((Capacity_Entsoe_SFS_2017!$A$3:$A$38='Abgleich Kapazität'!$A92)*(Capacity_Entsoe_SFS_2017!$D$1:$AL$1='Abgleich Kapazität'!R$78)*Capacity_Entsoe_SFS_2017!$D$3:$AK$38)+SUMPRODUCT((Capacity_Entsoe_SFS_2017!$A$3:$A$38='Abgleich Kapazität'!$A92)*(Capacity_Entsoe_SFS_2017!$D$1:$AL$1='Abgleich Kapazität'!R$77)*Capacity_Entsoe_SFS_2017!$D$3:$AK$38)+SUMPRODUCT((Capacity_Entsoe_SFS_2017!$A$3:$A$38='Abgleich Kapazität'!$A92)*(Capacity_Entsoe_SFS_2017!$D$1:$AL$1='Abgleich Kapazität'!R$76)*Capacity_Entsoe_SFS_2017!$D$3:$AK$38))/1000</f>
        <v>#VALUE!</v>
      </c>
      <c r="S92" s="58" t="e">
        <f>(SUMPRODUCT((Capacity_Entsoe_SFS_2017!$A$3:$A$38='Abgleich Kapazität'!$A92)*(Capacity_Entsoe_SFS_2017!$D$1:$AL$1='Abgleich Kapazität'!S$81)*Capacity_Entsoe_SFS_2017!$D$3:$AK$38)+SUMPRODUCT((Capacity_Entsoe_SFS_2017!$A$3:$A$38='Abgleich Kapazität'!$A92)*(Capacity_Entsoe_SFS_2017!$D$1:$AL$1='Abgleich Kapazität'!S$80)*Capacity_Entsoe_SFS_2017!$D$3:$AK$38)+SUMPRODUCT((Capacity_Entsoe_SFS_2017!$A$3:$A$38='Abgleich Kapazität'!$A92)*(Capacity_Entsoe_SFS_2017!$D$1:$AL$1='Abgleich Kapazität'!S$79)*Capacity_Entsoe_SFS_2017!$D$3:$AK$38)+SUMPRODUCT((Capacity_Entsoe_SFS_2017!$A$3:$A$38='Abgleich Kapazität'!$A92)*(Capacity_Entsoe_SFS_2017!$D$1:$AL$1='Abgleich Kapazität'!S$78)*Capacity_Entsoe_SFS_2017!$D$3:$AK$38)+SUMPRODUCT((Capacity_Entsoe_SFS_2017!$A$3:$A$38='Abgleich Kapazität'!$A92)*(Capacity_Entsoe_SFS_2017!$D$1:$AL$1='Abgleich Kapazität'!S$77)*Capacity_Entsoe_SFS_2017!$D$3:$AK$38)+SUMPRODUCT((Capacity_Entsoe_SFS_2017!$A$3:$A$38='Abgleich Kapazität'!$A92)*(Capacity_Entsoe_SFS_2017!$D$1:$AL$1='Abgleich Kapazität'!S$76)*Capacity_Entsoe_SFS_2017!$D$3:$AK$38))/1000</f>
        <v>#VALUE!</v>
      </c>
      <c r="T92" s="58" t="e">
        <f>(SUMPRODUCT((Capacity_Entsoe_SFS_2017!$A$3:$A$38='Abgleich Kapazität'!$A92)*(Capacity_Entsoe_SFS_2017!$D$1:$AL$1='Abgleich Kapazität'!T$81)*Capacity_Entsoe_SFS_2017!$D$3:$AK$38)+SUMPRODUCT((Capacity_Entsoe_SFS_2017!$A$3:$A$38='Abgleich Kapazität'!$A92)*(Capacity_Entsoe_SFS_2017!$D$1:$AL$1='Abgleich Kapazität'!T$80)*Capacity_Entsoe_SFS_2017!$D$3:$AK$38)+SUMPRODUCT((Capacity_Entsoe_SFS_2017!$A$3:$A$38='Abgleich Kapazität'!$A92)*(Capacity_Entsoe_SFS_2017!$D$1:$AL$1='Abgleich Kapazität'!T$79)*Capacity_Entsoe_SFS_2017!$D$3:$AK$38)+SUMPRODUCT((Capacity_Entsoe_SFS_2017!$A$3:$A$38='Abgleich Kapazität'!$A92)*(Capacity_Entsoe_SFS_2017!$D$1:$AL$1='Abgleich Kapazität'!T$78)*Capacity_Entsoe_SFS_2017!$D$3:$AK$38)+SUMPRODUCT((Capacity_Entsoe_SFS_2017!$A$3:$A$38='Abgleich Kapazität'!$A92)*(Capacity_Entsoe_SFS_2017!$D$1:$AL$1='Abgleich Kapazität'!T$77)*Capacity_Entsoe_SFS_2017!$D$3:$AK$38)+SUMPRODUCT((Capacity_Entsoe_SFS_2017!$A$3:$A$38='Abgleich Kapazität'!$A92)*(Capacity_Entsoe_SFS_2017!$D$1:$AL$1='Abgleich Kapazität'!T$76)*Capacity_Entsoe_SFS_2017!$D$3:$AK$38))/1000</f>
        <v>#VALUE!</v>
      </c>
      <c r="U92" s="58" t="e">
        <f>(SUMPRODUCT((Capacity_Entsoe_SFS_2017!$A$3:$A$38='Abgleich Kapazität'!$A92)*(Capacity_Entsoe_SFS_2017!$D$1:$AL$1='Abgleich Kapazität'!U$81)*Capacity_Entsoe_SFS_2017!$D$3:$AK$38)+SUMPRODUCT((Capacity_Entsoe_SFS_2017!$A$3:$A$38='Abgleich Kapazität'!$A92)*(Capacity_Entsoe_SFS_2017!$D$1:$AL$1='Abgleich Kapazität'!U$80)*Capacity_Entsoe_SFS_2017!$D$3:$AK$38)+SUMPRODUCT((Capacity_Entsoe_SFS_2017!$A$3:$A$38='Abgleich Kapazität'!$A92)*(Capacity_Entsoe_SFS_2017!$D$1:$AL$1='Abgleich Kapazität'!U$79)*Capacity_Entsoe_SFS_2017!$D$3:$AK$38)+SUMPRODUCT((Capacity_Entsoe_SFS_2017!$A$3:$A$38='Abgleich Kapazität'!$A92)*(Capacity_Entsoe_SFS_2017!$D$1:$AL$1='Abgleich Kapazität'!U$78)*Capacity_Entsoe_SFS_2017!$D$3:$AK$38)+SUMPRODUCT((Capacity_Entsoe_SFS_2017!$A$3:$A$38='Abgleich Kapazität'!$A92)*(Capacity_Entsoe_SFS_2017!$D$1:$AL$1='Abgleich Kapazität'!U$77)*Capacity_Entsoe_SFS_2017!$D$3:$AK$38)+SUMPRODUCT((Capacity_Entsoe_SFS_2017!$A$3:$A$38='Abgleich Kapazität'!$A92)*(Capacity_Entsoe_SFS_2017!$D$1:$AL$1='Abgleich Kapazität'!U$76)*Capacity_Entsoe_SFS_2017!$D$3:$AK$38))/1000</f>
        <v>#VALUE!</v>
      </c>
      <c r="V92" s="59" t="e">
        <f t="shared" si="80"/>
        <v>#VALUE!</v>
      </c>
    </row>
    <row r="93" spans="1:22" x14ac:dyDescent="0.25">
      <c r="A93" s="14" t="s">
        <v>19</v>
      </c>
      <c r="B93" s="25" t="e">
        <f t="shared" si="77"/>
        <v>#VALUE!</v>
      </c>
      <c r="C93" s="26" t="e">
        <f>(SUMPRODUCT((Capacity_Entsoe_SFS_2017!$A$3:$A$38='Abgleich Kapazität'!$A93)*(Capacity_Entsoe_SFS_2017!$D$1:$AL$1='Abgleich Kapazität'!C$81)*Capacity_Entsoe_SFS_2017!$D$3:$AK$38)+SUMPRODUCT((Capacity_Entsoe_SFS_2017!$A$3:$A$38='Abgleich Kapazität'!$A93)*(Capacity_Entsoe_SFS_2017!$D$1:$AL$1='Abgleich Kapazität'!C$80)*Capacity_Entsoe_SFS_2017!$D$3:$AK$38)+SUMPRODUCT((Capacity_Entsoe_SFS_2017!$A$3:$A$38='Abgleich Kapazität'!$A93)*(Capacity_Entsoe_SFS_2017!$D$1:$AL$1='Abgleich Kapazität'!C$79)*Capacity_Entsoe_SFS_2017!$D$3:$AK$38)+SUMPRODUCT((Capacity_Entsoe_SFS_2017!$A$3:$A$38='Abgleich Kapazität'!$A93)*(Capacity_Entsoe_SFS_2017!$D$1:$AL$1='Abgleich Kapazität'!C$78)*Capacity_Entsoe_SFS_2017!$D$3:$AK$38))/1000</f>
        <v>#VALUE!</v>
      </c>
      <c r="D93" s="26" t="e">
        <f t="shared" si="78"/>
        <v>#VALUE!</v>
      </c>
      <c r="E93" s="26" t="e">
        <f>(SUMPRODUCT((Capacity_Entsoe_SFS_2017!$A$3:$A$38='Abgleich Kapazität'!$A93)*(Capacity_Entsoe_SFS_2017!$D$1:$AL$1='Abgleich Kapazität'!E$81)*Capacity_Entsoe_SFS_2017!$D$3:$AK$38)+SUMPRODUCT((Capacity_Entsoe_SFS_2017!$A$3:$A$38='Abgleich Kapazität'!$A93)*(Capacity_Entsoe_SFS_2017!$D$1:$AL$1='Abgleich Kapazität'!E$80)*Capacity_Entsoe_SFS_2017!$D$3:$AK$38)+SUMPRODUCT((Capacity_Entsoe_SFS_2017!$A$3:$A$38='Abgleich Kapazität'!$A93)*(Capacity_Entsoe_SFS_2017!$D$1:$AL$1='Abgleich Kapazität'!E$79)*Capacity_Entsoe_SFS_2017!$D$3:$AK$38)+SUMPRODUCT((Capacity_Entsoe_SFS_2017!$A$3:$A$38='Abgleich Kapazität'!$A93)*(Capacity_Entsoe_SFS_2017!$D$1:$AL$1='Abgleich Kapazität'!E$78)*Capacity_Entsoe_SFS_2017!$D$3:$AK$38))/1000</f>
        <v>#VALUE!</v>
      </c>
      <c r="F93" s="26" t="e">
        <f>(SUMPRODUCT((Capacity_Entsoe_SFS_2017!$A$3:$A$38='Abgleich Kapazität'!$A93)*(Capacity_Entsoe_SFS_2017!$D$1:$AL$1='Abgleich Kapazität'!F$81)*Capacity_Entsoe_SFS_2017!$D$3:$AK$38)+SUMPRODUCT((Capacity_Entsoe_SFS_2017!$A$3:$A$38='Abgleich Kapazität'!$A93)*(Capacity_Entsoe_SFS_2017!$D$1:$AL$1='Abgleich Kapazität'!F$80)*Capacity_Entsoe_SFS_2017!$D$3:$AK$38)+SUMPRODUCT((Capacity_Entsoe_SFS_2017!$A$3:$A$38='Abgleich Kapazität'!$A93)*(Capacity_Entsoe_SFS_2017!$D$1:$AL$1='Abgleich Kapazität'!F$79)*Capacity_Entsoe_SFS_2017!$D$3:$AK$38)+SUMPRODUCT((Capacity_Entsoe_SFS_2017!$A$3:$A$38='Abgleich Kapazität'!$A93)*(Capacity_Entsoe_SFS_2017!$D$1:$AL$1='Abgleich Kapazität'!F$78)*Capacity_Entsoe_SFS_2017!$D$3:$AK$38))/1000</f>
        <v>#VALUE!</v>
      </c>
      <c r="G93" s="26" t="e">
        <f>(SUMPRODUCT((Capacity_Entsoe_SFS_2017!$A$3:$A$38='Abgleich Kapazität'!$A93)*(Capacity_Entsoe_SFS_2017!$D$1:$AL$1='Abgleich Kapazität'!G$81)*Capacity_Entsoe_SFS_2017!$D$3:$AK$38)+SUMPRODUCT((Capacity_Entsoe_SFS_2017!$A$3:$A$38='Abgleich Kapazität'!$A93)*(Capacity_Entsoe_SFS_2017!$D$1:$AL$1='Abgleich Kapazität'!G$80)*Capacity_Entsoe_SFS_2017!$D$3:$AK$38)+SUMPRODUCT((Capacity_Entsoe_SFS_2017!$A$3:$A$38='Abgleich Kapazität'!$A93)*(Capacity_Entsoe_SFS_2017!$D$1:$AL$1='Abgleich Kapazität'!G$79)*Capacity_Entsoe_SFS_2017!$D$3:$AK$38)+SUMPRODUCT((Capacity_Entsoe_SFS_2017!$A$3:$A$38='Abgleich Kapazität'!$A93)*(Capacity_Entsoe_SFS_2017!$D$1:$AL$1='Abgleich Kapazität'!G$78)*Capacity_Entsoe_SFS_2017!$D$3:$AK$38))/1000</f>
        <v>#VALUE!</v>
      </c>
      <c r="H93" s="26" t="e">
        <f>(SUMPRODUCT((Capacity_Entsoe_SFS_2017!$A$3:$A$38='Abgleich Kapazität'!$A93)*(Capacity_Entsoe_SFS_2017!$D$1:$AL$1='Abgleich Kapazität'!H$81)*Capacity_Entsoe_SFS_2017!$D$3:$AK$38)+SUMPRODUCT((Capacity_Entsoe_SFS_2017!$A$3:$A$38='Abgleich Kapazität'!$A93)*(Capacity_Entsoe_SFS_2017!$D$1:$AL$1='Abgleich Kapazität'!H$80)*Capacity_Entsoe_SFS_2017!$D$3:$AK$38)+SUMPRODUCT((Capacity_Entsoe_SFS_2017!$A$3:$A$38='Abgleich Kapazität'!$A93)*(Capacity_Entsoe_SFS_2017!$D$1:$AL$1='Abgleich Kapazität'!H$79)*Capacity_Entsoe_SFS_2017!$D$3:$AK$38)+SUMPRODUCT((Capacity_Entsoe_SFS_2017!$A$3:$A$38='Abgleich Kapazität'!$A93)*(Capacity_Entsoe_SFS_2017!$D$1:$AL$1='Abgleich Kapazität'!H$78)*Capacity_Entsoe_SFS_2017!$D$3:$AK$38))/1000</f>
        <v>#VALUE!</v>
      </c>
      <c r="I93" s="26" t="e">
        <f>(SUMPRODUCT((Capacity_Entsoe_SFS_2017!$A$3:$A$38='Abgleich Kapazität'!$A93)*(Capacity_Entsoe_SFS_2017!$D$1:$AL$1='Abgleich Kapazität'!I$81)*Capacity_Entsoe_SFS_2017!$D$3:$AK$38)+SUMPRODUCT((Capacity_Entsoe_SFS_2017!$A$3:$A$38='Abgleich Kapazität'!$A93)*(Capacity_Entsoe_SFS_2017!$D$1:$AL$1='Abgleich Kapazität'!I$80)*Capacity_Entsoe_SFS_2017!$D$3:$AK$38)+SUMPRODUCT((Capacity_Entsoe_SFS_2017!$A$3:$A$38='Abgleich Kapazität'!$A93)*(Capacity_Entsoe_SFS_2017!$D$1:$AL$1='Abgleich Kapazität'!I$79)*Capacity_Entsoe_SFS_2017!$D$3:$AK$38)+SUMPRODUCT((Capacity_Entsoe_SFS_2017!$A$3:$A$38='Abgleich Kapazität'!$A93)*(Capacity_Entsoe_SFS_2017!$D$1:$AL$1='Abgleich Kapazität'!I$78)*Capacity_Entsoe_SFS_2017!$D$3:$AK$38))/1000</f>
        <v>#VALUE!</v>
      </c>
      <c r="J93" s="26" t="e">
        <f>(SUMPRODUCT((Capacity_Entsoe_SFS_2017!$A$3:$A$38='Abgleich Kapazität'!$A93)*(Capacity_Entsoe_SFS_2017!$D$1:$AL$1='Abgleich Kapazität'!J$81)*Capacity_Entsoe_SFS_2017!$D$3:$AK$38)+SUMPRODUCT((Capacity_Entsoe_SFS_2017!$A$3:$A$38='Abgleich Kapazität'!$A93)*(Capacity_Entsoe_SFS_2017!$D$1:$AL$1='Abgleich Kapazität'!J$80)*Capacity_Entsoe_SFS_2017!$D$3:$AK$38)+SUMPRODUCT((Capacity_Entsoe_SFS_2017!$A$3:$A$38='Abgleich Kapazität'!$A93)*(Capacity_Entsoe_SFS_2017!$D$1:$AL$1='Abgleich Kapazität'!J$79)*Capacity_Entsoe_SFS_2017!$D$3:$AK$38)+SUMPRODUCT((Capacity_Entsoe_SFS_2017!$A$3:$A$38='Abgleich Kapazität'!$A93)*(Capacity_Entsoe_SFS_2017!$D$1:$AL$1='Abgleich Kapazität'!J$78)*Capacity_Entsoe_SFS_2017!$D$3:$AK$38))/1000</f>
        <v>#VALUE!</v>
      </c>
      <c r="K93" s="27" t="e">
        <f t="shared" si="79"/>
        <v>#VALUE!</v>
      </c>
      <c r="L93" s="26" t="e">
        <f>(SUMPRODUCT((Capacity_Entsoe_SFS_2017!$A$3:$A$38='Abgleich Kapazität'!$A93)*(Capacity_Entsoe_SFS_2017!$D$1:$AL$1='Abgleich Kapazität'!L$81)*Capacity_Entsoe_SFS_2017!$D$3:$AK$38)+SUMPRODUCT((Capacity_Entsoe_SFS_2017!$A$3:$A$38='Abgleich Kapazität'!$A93)*(Capacity_Entsoe_SFS_2017!$D$1:$AL$1='Abgleich Kapazität'!L$80)*Capacity_Entsoe_SFS_2017!$D$3:$AK$38)+SUMPRODUCT((Capacity_Entsoe_SFS_2017!$A$3:$A$38='Abgleich Kapazität'!$A93)*(Capacity_Entsoe_SFS_2017!$D$1:$AL$1='Abgleich Kapazität'!L$79)*Capacity_Entsoe_SFS_2017!$D$3:$AK$38)+SUMPRODUCT((Capacity_Entsoe_SFS_2017!$A$3:$A$38='Abgleich Kapazität'!$A93)*(Capacity_Entsoe_SFS_2017!$D$1:$AL$1='Abgleich Kapazität'!L$78)*Capacity_Entsoe_SFS_2017!$D$3:$AK$38)+SUMPRODUCT((Capacity_Entsoe_SFS_2017!$A$3:$A$38='Abgleich Kapazität'!$A93)*(Capacity_Entsoe_SFS_2017!$D$1:$AL$1='Abgleich Kapazität'!L$77)*Capacity_Entsoe_SFS_2017!$D$3:$AK$38)+SUMPRODUCT((Capacity_Entsoe_SFS_2017!$A$3:$A$38='Abgleich Kapazität'!$A93)*(Capacity_Entsoe_SFS_2017!$D$1:$AL$1='Abgleich Kapazität'!L$76)*Capacity_Entsoe_SFS_2017!$D$3:$AK$38))/1000</f>
        <v>#VALUE!</v>
      </c>
      <c r="M93" s="26" t="e">
        <f>(SUMPRODUCT((Capacity_Entsoe_SFS_2017!$A$3:$A$38='Abgleich Kapazität'!$A93)*(Capacity_Entsoe_SFS_2017!$D$1:$AL$1='Abgleich Kapazität'!M$81)*Capacity_Entsoe_SFS_2017!$D$3:$AK$38)+SUMPRODUCT((Capacity_Entsoe_SFS_2017!$A$3:$A$38='Abgleich Kapazität'!$A93)*(Capacity_Entsoe_SFS_2017!$D$1:$AL$1='Abgleich Kapazität'!M$80)*Capacity_Entsoe_SFS_2017!$D$3:$AK$38)+SUMPRODUCT((Capacity_Entsoe_SFS_2017!$A$3:$A$38='Abgleich Kapazität'!$A93)*(Capacity_Entsoe_SFS_2017!$D$1:$AL$1='Abgleich Kapazität'!M$79)*Capacity_Entsoe_SFS_2017!$D$3:$AK$38)+SUMPRODUCT((Capacity_Entsoe_SFS_2017!$A$3:$A$38='Abgleich Kapazität'!$A93)*(Capacity_Entsoe_SFS_2017!$D$1:$AL$1='Abgleich Kapazität'!M$78)*Capacity_Entsoe_SFS_2017!$D$3:$AK$38)+SUMPRODUCT((Capacity_Entsoe_SFS_2017!$A$3:$A$38='Abgleich Kapazität'!$A93)*(Capacity_Entsoe_SFS_2017!$D$1:$AL$1='Abgleich Kapazität'!M$77)*Capacity_Entsoe_SFS_2017!$D$3:$AK$38)+SUMPRODUCT((Capacity_Entsoe_SFS_2017!$A$3:$A$38='Abgleich Kapazität'!$A93)*(Capacity_Entsoe_SFS_2017!$D$1:$AL$1='Abgleich Kapazität'!M$76)*Capacity_Entsoe_SFS_2017!$D$3:$AK$38))/1000</f>
        <v>#VALUE!</v>
      </c>
      <c r="N93" s="26" t="e">
        <f>(SUMPRODUCT((Capacity_Entsoe_SFS_2017!$A$3:$A$38='Abgleich Kapazität'!$A93)*(Capacity_Entsoe_SFS_2017!$D$1:$AL$1='Abgleich Kapazität'!N$81)*Capacity_Entsoe_SFS_2017!$D$3:$AK$38)+SUMPRODUCT((Capacity_Entsoe_SFS_2017!$A$3:$A$38='Abgleich Kapazität'!$A93)*(Capacity_Entsoe_SFS_2017!$D$1:$AL$1='Abgleich Kapazität'!N$80)*Capacity_Entsoe_SFS_2017!$D$3:$AK$38)+SUMPRODUCT((Capacity_Entsoe_SFS_2017!$A$3:$A$38='Abgleich Kapazität'!$A93)*(Capacity_Entsoe_SFS_2017!$D$1:$AL$1='Abgleich Kapazität'!N$79)*Capacity_Entsoe_SFS_2017!$D$3:$AK$38)+SUMPRODUCT((Capacity_Entsoe_SFS_2017!$A$3:$A$38='Abgleich Kapazität'!$A93)*(Capacity_Entsoe_SFS_2017!$D$1:$AL$1='Abgleich Kapazität'!N$78)*Capacity_Entsoe_SFS_2017!$D$3:$AK$38)+SUMPRODUCT((Capacity_Entsoe_SFS_2017!$A$3:$A$38='Abgleich Kapazität'!$A93)*(Capacity_Entsoe_SFS_2017!$D$1:$AL$1='Abgleich Kapazität'!N$77)*Capacity_Entsoe_SFS_2017!$D$3:$AK$38)+SUMPRODUCT((Capacity_Entsoe_SFS_2017!$A$3:$A$38='Abgleich Kapazität'!$A93)*(Capacity_Entsoe_SFS_2017!$D$1:$AL$1='Abgleich Kapazität'!N$76)*Capacity_Entsoe_SFS_2017!$D$3:$AK$38))/1000</f>
        <v>#VALUE!</v>
      </c>
      <c r="O93" s="26" t="e">
        <f>(SUMPRODUCT((Capacity_Entsoe_SFS_2017!$A$3:$A$38='Abgleich Kapazität'!$A93)*(Capacity_Entsoe_SFS_2017!$D$1:$AL$1='Abgleich Kapazität'!O$81)*Capacity_Entsoe_SFS_2017!$D$3:$AK$38)+SUMPRODUCT((Capacity_Entsoe_SFS_2017!$A$3:$A$38='Abgleich Kapazität'!$A93)*(Capacity_Entsoe_SFS_2017!$D$1:$AL$1='Abgleich Kapazität'!O$80)*Capacity_Entsoe_SFS_2017!$D$3:$AK$38)+SUMPRODUCT((Capacity_Entsoe_SFS_2017!$A$3:$A$38='Abgleich Kapazität'!$A93)*(Capacity_Entsoe_SFS_2017!$D$1:$AL$1='Abgleich Kapazität'!O$79)*Capacity_Entsoe_SFS_2017!$D$3:$AK$38)+SUMPRODUCT((Capacity_Entsoe_SFS_2017!$A$3:$A$38='Abgleich Kapazität'!$A93)*(Capacity_Entsoe_SFS_2017!$D$1:$AL$1='Abgleich Kapazität'!O$78)*Capacity_Entsoe_SFS_2017!$D$3:$AK$38)+SUMPRODUCT((Capacity_Entsoe_SFS_2017!$A$3:$A$38='Abgleich Kapazität'!$A93)*(Capacity_Entsoe_SFS_2017!$D$1:$AL$1='Abgleich Kapazität'!O$77)*Capacity_Entsoe_SFS_2017!$D$3:$AK$38)+SUMPRODUCT((Capacity_Entsoe_SFS_2017!$A$3:$A$38='Abgleich Kapazität'!$A93)*(Capacity_Entsoe_SFS_2017!$D$1:$AL$1='Abgleich Kapazität'!O$76)*Capacity_Entsoe_SFS_2017!$D$3:$AK$38))/1000</f>
        <v>#VALUE!</v>
      </c>
      <c r="P93" s="26" t="e">
        <f>(SUMPRODUCT((Capacity_Entsoe_SFS_2017!$A$3:$A$38='Abgleich Kapazität'!$A93)*(Capacity_Entsoe_SFS_2017!$D$1:$AL$1='Abgleich Kapazität'!P$81)*Capacity_Entsoe_SFS_2017!$D$3:$AK$38)+SUMPRODUCT((Capacity_Entsoe_SFS_2017!$A$3:$A$38='Abgleich Kapazität'!$A93)*(Capacity_Entsoe_SFS_2017!$D$1:$AL$1='Abgleich Kapazität'!P$80)*Capacity_Entsoe_SFS_2017!$D$3:$AK$38)+SUMPRODUCT((Capacity_Entsoe_SFS_2017!$A$3:$A$38='Abgleich Kapazität'!$A93)*(Capacity_Entsoe_SFS_2017!$D$1:$AL$1='Abgleich Kapazität'!P$79)*Capacity_Entsoe_SFS_2017!$D$3:$AK$38)+SUMPRODUCT((Capacity_Entsoe_SFS_2017!$A$3:$A$38='Abgleich Kapazität'!$A93)*(Capacity_Entsoe_SFS_2017!$D$1:$AL$1='Abgleich Kapazität'!P$78)*Capacity_Entsoe_SFS_2017!$D$3:$AK$38)+SUMPRODUCT((Capacity_Entsoe_SFS_2017!$A$3:$A$38='Abgleich Kapazität'!$A93)*(Capacity_Entsoe_SFS_2017!$D$1:$AL$1='Abgleich Kapazität'!P$77)*Capacity_Entsoe_SFS_2017!$D$3:$AK$38)+SUMPRODUCT((Capacity_Entsoe_SFS_2017!$A$3:$A$38='Abgleich Kapazität'!$A93)*(Capacity_Entsoe_SFS_2017!$D$1:$AL$1='Abgleich Kapazität'!P$76)*Capacity_Entsoe_SFS_2017!$D$3:$AK$38))/1000</f>
        <v>#VALUE!</v>
      </c>
      <c r="Q93" s="26" t="e">
        <f>(SUMPRODUCT((Capacity_Entsoe_SFS_2017!$A$3:$A$38='Abgleich Kapazität'!$A93)*(Capacity_Entsoe_SFS_2017!$D$1:$AL$1='Abgleich Kapazität'!Q$81)*Capacity_Entsoe_SFS_2017!$D$3:$AK$38)+SUMPRODUCT((Capacity_Entsoe_SFS_2017!$A$3:$A$38='Abgleich Kapazität'!$A93)*(Capacity_Entsoe_SFS_2017!$D$1:$AL$1='Abgleich Kapazität'!Q$80)*Capacity_Entsoe_SFS_2017!$D$3:$AK$38)+SUMPRODUCT((Capacity_Entsoe_SFS_2017!$A$3:$A$38='Abgleich Kapazität'!$A93)*(Capacity_Entsoe_SFS_2017!$D$1:$AL$1='Abgleich Kapazität'!Q$79)*Capacity_Entsoe_SFS_2017!$D$3:$AK$38)+SUMPRODUCT((Capacity_Entsoe_SFS_2017!$A$3:$A$38='Abgleich Kapazität'!$A93)*(Capacity_Entsoe_SFS_2017!$D$1:$AL$1='Abgleich Kapazität'!Q$78)*Capacity_Entsoe_SFS_2017!$D$3:$AK$38)+SUMPRODUCT((Capacity_Entsoe_SFS_2017!$A$3:$A$38='Abgleich Kapazität'!$A93)*(Capacity_Entsoe_SFS_2017!$D$1:$AL$1='Abgleich Kapazität'!Q$77)*Capacity_Entsoe_SFS_2017!$D$3:$AK$38)+SUMPRODUCT((Capacity_Entsoe_SFS_2017!$A$3:$A$38='Abgleich Kapazität'!$A93)*(Capacity_Entsoe_SFS_2017!$D$1:$AL$1='Abgleich Kapazität'!Q$76)*Capacity_Entsoe_SFS_2017!$D$3:$AK$38))/1000</f>
        <v>#VALUE!</v>
      </c>
      <c r="R93" s="26" t="e">
        <f>(SUMPRODUCT((Capacity_Entsoe_SFS_2017!$A$3:$A$38='Abgleich Kapazität'!$A93)*(Capacity_Entsoe_SFS_2017!$D$1:$AL$1='Abgleich Kapazität'!R$81)*Capacity_Entsoe_SFS_2017!$D$3:$AK$38)+SUMPRODUCT((Capacity_Entsoe_SFS_2017!$A$3:$A$38='Abgleich Kapazität'!$A93)*(Capacity_Entsoe_SFS_2017!$D$1:$AL$1='Abgleich Kapazität'!R$80)*Capacity_Entsoe_SFS_2017!$D$3:$AK$38)+SUMPRODUCT((Capacity_Entsoe_SFS_2017!$A$3:$A$38='Abgleich Kapazität'!$A93)*(Capacity_Entsoe_SFS_2017!$D$1:$AL$1='Abgleich Kapazität'!R$79)*Capacity_Entsoe_SFS_2017!$D$3:$AK$38)+SUMPRODUCT((Capacity_Entsoe_SFS_2017!$A$3:$A$38='Abgleich Kapazität'!$A93)*(Capacity_Entsoe_SFS_2017!$D$1:$AL$1='Abgleich Kapazität'!R$78)*Capacity_Entsoe_SFS_2017!$D$3:$AK$38)+SUMPRODUCT((Capacity_Entsoe_SFS_2017!$A$3:$A$38='Abgleich Kapazität'!$A93)*(Capacity_Entsoe_SFS_2017!$D$1:$AL$1='Abgleich Kapazität'!R$77)*Capacity_Entsoe_SFS_2017!$D$3:$AK$38)+SUMPRODUCT((Capacity_Entsoe_SFS_2017!$A$3:$A$38='Abgleich Kapazität'!$A93)*(Capacity_Entsoe_SFS_2017!$D$1:$AL$1='Abgleich Kapazität'!R$76)*Capacity_Entsoe_SFS_2017!$D$3:$AK$38))/1000</f>
        <v>#VALUE!</v>
      </c>
      <c r="S93" s="26" t="e">
        <f>(SUMPRODUCT((Capacity_Entsoe_SFS_2017!$A$3:$A$38='Abgleich Kapazität'!$A93)*(Capacity_Entsoe_SFS_2017!$D$1:$AL$1='Abgleich Kapazität'!S$81)*Capacity_Entsoe_SFS_2017!$D$3:$AK$38)+SUMPRODUCT((Capacity_Entsoe_SFS_2017!$A$3:$A$38='Abgleich Kapazität'!$A93)*(Capacity_Entsoe_SFS_2017!$D$1:$AL$1='Abgleich Kapazität'!S$80)*Capacity_Entsoe_SFS_2017!$D$3:$AK$38)+SUMPRODUCT((Capacity_Entsoe_SFS_2017!$A$3:$A$38='Abgleich Kapazität'!$A93)*(Capacity_Entsoe_SFS_2017!$D$1:$AL$1='Abgleich Kapazität'!S$79)*Capacity_Entsoe_SFS_2017!$D$3:$AK$38)+SUMPRODUCT((Capacity_Entsoe_SFS_2017!$A$3:$A$38='Abgleich Kapazität'!$A93)*(Capacity_Entsoe_SFS_2017!$D$1:$AL$1='Abgleich Kapazität'!S$78)*Capacity_Entsoe_SFS_2017!$D$3:$AK$38)+SUMPRODUCT((Capacity_Entsoe_SFS_2017!$A$3:$A$38='Abgleich Kapazität'!$A93)*(Capacity_Entsoe_SFS_2017!$D$1:$AL$1='Abgleich Kapazität'!S$77)*Capacity_Entsoe_SFS_2017!$D$3:$AK$38)+SUMPRODUCT((Capacity_Entsoe_SFS_2017!$A$3:$A$38='Abgleich Kapazität'!$A93)*(Capacity_Entsoe_SFS_2017!$D$1:$AL$1='Abgleich Kapazität'!S$76)*Capacity_Entsoe_SFS_2017!$D$3:$AK$38))/1000</f>
        <v>#VALUE!</v>
      </c>
      <c r="T93" s="26" t="e">
        <f>(SUMPRODUCT((Capacity_Entsoe_SFS_2017!$A$3:$A$38='Abgleich Kapazität'!$A93)*(Capacity_Entsoe_SFS_2017!$D$1:$AL$1='Abgleich Kapazität'!T$81)*Capacity_Entsoe_SFS_2017!$D$3:$AK$38)+SUMPRODUCT((Capacity_Entsoe_SFS_2017!$A$3:$A$38='Abgleich Kapazität'!$A93)*(Capacity_Entsoe_SFS_2017!$D$1:$AL$1='Abgleich Kapazität'!T$80)*Capacity_Entsoe_SFS_2017!$D$3:$AK$38)+SUMPRODUCT((Capacity_Entsoe_SFS_2017!$A$3:$A$38='Abgleich Kapazität'!$A93)*(Capacity_Entsoe_SFS_2017!$D$1:$AL$1='Abgleich Kapazität'!T$79)*Capacity_Entsoe_SFS_2017!$D$3:$AK$38)+SUMPRODUCT((Capacity_Entsoe_SFS_2017!$A$3:$A$38='Abgleich Kapazität'!$A93)*(Capacity_Entsoe_SFS_2017!$D$1:$AL$1='Abgleich Kapazität'!T$78)*Capacity_Entsoe_SFS_2017!$D$3:$AK$38)+SUMPRODUCT((Capacity_Entsoe_SFS_2017!$A$3:$A$38='Abgleich Kapazität'!$A93)*(Capacity_Entsoe_SFS_2017!$D$1:$AL$1='Abgleich Kapazität'!T$77)*Capacity_Entsoe_SFS_2017!$D$3:$AK$38)+SUMPRODUCT((Capacity_Entsoe_SFS_2017!$A$3:$A$38='Abgleich Kapazität'!$A93)*(Capacity_Entsoe_SFS_2017!$D$1:$AL$1='Abgleich Kapazität'!T$76)*Capacity_Entsoe_SFS_2017!$D$3:$AK$38))/1000</f>
        <v>#VALUE!</v>
      </c>
      <c r="U93" s="26" t="e">
        <f>(SUMPRODUCT((Capacity_Entsoe_SFS_2017!$A$3:$A$38='Abgleich Kapazität'!$A93)*(Capacity_Entsoe_SFS_2017!$D$1:$AL$1='Abgleich Kapazität'!U$81)*Capacity_Entsoe_SFS_2017!$D$3:$AK$38)+SUMPRODUCT((Capacity_Entsoe_SFS_2017!$A$3:$A$38='Abgleich Kapazität'!$A93)*(Capacity_Entsoe_SFS_2017!$D$1:$AL$1='Abgleich Kapazität'!U$80)*Capacity_Entsoe_SFS_2017!$D$3:$AK$38)+SUMPRODUCT((Capacity_Entsoe_SFS_2017!$A$3:$A$38='Abgleich Kapazität'!$A93)*(Capacity_Entsoe_SFS_2017!$D$1:$AL$1='Abgleich Kapazität'!U$79)*Capacity_Entsoe_SFS_2017!$D$3:$AK$38)+SUMPRODUCT((Capacity_Entsoe_SFS_2017!$A$3:$A$38='Abgleich Kapazität'!$A93)*(Capacity_Entsoe_SFS_2017!$D$1:$AL$1='Abgleich Kapazität'!U$78)*Capacity_Entsoe_SFS_2017!$D$3:$AK$38)+SUMPRODUCT((Capacity_Entsoe_SFS_2017!$A$3:$A$38='Abgleich Kapazität'!$A93)*(Capacity_Entsoe_SFS_2017!$D$1:$AL$1='Abgleich Kapazität'!U$77)*Capacity_Entsoe_SFS_2017!$D$3:$AK$38)+SUMPRODUCT((Capacity_Entsoe_SFS_2017!$A$3:$A$38='Abgleich Kapazität'!$A93)*(Capacity_Entsoe_SFS_2017!$D$1:$AL$1='Abgleich Kapazität'!U$76)*Capacity_Entsoe_SFS_2017!$D$3:$AK$38))/1000</f>
        <v>#VALUE!</v>
      </c>
      <c r="V93" s="27" t="e">
        <f t="shared" si="80"/>
        <v>#VALUE!</v>
      </c>
    </row>
    <row r="94" spans="1:22" x14ac:dyDescent="0.25">
      <c r="A94" s="14" t="s">
        <v>20</v>
      </c>
      <c r="B94" s="57" t="e">
        <f t="shared" si="77"/>
        <v>#VALUE!</v>
      </c>
      <c r="C94" s="58" t="e">
        <f>(SUMPRODUCT((Capacity_Entsoe_SFS_2017!$A$3:$A$38='Abgleich Kapazität'!$A94)*(Capacity_Entsoe_SFS_2017!$D$1:$AL$1='Abgleich Kapazität'!C$81)*Capacity_Entsoe_SFS_2017!$D$3:$AK$38)+SUMPRODUCT((Capacity_Entsoe_SFS_2017!$A$3:$A$38='Abgleich Kapazität'!$A94)*(Capacity_Entsoe_SFS_2017!$D$1:$AL$1='Abgleich Kapazität'!C$80)*Capacity_Entsoe_SFS_2017!$D$3:$AK$38)+SUMPRODUCT((Capacity_Entsoe_SFS_2017!$A$3:$A$38='Abgleich Kapazität'!$A94)*(Capacity_Entsoe_SFS_2017!$D$1:$AL$1='Abgleich Kapazität'!C$79)*Capacity_Entsoe_SFS_2017!$D$3:$AK$38)+SUMPRODUCT((Capacity_Entsoe_SFS_2017!$A$3:$A$38='Abgleich Kapazität'!$A94)*(Capacity_Entsoe_SFS_2017!$D$1:$AL$1='Abgleich Kapazität'!C$78)*Capacity_Entsoe_SFS_2017!$D$3:$AK$38))/1000</f>
        <v>#VALUE!</v>
      </c>
      <c r="D94" s="58" t="e">
        <f t="shared" si="78"/>
        <v>#VALUE!</v>
      </c>
      <c r="E94" s="58" t="e">
        <f>(SUMPRODUCT((Capacity_Entsoe_SFS_2017!$A$3:$A$38='Abgleich Kapazität'!$A94)*(Capacity_Entsoe_SFS_2017!$D$1:$AL$1='Abgleich Kapazität'!E$81)*Capacity_Entsoe_SFS_2017!$D$3:$AK$38)+SUMPRODUCT((Capacity_Entsoe_SFS_2017!$A$3:$A$38='Abgleich Kapazität'!$A94)*(Capacity_Entsoe_SFS_2017!$D$1:$AL$1='Abgleich Kapazität'!E$80)*Capacity_Entsoe_SFS_2017!$D$3:$AK$38)+SUMPRODUCT((Capacity_Entsoe_SFS_2017!$A$3:$A$38='Abgleich Kapazität'!$A94)*(Capacity_Entsoe_SFS_2017!$D$1:$AL$1='Abgleich Kapazität'!E$79)*Capacity_Entsoe_SFS_2017!$D$3:$AK$38)+SUMPRODUCT((Capacity_Entsoe_SFS_2017!$A$3:$A$38='Abgleich Kapazität'!$A94)*(Capacity_Entsoe_SFS_2017!$D$1:$AL$1='Abgleich Kapazität'!E$78)*Capacity_Entsoe_SFS_2017!$D$3:$AK$38))/1000</f>
        <v>#VALUE!</v>
      </c>
      <c r="F94" s="58" t="e">
        <f>(SUMPRODUCT((Capacity_Entsoe_SFS_2017!$A$3:$A$38='Abgleich Kapazität'!$A94)*(Capacity_Entsoe_SFS_2017!$D$1:$AL$1='Abgleich Kapazität'!F$81)*Capacity_Entsoe_SFS_2017!$D$3:$AK$38)+SUMPRODUCT((Capacity_Entsoe_SFS_2017!$A$3:$A$38='Abgleich Kapazität'!$A94)*(Capacity_Entsoe_SFS_2017!$D$1:$AL$1='Abgleich Kapazität'!F$80)*Capacity_Entsoe_SFS_2017!$D$3:$AK$38)+SUMPRODUCT((Capacity_Entsoe_SFS_2017!$A$3:$A$38='Abgleich Kapazität'!$A94)*(Capacity_Entsoe_SFS_2017!$D$1:$AL$1='Abgleich Kapazität'!F$79)*Capacity_Entsoe_SFS_2017!$D$3:$AK$38)+SUMPRODUCT((Capacity_Entsoe_SFS_2017!$A$3:$A$38='Abgleich Kapazität'!$A94)*(Capacity_Entsoe_SFS_2017!$D$1:$AL$1='Abgleich Kapazität'!F$78)*Capacity_Entsoe_SFS_2017!$D$3:$AK$38))/1000</f>
        <v>#VALUE!</v>
      </c>
      <c r="G94" s="58" t="e">
        <f>(SUMPRODUCT((Capacity_Entsoe_SFS_2017!$A$3:$A$38='Abgleich Kapazität'!$A94)*(Capacity_Entsoe_SFS_2017!$D$1:$AL$1='Abgleich Kapazität'!G$81)*Capacity_Entsoe_SFS_2017!$D$3:$AK$38)+SUMPRODUCT((Capacity_Entsoe_SFS_2017!$A$3:$A$38='Abgleich Kapazität'!$A94)*(Capacity_Entsoe_SFS_2017!$D$1:$AL$1='Abgleich Kapazität'!G$80)*Capacity_Entsoe_SFS_2017!$D$3:$AK$38)+SUMPRODUCT((Capacity_Entsoe_SFS_2017!$A$3:$A$38='Abgleich Kapazität'!$A94)*(Capacity_Entsoe_SFS_2017!$D$1:$AL$1='Abgleich Kapazität'!G$79)*Capacity_Entsoe_SFS_2017!$D$3:$AK$38)+SUMPRODUCT((Capacity_Entsoe_SFS_2017!$A$3:$A$38='Abgleich Kapazität'!$A94)*(Capacity_Entsoe_SFS_2017!$D$1:$AL$1='Abgleich Kapazität'!G$78)*Capacity_Entsoe_SFS_2017!$D$3:$AK$38))/1000</f>
        <v>#VALUE!</v>
      </c>
      <c r="H94" s="58" t="e">
        <f>(SUMPRODUCT((Capacity_Entsoe_SFS_2017!$A$3:$A$38='Abgleich Kapazität'!$A94)*(Capacity_Entsoe_SFS_2017!$D$1:$AL$1='Abgleich Kapazität'!H$81)*Capacity_Entsoe_SFS_2017!$D$3:$AK$38)+SUMPRODUCT((Capacity_Entsoe_SFS_2017!$A$3:$A$38='Abgleich Kapazität'!$A94)*(Capacity_Entsoe_SFS_2017!$D$1:$AL$1='Abgleich Kapazität'!H$80)*Capacity_Entsoe_SFS_2017!$D$3:$AK$38)+SUMPRODUCT((Capacity_Entsoe_SFS_2017!$A$3:$A$38='Abgleich Kapazität'!$A94)*(Capacity_Entsoe_SFS_2017!$D$1:$AL$1='Abgleich Kapazität'!H$79)*Capacity_Entsoe_SFS_2017!$D$3:$AK$38)+SUMPRODUCT((Capacity_Entsoe_SFS_2017!$A$3:$A$38='Abgleich Kapazität'!$A94)*(Capacity_Entsoe_SFS_2017!$D$1:$AL$1='Abgleich Kapazität'!H$78)*Capacity_Entsoe_SFS_2017!$D$3:$AK$38))/1000</f>
        <v>#VALUE!</v>
      </c>
      <c r="I94" s="58" t="e">
        <f>(SUMPRODUCT((Capacity_Entsoe_SFS_2017!$A$3:$A$38='Abgleich Kapazität'!$A94)*(Capacity_Entsoe_SFS_2017!$D$1:$AL$1='Abgleich Kapazität'!I$81)*Capacity_Entsoe_SFS_2017!$D$3:$AK$38)+SUMPRODUCT((Capacity_Entsoe_SFS_2017!$A$3:$A$38='Abgleich Kapazität'!$A94)*(Capacity_Entsoe_SFS_2017!$D$1:$AL$1='Abgleich Kapazität'!I$80)*Capacity_Entsoe_SFS_2017!$D$3:$AK$38)+SUMPRODUCT((Capacity_Entsoe_SFS_2017!$A$3:$A$38='Abgleich Kapazität'!$A94)*(Capacity_Entsoe_SFS_2017!$D$1:$AL$1='Abgleich Kapazität'!I$79)*Capacity_Entsoe_SFS_2017!$D$3:$AK$38)+SUMPRODUCT((Capacity_Entsoe_SFS_2017!$A$3:$A$38='Abgleich Kapazität'!$A94)*(Capacity_Entsoe_SFS_2017!$D$1:$AL$1='Abgleich Kapazität'!I$78)*Capacity_Entsoe_SFS_2017!$D$3:$AK$38))/1000</f>
        <v>#VALUE!</v>
      </c>
      <c r="J94" s="58" t="e">
        <f>(SUMPRODUCT((Capacity_Entsoe_SFS_2017!$A$3:$A$38='Abgleich Kapazität'!$A94)*(Capacity_Entsoe_SFS_2017!$D$1:$AL$1='Abgleich Kapazität'!J$81)*Capacity_Entsoe_SFS_2017!$D$3:$AK$38)+SUMPRODUCT((Capacity_Entsoe_SFS_2017!$A$3:$A$38='Abgleich Kapazität'!$A94)*(Capacity_Entsoe_SFS_2017!$D$1:$AL$1='Abgleich Kapazität'!J$80)*Capacity_Entsoe_SFS_2017!$D$3:$AK$38)+SUMPRODUCT((Capacity_Entsoe_SFS_2017!$A$3:$A$38='Abgleich Kapazität'!$A94)*(Capacity_Entsoe_SFS_2017!$D$1:$AL$1='Abgleich Kapazität'!J$79)*Capacity_Entsoe_SFS_2017!$D$3:$AK$38)+SUMPRODUCT((Capacity_Entsoe_SFS_2017!$A$3:$A$38='Abgleich Kapazität'!$A94)*(Capacity_Entsoe_SFS_2017!$D$1:$AL$1='Abgleich Kapazität'!J$78)*Capacity_Entsoe_SFS_2017!$D$3:$AK$38))/1000</f>
        <v>#VALUE!</v>
      </c>
      <c r="K94" s="59" t="e">
        <f t="shared" si="79"/>
        <v>#VALUE!</v>
      </c>
      <c r="L94" s="58" t="e">
        <f>(SUMPRODUCT((Capacity_Entsoe_SFS_2017!$A$3:$A$38='Abgleich Kapazität'!$A94)*(Capacity_Entsoe_SFS_2017!$D$1:$AL$1='Abgleich Kapazität'!L$81)*Capacity_Entsoe_SFS_2017!$D$3:$AK$38)+SUMPRODUCT((Capacity_Entsoe_SFS_2017!$A$3:$A$38='Abgleich Kapazität'!$A94)*(Capacity_Entsoe_SFS_2017!$D$1:$AL$1='Abgleich Kapazität'!L$80)*Capacity_Entsoe_SFS_2017!$D$3:$AK$38)+SUMPRODUCT((Capacity_Entsoe_SFS_2017!$A$3:$A$38='Abgleich Kapazität'!$A94)*(Capacity_Entsoe_SFS_2017!$D$1:$AL$1='Abgleich Kapazität'!L$79)*Capacity_Entsoe_SFS_2017!$D$3:$AK$38)+SUMPRODUCT((Capacity_Entsoe_SFS_2017!$A$3:$A$38='Abgleich Kapazität'!$A94)*(Capacity_Entsoe_SFS_2017!$D$1:$AL$1='Abgleich Kapazität'!L$78)*Capacity_Entsoe_SFS_2017!$D$3:$AK$38)+SUMPRODUCT((Capacity_Entsoe_SFS_2017!$A$3:$A$38='Abgleich Kapazität'!$A94)*(Capacity_Entsoe_SFS_2017!$D$1:$AL$1='Abgleich Kapazität'!L$77)*Capacity_Entsoe_SFS_2017!$D$3:$AK$38)+SUMPRODUCT((Capacity_Entsoe_SFS_2017!$A$3:$A$38='Abgleich Kapazität'!$A94)*(Capacity_Entsoe_SFS_2017!$D$1:$AL$1='Abgleich Kapazität'!L$76)*Capacity_Entsoe_SFS_2017!$D$3:$AK$38))/1000</f>
        <v>#VALUE!</v>
      </c>
      <c r="M94" s="58" t="e">
        <f>(SUMPRODUCT((Capacity_Entsoe_SFS_2017!$A$3:$A$38='Abgleich Kapazität'!$A94)*(Capacity_Entsoe_SFS_2017!$D$1:$AL$1='Abgleich Kapazität'!M$81)*Capacity_Entsoe_SFS_2017!$D$3:$AK$38)+SUMPRODUCT((Capacity_Entsoe_SFS_2017!$A$3:$A$38='Abgleich Kapazität'!$A94)*(Capacity_Entsoe_SFS_2017!$D$1:$AL$1='Abgleich Kapazität'!M$80)*Capacity_Entsoe_SFS_2017!$D$3:$AK$38)+SUMPRODUCT((Capacity_Entsoe_SFS_2017!$A$3:$A$38='Abgleich Kapazität'!$A94)*(Capacity_Entsoe_SFS_2017!$D$1:$AL$1='Abgleich Kapazität'!M$79)*Capacity_Entsoe_SFS_2017!$D$3:$AK$38)+SUMPRODUCT((Capacity_Entsoe_SFS_2017!$A$3:$A$38='Abgleich Kapazität'!$A94)*(Capacity_Entsoe_SFS_2017!$D$1:$AL$1='Abgleich Kapazität'!M$78)*Capacity_Entsoe_SFS_2017!$D$3:$AK$38)+SUMPRODUCT((Capacity_Entsoe_SFS_2017!$A$3:$A$38='Abgleich Kapazität'!$A94)*(Capacity_Entsoe_SFS_2017!$D$1:$AL$1='Abgleich Kapazität'!M$77)*Capacity_Entsoe_SFS_2017!$D$3:$AK$38)+SUMPRODUCT((Capacity_Entsoe_SFS_2017!$A$3:$A$38='Abgleich Kapazität'!$A94)*(Capacity_Entsoe_SFS_2017!$D$1:$AL$1='Abgleich Kapazität'!M$76)*Capacity_Entsoe_SFS_2017!$D$3:$AK$38))/1000</f>
        <v>#VALUE!</v>
      </c>
      <c r="N94" s="58" t="e">
        <f>(SUMPRODUCT((Capacity_Entsoe_SFS_2017!$A$3:$A$38='Abgleich Kapazität'!$A94)*(Capacity_Entsoe_SFS_2017!$D$1:$AL$1='Abgleich Kapazität'!N$81)*Capacity_Entsoe_SFS_2017!$D$3:$AK$38)+SUMPRODUCT((Capacity_Entsoe_SFS_2017!$A$3:$A$38='Abgleich Kapazität'!$A94)*(Capacity_Entsoe_SFS_2017!$D$1:$AL$1='Abgleich Kapazität'!N$80)*Capacity_Entsoe_SFS_2017!$D$3:$AK$38)+SUMPRODUCT((Capacity_Entsoe_SFS_2017!$A$3:$A$38='Abgleich Kapazität'!$A94)*(Capacity_Entsoe_SFS_2017!$D$1:$AL$1='Abgleich Kapazität'!N$79)*Capacity_Entsoe_SFS_2017!$D$3:$AK$38)+SUMPRODUCT((Capacity_Entsoe_SFS_2017!$A$3:$A$38='Abgleich Kapazität'!$A94)*(Capacity_Entsoe_SFS_2017!$D$1:$AL$1='Abgleich Kapazität'!N$78)*Capacity_Entsoe_SFS_2017!$D$3:$AK$38)+SUMPRODUCT((Capacity_Entsoe_SFS_2017!$A$3:$A$38='Abgleich Kapazität'!$A94)*(Capacity_Entsoe_SFS_2017!$D$1:$AL$1='Abgleich Kapazität'!N$77)*Capacity_Entsoe_SFS_2017!$D$3:$AK$38)+SUMPRODUCT((Capacity_Entsoe_SFS_2017!$A$3:$A$38='Abgleich Kapazität'!$A94)*(Capacity_Entsoe_SFS_2017!$D$1:$AL$1='Abgleich Kapazität'!N$76)*Capacity_Entsoe_SFS_2017!$D$3:$AK$38))/1000</f>
        <v>#VALUE!</v>
      </c>
      <c r="O94" s="58" t="e">
        <f>(SUMPRODUCT((Capacity_Entsoe_SFS_2017!$A$3:$A$38='Abgleich Kapazität'!$A94)*(Capacity_Entsoe_SFS_2017!$D$1:$AL$1='Abgleich Kapazität'!O$81)*Capacity_Entsoe_SFS_2017!$D$3:$AK$38)+SUMPRODUCT((Capacity_Entsoe_SFS_2017!$A$3:$A$38='Abgleich Kapazität'!$A94)*(Capacity_Entsoe_SFS_2017!$D$1:$AL$1='Abgleich Kapazität'!O$80)*Capacity_Entsoe_SFS_2017!$D$3:$AK$38)+SUMPRODUCT((Capacity_Entsoe_SFS_2017!$A$3:$A$38='Abgleich Kapazität'!$A94)*(Capacity_Entsoe_SFS_2017!$D$1:$AL$1='Abgleich Kapazität'!O$79)*Capacity_Entsoe_SFS_2017!$D$3:$AK$38)+SUMPRODUCT((Capacity_Entsoe_SFS_2017!$A$3:$A$38='Abgleich Kapazität'!$A94)*(Capacity_Entsoe_SFS_2017!$D$1:$AL$1='Abgleich Kapazität'!O$78)*Capacity_Entsoe_SFS_2017!$D$3:$AK$38)+SUMPRODUCT((Capacity_Entsoe_SFS_2017!$A$3:$A$38='Abgleich Kapazität'!$A94)*(Capacity_Entsoe_SFS_2017!$D$1:$AL$1='Abgleich Kapazität'!O$77)*Capacity_Entsoe_SFS_2017!$D$3:$AK$38)+SUMPRODUCT((Capacity_Entsoe_SFS_2017!$A$3:$A$38='Abgleich Kapazität'!$A94)*(Capacity_Entsoe_SFS_2017!$D$1:$AL$1='Abgleich Kapazität'!O$76)*Capacity_Entsoe_SFS_2017!$D$3:$AK$38))/1000</f>
        <v>#VALUE!</v>
      </c>
      <c r="P94" s="58" t="e">
        <f>(SUMPRODUCT((Capacity_Entsoe_SFS_2017!$A$3:$A$38='Abgleich Kapazität'!$A94)*(Capacity_Entsoe_SFS_2017!$D$1:$AL$1='Abgleich Kapazität'!P$81)*Capacity_Entsoe_SFS_2017!$D$3:$AK$38)+SUMPRODUCT((Capacity_Entsoe_SFS_2017!$A$3:$A$38='Abgleich Kapazität'!$A94)*(Capacity_Entsoe_SFS_2017!$D$1:$AL$1='Abgleich Kapazität'!P$80)*Capacity_Entsoe_SFS_2017!$D$3:$AK$38)+SUMPRODUCT((Capacity_Entsoe_SFS_2017!$A$3:$A$38='Abgleich Kapazität'!$A94)*(Capacity_Entsoe_SFS_2017!$D$1:$AL$1='Abgleich Kapazität'!P$79)*Capacity_Entsoe_SFS_2017!$D$3:$AK$38)+SUMPRODUCT((Capacity_Entsoe_SFS_2017!$A$3:$A$38='Abgleich Kapazität'!$A94)*(Capacity_Entsoe_SFS_2017!$D$1:$AL$1='Abgleich Kapazität'!P$78)*Capacity_Entsoe_SFS_2017!$D$3:$AK$38)+SUMPRODUCT((Capacity_Entsoe_SFS_2017!$A$3:$A$38='Abgleich Kapazität'!$A94)*(Capacity_Entsoe_SFS_2017!$D$1:$AL$1='Abgleich Kapazität'!P$77)*Capacity_Entsoe_SFS_2017!$D$3:$AK$38)+SUMPRODUCT((Capacity_Entsoe_SFS_2017!$A$3:$A$38='Abgleich Kapazität'!$A94)*(Capacity_Entsoe_SFS_2017!$D$1:$AL$1='Abgleich Kapazität'!P$76)*Capacity_Entsoe_SFS_2017!$D$3:$AK$38))/1000</f>
        <v>#VALUE!</v>
      </c>
      <c r="Q94" s="58" t="e">
        <f>(SUMPRODUCT((Capacity_Entsoe_SFS_2017!$A$3:$A$38='Abgleich Kapazität'!$A94)*(Capacity_Entsoe_SFS_2017!$D$1:$AL$1='Abgleich Kapazität'!Q$81)*Capacity_Entsoe_SFS_2017!$D$3:$AK$38)+SUMPRODUCT((Capacity_Entsoe_SFS_2017!$A$3:$A$38='Abgleich Kapazität'!$A94)*(Capacity_Entsoe_SFS_2017!$D$1:$AL$1='Abgleich Kapazität'!Q$80)*Capacity_Entsoe_SFS_2017!$D$3:$AK$38)+SUMPRODUCT((Capacity_Entsoe_SFS_2017!$A$3:$A$38='Abgleich Kapazität'!$A94)*(Capacity_Entsoe_SFS_2017!$D$1:$AL$1='Abgleich Kapazität'!Q$79)*Capacity_Entsoe_SFS_2017!$D$3:$AK$38)+SUMPRODUCT((Capacity_Entsoe_SFS_2017!$A$3:$A$38='Abgleich Kapazität'!$A94)*(Capacity_Entsoe_SFS_2017!$D$1:$AL$1='Abgleich Kapazität'!Q$78)*Capacity_Entsoe_SFS_2017!$D$3:$AK$38)+SUMPRODUCT((Capacity_Entsoe_SFS_2017!$A$3:$A$38='Abgleich Kapazität'!$A94)*(Capacity_Entsoe_SFS_2017!$D$1:$AL$1='Abgleich Kapazität'!Q$77)*Capacity_Entsoe_SFS_2017!$D$3:$AK$38)+SUMPRODUCT((Capacity_Entsoe_SFS_2017!$A$3:$A$38='Abgleich Kapazität'!$A94)*(Capacity_Entsoe_SFS_2017!$D$1:$AL$1='Abgleich Kapazität'!Q$76)*Capacity_Entsoe_SFS_2017!$D$3:$AK$38))/1000</f>
        <v>#VALUE!</v>
      </c>
      <c r="R94" s="58" t="e">
        <f>(SUMPRODUCT((Capacity_Entsoe_SFS_2017!$A$3:$A$38='Abgleich Kapazität'!$A94)*(Capacity_Entsoe_SFS_2017!$D$1:$AL$1='Abgleich Kapazität'!R$81)*Capacity_Entsoe_SFS_2017!$D$3:$AK$38)+SUMPRODUCT((Capacity_Entsoe_SFS_2017!$A$3:$A$38='Abgleich Kapazität'!$A94)*(Capacity_Entsoe_SFS_2017!$D$1:$AL$1='Abgleich Kapazität'!R$80)*Capacity_Entsoe_SFS_2017!$D$3:$AK$38)+SUMPRODUCT((Capacity_Entsoe_SFS_2017!$A$3:$A$38='Abgleich Kapazität'!$A94)*(Capacity_Entsoe_SFS_2017!$D$1:$AL$1='Abgleich Kapazität'!R$79)*Capacity_Entsoe_SFS_2017!$D$3:$AK$38)+SUMPRODUCT((Capacity_Entsoe_SFS_2017!$A$3:$A$38='Abgleich Kapazität'!$A94)*(Capacity_Entsoe_SFS_2017!$D$1:$AL$1='Abgleich Kapazität'!R$78)*Capacity_Entsoe_SFS_2017!$D$3:$AK$38)+SUMPRODUCT((Capacity_Entsoe_SFS_2017!$A$3:$A$38='Abgleich Kapazität'!$A94)*(Capacity_Entsoe_SFS_2017!$D$1:$AL$1='Abgleich Kapazität'!R$77)*Capacity_Entsoe_SFS_2017!$D$3:$AK$38)+SUMPRODUCT((Capacity_Entsoe_SFS_2017!$A$3:$A$38='Abgleich Kapazität'!$A94)*(Capacity_Entsoe_SFS_2017!$D$1:$AL$1='Abgleich Kapazität'!R$76)*Capacity_Entsoe_SFS_2017!$D$3:$AK$38))/1000</f>
        <v>#VALUE!</v>
      </c>
      <c r="S94" s="58" t="e">
        <f>(SUMPRODUCT((Capacity_Entsoe_SFS_2017!$A$3:$A$38='Abgleich Kapazität'!$A94)*(Capacity_Entsoe_SFS_2017!$D$1:$AL$1='Abgleich Kapazität'!S$81)*Capacity_Entsoe_SFS_2017!$D$3:$AK$38)+SUMPRODUCT((Capacity_Entsoe_SFS_2017!$A$3:$A$38='Abgleich Kapazität'!$A94)*(Capacity_Entsoe_SFS_2017!$D$1:$AL$1='Abgleich Kapazität'!S$80)*Capacity_Entsoe_SFS_2017!$D$3:$AK$38)+SUMPRODUCT((Capacity_Entsoe_SFS_2017!$A$3:$A$38='Abgleich Kapazität'!$A94)*(Capacity_Entsoe_SFS_2017!$D$1:$AL$1='Abgleich Kapazität'!S$79)*Capacity_Entsoe_SFS_2017!$D$3:$AK$38)+SUMPRODUCT((Capacity_Entsoe_SFS_2017!$A$3:$A$38='Abgleich Kapazität'!$A94)*(Capacity_Entsoe_SFS_2017!$D$1:$AL$1='Abgleich Kapazität'!S$78)*Capacity_Entsoe_SFS_2017!$D$3:$AK$38)+SUMPRODUCT((Capacity_Entsoe_SFS_2017!$A$3:$A$38='Abgleich Kapazität'!$A94)*(Capacity_Entsoe_SFS_2017!$D$1:$AL$1='Abgleich Kapazität'!S$77)*Capacity_Entsoe_SFS_2017!$D$3:$AK$38)+SUMPRODUCT((Capacity_Entsoe_SFS_2017!$A$3:$A$38='Abgleich Kapazität'!$A94)*(Capacity_Entsoe_SFS_2017!$D$1:$AL$1='Abgleich Kapazität'!S$76)*Capacity_Entsoe_SFS_2017!$D$3:$AK$38))/1000</f>
        <v>#VALUE!</v>
      </c>
      <c r="T94" s="58" t="e">
        <f>(SUMPRODUCT((Capacity_Entsoe_SFS_2017!$A$3:$A$38='Abgleich Kapazität'!$A94)*(Capacity_Entsoe_SFS_2017!$D$1:$AL$1='Abgleich Kapazität'!T$81)*Capacity_Entsoe_SFS_2017!$D$3:$AK$38)+SUMPRODUCT((Capacity_Entsoe_SFS_2017!$A$3:$A$38='Abgleich Kapazität'!$A94)*(Capacity_Entsoe_SFS_2017!$D$1:$AL$1='Abgleich Kapazität'!T$80)*Capacity_Entsoe_SFS_2017!$D$3:$AK$38)+SUMPRODUCT((Capacity_Entsoe_SFS_2017!$A$3:$A$38='Abgleich Kapazität'!$A94)*(Capacity_Entsoe_SFS_2017!$D$1:$AL$1='Abgleich Kapazität'!T$79)*Capacity_Entsoe_SFS_2017!$D$3:$AK$38)+SUMPRODUCT((Capacity_Entsoe_SFS_2017!$A$3:$A$38='Abgleich Kapazität'!$A94)*(Capacity_Entsoe_SFS_2017!$D$1:$AL$1='Abgleich Kapazität'!T$78)*Capacity_Entsoe_SFS_2017!$D$3:$AK$38)+SUMPRODUCT((Capacity_Entsoe_SFS_2017!$A$3:$A$38='Abgleich Kapazität'!$A94)*(Capacity_Entsoe_SFS_2017!$D$1:$AL$1='Abgleich Kapazität'!T$77)*Capacity_Entsoe_SFS_2017!$D$3:$AK$38)+SUMPRODUCT((Capacity_Entsoe_SFS_2017!$A$3:$A$38='Abgleich Kapazität'!$A94)*(Capacity_Entsoe_SFS_2017!$D$1:$AL$1='Abgleich Kapazität'!T$76)*Capacity_Entsoe_SFS_2017!$D$3:$AK$38))/1000</f>
        <v>#VALUE!</v>
      </c>
      <c r="U94" s="58" t="e">
        <f>(SUMPRODUCT((Capacity_Entsoe_SFS_2017!$A$3:$A$38='Abgleich Kapazität'!$A94)*(Capacity_Entsoe_SFS_2017!$D$1:$AL$1='Abgleich Kapazität'!U$81)*Capacity_Entsoe_SFS_2017!$D$3:$AK$38)+SUMPRODUCT((Capacity_Entsoe_SFS_2017!$A$3:$A$38='Abgleich Kapazität'!$A94)*(Capacity_Entsoe_SFS_2017!$D$1:$AL$1='Abgleich Kapazität'!U$80)*Capacity_Entsoe_SFS_2017!$D$3:$AK$38)+SUMPRODUCT((Capacity_Entsoe_SFS_2017!$A$3:$A$38='Abgleich Kapazität'!$A94)*(Capacity_Entsoe_SFS_2017!$D$1:$AL$1='Abgleich Kapazität'!U$79)*Capacity_Entsoe_SFS_2017!$D$3:$AK$38)+SUMPRODUCT((Capacity_Entsoe_SFS_2017!$A$3:$A$38='Abgleich Kapazität'!$A94)*(Capacity_Entsoe_SFS_2017!$D$1:$AL$1='Abgleich Kapazität'!U$78)*Capacity_Entsoe_SFS_2017!$D$3:$AK$38)+SUMPRODUCT((Capacity_Entsoe_SFS_2017!$A$3:$A$38='Abgleich Kapazität'!$A94)*(Capacity_Entsoe_SFS_2017!$D$1:$AL$1='Abgleich Kapazität'!U$77)*Capacity_Entsoe_SFS_2017!$D$3:$AK$38)+SUMPRODUCT((Capacity_Entsoe_SFS_2017!$A$3:$A$38='Abgleich Kapazität'!$A94)*(Capacity_Entsoe_SFS_2017!$D$1:$AL$1='Abgleich Kapazität'!U$76)*Capacity_Entsoe_SFS_2017!$D$3:$AK$38))/1000</f>
        <v>#VALUE!</v>
      </c>
      <c r="V94" s="59" t="e">
        <f t="shared" si="80"/>
        <v>#VALUE!</v>
      </c>
    </row>
    <row r="95" spans="1:22" x14ac:dyDescent="0.25">
      <c r="A95" s="14" t="s">
        <v>21</v>
      </c>
      <c r="B95" s="25" t="e">
        <f t="shared" si="77"/>
        <v>#VALUE!</v>
      </c>
      <c r="C95" s="26" t="e">
        <f>(SUMPRODUCT((Capacity_Entsoe_SFS_2017!$A$3:$A$38='Abgleich Kapazität'!$A95)*(Capacity_Entsoe_SFS_2017!$D$1:$AL$1='Abgleich Kapazität'!C$81)*Capacity_Entsoe_SFS_2017!$D$3:$AK$38)+SUMPRODUCT((Capacity_Entsoe_SFS_2017!$A$3:$A$38='Abgleich Kapazität'!$A95)*(Capacity_Entsoe_SFS_2017!$D$1:$AL$1='Abgleich Kapazität'!C$80)*Capacity_Entsoe_SFS_2017!$D$3:$AK$38)+SUMPRODUCT((Capacity_Entsoe_SFS_2017!$A$3:$A$38='Abgleich Kapazität'!$A95)*(Capacity_Entsoe_SFS_2017!$D$1:$AL$1='Abgleich Kapazität'!C$79)*Capacity_Entsoe_SFS_2017!$D$3:$AK$38)+SUMPRODUCT((Capacity_Entsoe_SFS_2017!$A$3:$A$38='Abgleich Kapazität'!$A95)*(Capacity_Entsoe_SFS_2017!$D$1:$AL$1='Abgleich Kapazität'!C$78)*Capacity_Entsoe_SFS_2017!$D$3:$AK$38))/1000</f>
        <v>#VALUE!</v>
      </c>
      <c r="D95" s="26" t="e">
        <f t="shared" si="78"/>
        <v>#VALUE!</v>
      </c>
      <c r="E95" s="26" t="e">
        <f>(SUMPRODUCT((Capacity_Entsoe_SFS_2017!$A$3:$A$38='Abgleich Kapazität'!$A95)*(Capacity_Entsoe_SFS_2017!$D$1:$AL$1='Abgleich Kapazität'!E$81)*Capacity_Entsoe_SFS_2017!$D$3:$AK$38)+SUMPRODUCT((Capacity_Entsoe_SFS_2017!$A$3:$A$38='Abgleich Kapazität'!$A95)*(Capacity_Entsoe_SFS_2017!$D$1:$AL$1='Abgleich Kapazität'!E$80)*Capacity_Entsoe_SFS_2017!$D$3:$AK$38)+SUMPRODUCT((Capacity_Entsoe_SFS_2017!$A$3:$A$38='Abgleich Kapazität'!$A95)*(Capacity_Entsoe_SFS_2017!$D$1:$AL$1='Abgleich Kapazität'!E$79)*Capacity_Entsoe_SFS_2017!$D$3:$AK$38)+SUMPRODUCT((Capacity_Entsoe_SFS_2017!$A$3:$A$38='Abgleich Kapazität'!$A95)*(Capacity_Entsoe_SFS_2017!$D$1:$AL$1='Abgleich Kapazität'!E$78)*Capacity_Entsoe_SFS_2017!$D$3:$AK$38))/1000</f>
        <v>#VALUE!</v>
      </c>
      <c r="F95" s="26" t="e">
        <f>(SUMPRODUCT((Capacity_Entsoe_SFS_2017!$A$3:$A$38='Abgleich Kapazität'!$A95)*(Capacity_Entsoe_SFS_2017!$D$1:$AL$1='Abgleich Kapazität'!F$81)*Capacity_Entsoe_SFS_2017!$D$3:$AK$38)+SUMPRODUCT((Capacity_Entsoe_SFS_2017!$A$3:$A$38='Abgleich Kapazität'!$A95)*(Capacity_Entsoe_SFS_2017!$D$1:$AL$1='Abgleich Kapazität'!F$80)*Capacity_Entsoe_SFS_2017!$D$3:$AK$38)+SUMPRODUCT((Capacity_Entsoe_SFS_2017!$A$3:$A$38='Abgleich Kapazität'!$A95)*(Capacity_Entsoe_SFS_2017!$D$1:$AL$1='Abgleich Kapazität'!F$79)*Capacity_Entsoe_SFS_2017!$D$3:$AK$38)+SUMPRODUCT((Capacity_Entsoe_SFS_2017!$A$3:$A$38='Abgleich Kapazität'!$A95)*(Capacity_Entsoe_SFS_2017!$D$1:$AL$1='Abgleich Kapazität'!F$78)*Capacity_Entsoe_SFS_2017!$D$3:$AK$38))/1000</f>
        <v>#VALUE!</v>
      </c>
      <c r="G95" s="26" t="e">
        <f>(SUMPRODUCT((Capacity_Entsoe_SFS_2017!$A$3:$A$38='Abgleich Kapazität'!$A95)*(Capacity_Entsoe_SFS_2017!$D$1:$AL$1='Abgleich Kapazität'!G$81)*Capacity_Entsoe_SFS_2017!$D$3:$AK$38)+SUMPRODUCT((Capacity_Entsoe_SFS_2017!$A$3:$A$38='Abgleich Kapazität'!$A95)*(Capacity_Entsoe_SFS_2017!$D$1:$AL$1='Abgleich Kapazität'!G$80)*Capacity_Entsoe_SFS_2017!$D$3:$AK$38)+SUMPRODUCT((Capacity_Entsoe_SFS_2017!$A$3:$A$38='Abgleich Kapazität'!$A95)*(Capacity_Entsoe_SFS_2017!$D$1:$AL$1='Abgleich Kapazität'!G$79)*Capacity_Entsoe_SFS_2017!$D$3:$AK$38)+SUMPRODUCT((Capacity_Entsoe_SFS_2017!$A$3:$A$38='Abgleich Kapazität'!$A95)*(Capacity_Entsoe_SFS_2017!$D$1:$AL$1='Abgleich Kapazität'!G$78)*Capacity_Entsoe_SFS_2017!$D$3:$AK$38))/1000</f>
        <v>#VALUE!</v>
      </c>
      <c r="H95" s="26" t="e">
        <f>(SUMPRODUCT((Capacity_Entsoe_SFS_2017!$A$3:$A$38='Abgleich Kapazität'!$A95)*(Capacity_Entsoe_SFS_2017!$D$1:$AL$1='Abgleich Kapazität'!H$81)*Capacity_Entsoe_SFS_2017!$D$3:$AK$38)+SUMPRODUCT((Capacity_Entsoe_SFS_2017!$A$3:$A$38='Abgleich Kapazität'!$A95)*(Capacity_Entsoe_SFS_2017!$D$1:$AL$1='Abgleich Kapazität'!H$80)*Capacity_Entsoe_SFS_2017!$D$3:$AK$38)+SUMPRODUCT((Capacity_Entsoe_SFS_2017!$A$3:$A$38='Abgleich Kapazität'!$A95)*(Capacity_Entsoe_SFS_2017!$D$1:$AL$1='Abgleich Kapazität'!H$79)*Capacity_Entsoe_SFS_2017!$D$3:$AK$38)+SUMPRODUCT((Capacity_Entsoe_SFS_2017!$A$3:$A$38='Abgleich Kapazität'!$A95)*(Capacity_Entsoe_SFS_2017!$D$1:$AL$1='Abgleich Kapazität'!H$78)*Capacity_Entsoe_SFS_2017!$D$3:$AK$38))/1000</f>
        <v>#VALUE!</v>
      </c>
      <c r="I95" s="26" t="e">
        <f>(SUMPRODUCT((Capacity_Entsoe_SFS_2017!$A$3:$A$38='Abgleich Kapazität'!$A95)*(Capacity_Entsoe_SFS_2017!$D$1:$AL$1='Abgleich Kapazität'!I$81)*Capacity_Entsoe_SFS_2017!$D$3:$AK$38)+SUMPRODUCT((Capacity_Entsoe_SFS_2017!$A$3:$A$38='Abgleich Kapazität'!$A95)*(Capacity_Entsoe_SFS_2017!$D$1:$AL$1='Abgleich Kapazität'!I$80)*Capacity_Entsoe_SFS_2017!$D$3:$AK$38)+SUMPRODUCT((Capacity_Entsoe_SFS_2017!$A$3:$A$38='Abgleich Kapazität'!$A95)*(Capacity_Entsoe_SFS_2017!$D$1:$AL$1='Abgleich Kapazität'!I$79)*Capacity_Entsoe_SFS_2017!$D$3:$AK$38)+SUMPRODUCT((Capacity_Entsoe_SFS_2017!$A$3:$A$38='Abgleich Kapazität'!$A95)*(Capacity_Entsoe_SFS_2017!$D$1:$AL$1='Abgleich Kapazität'!I$78)*Capacity_Entsoe_SFS_2017!$D$3:$AK$38))/1000</f>
        <v>#VALUE!</v>
      </c>
      <c r="J95" s="26" t="e">
        <f>(SUMPRODUCT((Capacity_Entsoe_SFS_2017!$A$3:$A$38='Abgleich Kapazität'!$A95)*(Capacity_Entsoe_SFS_2017!$D$1:$AL$1='Abgleich Kapazität'!J$81)*Capacity_Entsoe_SFS_2017!$D$3:$AK$38)+SUMPRODUCT((Capacity_Entsoe_SFS_2017!$A$3:$A$38='Abgleich Kapazität'!$A95)*(Capacity_Entsoe_SFS_2017!$D$1:$AL$1='Abgleich Kapazität'!J$80)*Capacity_Entsoe_SFS_2017!$D$3:$AK$38)+SUMPRODUCT((Capacity_Entsoe_SFS_2017!$A$3:$A$38='Abgleich Kapazität'!$A95)*(Capacity_Entsoe_SFS_2017!$D$1:$AL$1='Abgleich Kapazität'!J$79)*Capacity_Entsoe_SFS_2017!$D$3:$AK$38)+SUMPRODUCT((Capacity_Entsoe_SFS_2017!$A$3:$A$38='Abgleich Kapazität'!$A95)*(Capacity_Entsoe_SFS_2017!$D$1:$AL$1='Abgleich Kapazität'!J$78)*Capacity_Entsoe_SFS_2017!$D$3:$AK$38))/1000</f>
        <v>#VALUE!</v>
      </c>
      <c r="K95" s="27" t="e">
        <f t="shared" si="79"/>
        <v>#VALUE!</v>
      </c>
      <c r="L95" s="26" t="e">
        <f>(SUMPRODUCT((Capacity_Entsoe_SFS_2017!$A$3:$A$38='Abgleich Kapazität'!$A95)*(Capacity_Entsoe_SFS_2017!$D$1:$AL$1='Abgleich Kapazität'!L$81)*Capacity_Entsoe_SFS_2017!$D$3:$AK$38)+SUMPRODUCT((Capacity_Entsoe_SFS_2017!$A$3:$A$38='Abgleich Kapazität'!$A95)*(Capacity_Entsoe_SFS_2017!$D$1:$AL$1='Abgleich Kapazität'!L$80)*Capacity_Entsoe_SFS_2017!$D$3:$AK$38)+SUMPRODUCT((Capacity_Entsoe_SFS_2017!$A$3:$A$38='Abgleich Kapazität'!$A95)*(Capacity_Entsoe_SFS_2017!$D$1:$AL$1='Abgleich Kapazität'!L$79)*Capacity_Entsoe_SFS_2017!$D$3:$AK$38)+SUMPRODUCT((Capacity_Entsoe_SFS_2017!$A$3:$A$38='Abgleich Kapazität'!$A95)*(Capacity_Entsoe_SFS_2017!$D$1:$AL$1='Abgleich Kapazität'!L$78)*Capacity_Entsoe_SFS_2017!$D$3:$AK$38)+SUMPRODUCT((Capacity_Entsoe_SFS_2017!$A$3:$A$38='Abgleich Kapazität'!$A95)*(Capacity_Entsoe_SFS_2017!$D$1:$AL$1='Abgleich Kapazität'!L$77)*Capacity_Entsoe_SFS_2017!$D$3:$AK$38)+SUMPRODUCT((Capacity_Entsoe_SFS_2017!$A$3:$A$38='Abgleich Kapazität'!$A95)*(Capacity_Entsoe_SFS_2017!$D$1:$AL$1='Abgleich Kapazität'!L$76)*Capacity_Entsoe_SFS_2017!$D$3:$AK$38))/1000</f>
        <v>#VALUE!</v>
      </c>
      <c r="M95" s="26" t="e">
        <f>(SUMPRODUCT((Capacity_Entsoe_SFS_2017!$A$3:$A$38='Abgleich Kapazität'!$A95)*(Capacity_Entsoe_SFS_2017!$D$1:$AL$1='Abgleich Kapazität'!M$81)*Capacity_Entsoe_SFS_2017!$D$3:$AK$38)+SUMPRODUCT((Capacity_Entsoe_SFS_2017!$A$3:$A$38='Abgleich Kapazität'!$A95)*(Capacity_Entsoe_SFS_2017!$D$1:$AL$1='Abgleich Kapazität'!M$80)*Capacity_Entsoe_SFS_2017!$D$3:$AK$38)+SUMPRODUCT((Capacity_Entsoe_SFS_2017!$A$3:$A$38='Abgleich Kapazität'!$A95)*(Capacity_Entsoe_SFS_2017!$D$1:$AL$1='Abgleich Kapazität'!M$79)*Capacity_Entsoe_SFS_2017!$D$3:$AK$38)+SUMPRODUCT((Capacity_Entsoe_SFS_2017!$A$3:$A$38='Abgleich Kapazität'!$A95)*(Capacity_Entsoe_SFS_2017!$D$1:$AL$1='Abgleich Kapazität'!M$78)*Capacity_Entsoe_SFS_2017!$D$3:$AK$38)+SUMPRODUCT((Capacity_Entsoe_SFS_2017!$A$3:$A$38='Abgleich Kapazität'!$A95)*(Capacity_Entsoe_SFS_2017!$D$1:$AL$1='Abgleich Kapazität'!M$77)*Capacity_Entsoe_SFS_2017!$D$3:$AK$38)+SUMPRODUCT((Capacity_Entsoe_SFS_2017!$A$3:$A$38='Abgleich Kapazität'!$A95)*(Capacity_Entsoe_SFS_2017!$D$1:$AL$1='Abgleich Kapazität'!M$76)*Capacity_Entsoe_SFS_2017!$D$3:$AK$38))/1000</f>
        <v>#VALUE!</v>
      </c>
      <c r="N95" s="26" t="e">
        <f>(SUMPRODUCT((Capacity_Entsoe_SFS_2017!$A$3:$A$38='Abgleich Kapazität'!$A95)*(Capacity_Entsoe_SFS_2017!$D$1:$AL$1='Abgleich Kapazität'!N$81)*Capacity_Entsoe_SFS_2017!$D$3:$AK$38)+SUMPRODUCT((Capacity_Entsoe_SFS_2017!$A$3:$A$38='Abgleich Kapazität'!$A95)*(Capacity_Entsoe_SFS_2017!$D$1:$AL$1='Abgleich Kapazität'!N$80)*Capacity_Entsoe_SFS_2017!$D$3:$AK$38)+SUMPRODUCT((Capacity_Entsoe_SFS_2017!$A$3:$A$38='Abgleich Kapazität'!$A95)*(Capacity_Entsoe_SFS_2017!$D$1:$AL$1='Abgleich Kapazität'!N$79)*Capacity_Entsoe_SFS_2017!$D$3:$AK$38)+SUMPRODUCT((Capacity_Entsoe_SFS_2017!$A$3:$A$38='Abgleich Kapazität'!$A95)*(Capacity_Entsoe_SFS_2017!$D$1:$AL$1='Abgleich Kapazität'!N$78)*Capacity_Entsoe_SFS_2017!$D$3:$AK$38)+SUMPRODUCT((Capacity_Entsoe_SFS_2017!$A$3:$A$38='Abgleich Kapazität'!$A95)*(Capacity_Entsoe_SFS_2017!$D$1:$AL$1='Abgleich Kapazität'!N$77)*Capacity_Entsoe_SFS_2017!$D$3:$AK$38)+SUMPRODUCT((Capacity_Entsoe_SFS_2017!$A$3:$A$38='Abgleich Kapazität'!$A95)*(Capacity_Entsoe_SFS_2017!$D$1:$AL$1='Abgleich Kapazität'!N$76)*Capacity_Entsoe_SFS_2017!$D$3:$AK$38))/1000</f>
        <v>#VALUE!</v>
      </c>
      <c r="O95" s="26" t="e">
        <f>(SUMPRODUCT((Capacity_Entsoe_SFS_2017!$A$3:$A$38='Abgleich Kapazität'!$A95)*(Capacity_Entsoe_SFS_2017!$D$1:$AL$1='Abgleich Kapazität'!O$81)*Capacity_Entsoe_SFS_2017!$D$3:$AK$38)+SUMPRODUCT((Capacity_Entsoe_SFS_2017!$A$3:$A$38='Abgleich Kapazität'!$A95)*(Capacity_Entsoe_SFS_2017!$D$1:$AL$1='Abgleich Kapazität'!O$80)*Capacity_Entsoe_SFS_2017!$D$3:$AK$38)+SUMPRODUCT((Capacity_Entsoe_SFS_2017!$A$3:$A$38='Abgleich Kapazität'!$A95)*(Capacity_Entsoe_SFS_2017!$D$1:$AL$1='Abgleich Kapazität'!O$79)*Capacity_Entsoe_SFS_2017!$D$3:$AK$38)+SUMPRODUCT((Capacity_Entsoe_SFS_2017!$A$3:$A$38='Abgleich Kapazität'!$A95)*(Capacity_Entsoe_SFS_2017!$D$1:$AL$1='Abgleich Kapazität'!O$78)*Capacity_Entsoe_SFS_2017!$D$3:$AK$38)+SUMPRODUCT((Capacity_Entsoe_SFS_2017!$A$3:$A$38='Abgleich Kapazität'!$A95)*(Capacity_Entsoe_SFS_2017!$D$1:$AL$1='Abgleich Kapazität'!O$77)*Capacity_Entsoe_SFS_2017!$D$3:$AK$38)+SUMPRODUCT((Capacity_Entsoe_SFS_2017!$A$3:$A$38='Abgleich Kapazität'!$A95)*(Capacity_Entsoe_SFS_2017!$D$1:$AL$1='Abgleich Kapazität'!O$76)*Capacity_Entsoe_SFS_2017!$D$3:$AK$38))/1000</f>
        <v>#VALUE!</v>
      </c>
      <c r="P95" s="26" t="e">
        <f>(SUMPRODUCT((Capacity_Entsoe_SFS_2017!$A$3:$A$38='Abgleich Kapazität'!$A95)*(Capacity_Entsoe_SFS_2017!$D$1:$AL$1='Abgleich Kapazität'!P$81)*Capacity_Entsoe_SFS_2017!$D$3:$AK$38)+SUMPRODUCT((Capacity_Entsoe_SFS_2017!$A$3:$A$38='Abgleich Kapazität'!$A95)*(Capacity_Entsoe_SFS_2017!$D$1:$AL$1='Abgleich Kapazität'!P$80)*Capacity_Entsoe_SFS_2017!$D$3:$AK$38)+SUMPRODUCT((Capacity_Entsoe_SFS_2017!$A$3:$A$38='Abgleich Kapazität'!$A95)*(Capacity_Entsoe_SFS_2017!$D$1:$AL$1='Abgleich Kapazität'!P$79)*Capacity_Entsoe_SFS_2017!$D$3:$AK$38)+SUMPRODUCT((Capacity_Entsoe_SFS_2017!$A$3:$A$38='Abgleich Kapazität'!$A95)*(Capacity_Entsoe_SFS_2017!$D$1:$AL$1='Abgleich Kapazität'!P$78)*Capacity_Entsoe_SFS_2017!$D$3:$AK$38)+SUMPRODUCT((Capacity_Entsoe_SFS_2017!$A$3:$A$38='Abgleich Kapazität'!$A95)*(Capacity_Entsoe_SFS_2017!$D$1:$AL$1='Abgleich Kapazität'!P$77)*Capacity_Entsoe_SFS_2017!$D$3:$AK$38)+SUMPRODUCT((Capacity_Entsoe_SFS_2017!$A$3:$A$38='Abgleich Kapazität'!$A95)*(Capacity_Entsoe_SFS_2017!$D$1:$AL$1='Abgleich Kapazität'!P$76)*Capacity_Entsoe_SFS_2017!$D$3:$AK$38))/1000</f>
        <v>#VALUE!</v>
      </c>
      <c r="Q95" s="26" t="e">
        <f>(SUMPRODUCT((Capacity_Entsoe_SFS_2017!$A$3:$A$38='Abgleich Kapazität'!$A95)*(Capacity_Entsoe_SFS_2017!$D$1:$AL$1='Abgleich Kapazität'!Q$81)*Capacity_Entsoe_SFS_2017!$D$3:$AK$38)+SUMPRODUCT((Capacity_Entsoe_SFS_2017!$A$3:$A$38='Abgleich Kapazität'!$A95)*(Capacity_Entsoe_SFS_2017!$D$1:$AL$1='Abgleich Kapazität'!Q$80)*Capacity_Entsoe_SFS_2017!$D$3:$AK$38)+SUMPRODUCT((Capacity_Entsoe_SFS_2017!$A$3:$A$38='Abgleich Kapazität'!$A95)*(Capacity_Entsoe_SFS_2017!$D$1:$AL$1='Abgleich Kapazität'!Q$79)*Capacity_Entsoe_SFS_2017!$D$3:$AK$38)+SUMPRODUCT((Capacity_Entsoe_SFS_2017!$A$3:$A$38='Abgleich Kapazität'!$A95)*(Capacity_Entsoe_SFS_2017!$D$1:$AL$1='Abgleich Kapazität'!Q$78)*Capacity_Entsoe_SFS_2017!$D$3:$AK$38)+SUMPRODUCT((Capacity_Entsoe_SFS_2017!$A$3:$A$38='Abgleich Kapazität'!$A95)*(Capacity_Entsoe_SFS_2017!$D$1:$AL$1='Abgleich Kapazität'!Q$77)*Capacity_Entsoe_SFS_2017!$D$3:$AK$38)+SUMPRODUCT((Capacity_Entsoe_SFS_2017!$A$3:$A$38='Abgleich Kapazität'!$A95)*(Capacity_Entsoe_SFS_2017!$D$1:$AL$1='Abgleich Kapazität'!Q$76)*Capacity_Entsoe_SFS_2017!$D$3:$AK$38))/1000</f>
        <v>#VALUE!</v>
      </c>
      <c r="R95" s="26" t="e">
        <f>(SUMPRODUCT((Capacity_Entsoe_SFS_2017!$A$3:$A$38='Abgleich Kapazität'!$A95)*(Capacity_Entsoe_SFS_2017!$D$1:$AL$1='Abgleich Kapazität'!R$81)*Capacity_Entsoe_SFS_2017!$D$3:$AK$38)+SUMPRODUCT((Capacity_Entsoe_SFS_2017!$A$3:$A$38='Abgleich Kapazität'!$A95)*(Capacity_Entsoe_SFS_2017!$D$1:$AL$1='Abgleich Kapazität'!R$80)*Capacity_Entsoe_SFS_2017!$D$3:$AK$38)+SUMPRODUCT((Capacity_Entsoe_SFS_2017!$A$3:$A$38='Abgleich Kapazität'!$A95)*(Capacity_Entsoe_SFS_2017!$D$1:$AL$1='Abgleich Kapazität'!R$79)*Capacity_Entsoe_SFS_2017!$D$3:$AK$38)+SUMPRODUCT((Capacity_Entsoe_SFS_2017!$A$3:$A$38='Abgleich Kapazität'!$A95)*(Capacity_Entsoe_SFS_2017!$D$1:$AL$1='Abgleich Kapazität'!R$78)*Capacity_Entsoe_SFS_2017!$D$3:$AK$38)+SUMPRODUCT((Capacity_Entsoe_SFS_2017!$A$3:$A$38='Abgleich Kapazität'!$A95)*(Capacity_Entsoe_SFS_2017!$D$1:$AL$1='Abgleich Kapazität'!R$77)*Capacity_Entsoe_SFS_2017!$D$3:$AK$38)+SUMPRODUCT((Capacity_Entsoe_SFS_2017!$A$3:$A$38='Abgleich Kapazität'!$A95)*(Capacity_Entsoe_SFS_2017!$D$1:$AL$1='Abgleich Kapazität'!R$76)*Capacity_Entsoe_SFS_2017!$D$3:$AK$38))/1000</f>
        <v>#VALUE!</v>
      </c>
      <c r="S95" s="26" t="e">
        <f>(SUMPRODUCT((Capacity_Entsoe_SFS_2017!$A$3:$A$38='Abgleich Kapazität'!$A95)*(Capacity_Entsoe_SFS_2017!$D$1:$AL$1='Abgleich Kapazität'!S$81)*Capacity_Entsoe_SFS_2017!$D$3:$AK$38)+SUMPRODUCT((Capacity_Entsoe_SFS_2017!$A$3:$A$38='Abgleich Kapazität'!$A95)*(Capacity_Entsoe_SFS_2017!$D$1:$AL$1='Abgleich Kapazität'!S$80)*Capacity_Entsoe_SFS_2017!$D$3:$AK$38)+SUMPRODUCT((Capacity_Entsoe_SFS_2017!$A$3:$A$38='Abgleich Kapazität'!$A95)*(Capacity_Entsoe_SFS_2017!$D$1:$AL$1='Abgleich Kapazität'!S$79)*Capacity_Entsoe_SFS_2017!$D$3:$AK$38)+SUMPRODUCT((Capacity_Entsoe_SFS_2017!$A$3:$A$38='Abgleich Kapazität'!$A95)*(Capacity_Entsoe_SFS_2017!$D$1:$AL$1='Abgleich Kapazität'!S$78)*Capacity_Entsoe_SFS_2017!$D$3:$AK$38)+SUMPRODUCT((Capacity_Entsoe_SFS_2017!$A$3:$A$38='Abgleich Kapazität'!$A95)*(Capacity_Entsoe_SFS_2017!$D$1:$AL$1='Abgleich Kapazität'!S$77)*Capacity_Entsoe_SFS_2017!$D$3:$AK$38)+SUMPRODUCT((Capacity_Entsoe_SFS_2017!$A$3:$A$38='Abgleich Kapazität'!$A95)*(Capacity_Entsoe_SFS_2017!$D$1:$AL$1='Abgleich Kapazität'!S$76)*Capacity_Entsoe_SFS_2017!$D$3:$AK$38))/1000</f>
        <v>#VALUE!</v>
      </c>
      <c r="T95" s="26" t="e">
        <f>(SUMPRODUCT((Capacity_Entsoe_SFS_2017!$A$3:$A$38='Abgleich Kapazität'!$A95)*(Capacity_Entsoe_SFS_2017!$D$1:$AL$1='Abgleich Kapazität'!T$81)*Capacity_Entsoe_SFS_2017!$D$3:$AK$38)+SUMPRODUCT((Capacity_Entsoe_SFS_2017!$A$3:$A$38='Abgleich Kapazität'!$A95)*(Capacity_Entsoe_SFS_2017!$D$1:$AL$1='Abgleich Kapazität'!T$80)*Capacity_Entsoe_SFS_2017!$D$3:$AK$38)+SUMPRODUCT((Capacity_Entsoe_SFS_2017!$A$3:$A$38='Abgleich Kapazität'!$A95)*(Capacity_Entsoe_SFS_2017!$D$1:$AL$1='Abgleich Kapazität'!T$79)*Capacity_Entsoe_SFS_2017!$D$3:$AK$38)+SUMPRODUCT((Capacity_Entsoe_SFS_2017!$A$3:$A$38='Abgleich Kapazität'!$A95)*(Capacity_Entsoe_SFS_2017!$D$1:$AL$1='Abgleich Kapazität'!T$78)*Capacity_Entsoe_SFS_2017!$D$3:$AK$38)+SUMPRODUCT((Capacity_Entsoe_SFS_2017!$A$3:$A$38='Abgleich Kapazität'!$A95)*(Capacity_Entsoe_SFS_2017!$D$1:$AL$1='Abgleich Kapazität'!T$77)*Capacity_Entsoe_SFS_2017!$D$3:$AK$38)+SUMPRODUCT((Capacity_Entsoe_SFS_2017!$A$3:$A$38='Abgleich Kapazität'!$A95)*(Capacity_Entsoe_SFS_2017!$D$1:$AL$1='Abgleich Kapazität'!T$76)*Capacity_Entsoe_SFS_2017!$D$3:$AK$38))/1000</f>
        <v>#VALUE!</v>
      </c>
      <c r="U95" s="26" t="e">
        <f>(SUMPRODUCT((Capacity_Entsoe_SFS_2017!$A$3:$A$38='Abgleich Kapazität'!$A95)*(Capacity_Entsoe_SFS_2017!$D$1:$AL$1='Abgleich Kapazität'!U$81)*Capacity_Entsoe_SFS_2017!$D$3:$AK$38)+SUMPRODUCT((Capacity_Entsoe_SFS_2017!$A$3:$A$38='Abgleich Kapazität'!$A95)*(Capacity_Entsoe_SFS_2017!$D$1:$AL$1='Abgleich Kapazität'!U$80)*Capacity_Entsoe_SFS_2017!$D$3:$AK$38)+SUMPRODUCT((Capacity_Entsoe_SFS_2017!$A$3:$A$38='Abgleich Kapazität'!$A95)*(Capacity_Entsoe_SFS_2017!$D$1:$AL$1='Abgleich Kapazität'!U$79)*Capacity_Entsoe_SFS_2017!$D$3:$AK$38)+SUMPRODUCT((Capacity_Entsoe_SFS_2017!$A$3:$A$38='Abgleich Kapazität'!$A95)*(Capacity_Entsoe_SFS_2017!$D$1:$AL$1='Abgleich Kapazität'!U$78)*Capacity_Entsoe_SFS_2017!$D$3:$AK$38)+SUMPRODUCT((Capacity_Entsoe_SFS_2017!$A$3:$A$38='Abgleich Kapazität'!$A95)*(Capacity_Entsoe_SFS_2017!$D$1:$AL$1='Abgleich Kapazität'!U$77)*Capacity_Entsoe_SFS_2017!$D$3:$AK$38)+SUMPRODUCT((Capacity_Entsoe_SFS_2017!$A$3:$A$38='Abgleich Kapazität'!$A95)*(Capacity_Entsoe_SFS_2017!$D$1:$AL$1='Abgleich Kapazität'!U$76)*Capacity_Entsoe_SFS_2017!$D$3:$AK$38))/1000</f>
        <v>#VALUE!</v>
      </c>
      <c r="V95" s="27" t="e">
        <f t="shared" si="80"/>
        <v>#VALUE!</v>
      </c>
    </row>
    <row r="96" spans="1:22" x14ac:dyDescent="0.25">
      <c r="A96" s="14" t="s">
        <v>22</v>
      </c>
      <c r="B96" s="57" t="e">
        <f t="shared" si="77"/>
        <v>#VALUE!</v>
      </c>
      <c r="C96" s="58" t="e">
        <f>(SUMPRODUCT((Capacity_Entsoe_SFS_2017!$A$3:$A$38='Abgleich Kapazität'!$A96)*(Capacity_Entsoe_SFS_2017!$D$1:$AL$1='Abgleich Kapazität'!C$81)*Capacity_Entsoe_SFS_2017!$D$3:$AK$38)+SUMPRODUCT((Capacity_Entsoe_SFS_2017!$A$3:$A$38='Abgleich Kapazität'!$A96)*(Capacity_Entsoe_SFS_2017!$D$1:$AL$1='Abgleich Kapazität'!C$80)*Capacity_Entsoe_SFS_2017!$D$3:$AK$38)+SUMPRODUCT((Capacity_Entsoe_SFS_2017!$A$3:$A$38='Abgleich Kapazität'!$A96)*(Capacity_Entsoe_SFS_2017!$D$1:$AL$1='Abgleich Kapazität'!C$79)*Capacity_Entsoe_SFS_2017!$D$3:$AK$38)+SUMPRODUCT((Capacity_Entsoe_SFS_2017!$A$3:$A$38='Abgleich Kapazität'!$A96)*(Capacity_Entsoe_SFS_2017!$D$1:$AL$1='Abgleich Kapazität'!C$78)*Capacity_Entsoe_SFS_2017!$D$3:$AK$38))/1000</f>
        <v>#VALUE!</v>
      </c>
      <c r="D96" s="58" t="e">
        <f t="shared" si="78"/>
        <v>#VALUE!</v>
      </c>
      <c r="E96" s="58" t="e">
        <f>(SUMPRODUCT((Capacity_Entsoe_SFS_2017!$A$3:$A$38='Abgleich Kapazität'!$A96)*(Capacity_Entsoe_SFS_2017!$D$1:$AL$1='Abgleich Kapazität'!E$81)*Capacity_Entsoe_SFS_2017!$D$3:$AK$38)+SUMPRODUCT((Capacity_Entsoe_SFS_2017!$A$3:$A$38='Abgleich Kapazität'!$A96)*(Capacity_Entsoe_SFS_2017!$D$1:$AL$1='Abgleich Kapazität'!E$80)*Capacity_Entsoe_SFS_2017!$D$3:$AK$38)+SUMPRODUCT((Capacity_Entsoe_SFS_2017!$A$3:$A$38='Abgleich Kapazität'!$A96)*(Capacity_Entsoe_SFS_2017!$D$1:$AL$1='Abgleich Kapazität'!E$79)*Capacity_Entsoe_SFS_2017!$D$3:$AK$38)+SUMPRODUCT((Capacity_Entsoe_SFS_2017!$A$3:$A$38='Abgleich Kapazität'!$A96)*(Capacity_Entsoe_SFS_2017!$D$1:$AL$1='Abgleich Kapazität'!E$78)*Capacity_Entsoe_SFS_2017!$D$3:$AK$38))/1000</f>
        <v>#VALUE!</v>
      </c>
      <c r="F96" s="58" t="e">
        <f>(SUMPRODUCT((Capacity_Entsoe_SFS_2017!$A$3:$A$38='Abgleich Kapazität'!$A96)*(Capacity_Entsoe_SFS_2017!$D$1:$AL$1='Abgleich Kapazität'!F$81)*Capacity_Entsoe_SFS_2017!$D$3:$AK$38)+SUMPRODUCT((Capacity_Entsoe_SFS_2017!$A$3:$A$38='Abgleich Kapazität'!$A96)*(Capacity_Entsoe_SFS_2017!$D$1:$AL$1='Abgleich Kapazität'!F$80)*Capacity_Entsoe_SFS_2017!$D$3:$AK$38)+SUMPRODUCT((Capacity_Entsoe_SFS_2017!$A$3:$A$38='Abgleich Kapazität'!$A96)*(Capacity_Entsoe_SFS_2017!$D$1:$AL$1='Abgleich Kapazität'!F$79)*Capacity_Entsoe_SFS_2017!$D$3:$AK$38)+SUMPRODUCT((Capacity_Entsoe_SFS_2017!$A$3:$A$38='Abgleich Kapazität'!$A96)*(Capacity_Entsoe_SFS_2017!$D$1:$AL$1='Abgleich Kapazität'!F$78)*Capacity_Entsoe_SFS_2017!$D$3:$AK$38))/1000</f>
        <v>#VALUE!</v>
      </c>
      <c r="G96" s="58" t="e">
        <f>(SUMPRODUCT((Capacity_Entsoe_SFS_2017!$A$3:$A$38='Abgleich Kapazität'!$A96)*(Capacity_Entsoe_SFS_2017!$D$1:$AL$1='Abgleich Kapazität'!G$81)*Capacity_Entsoe_SFS_2017!$D$3:$AK$38)+SUMPRODUCT((Capacity_Entsoe_SFS_2017!$A$3:$A$38='Abgleich Kapazität'!$A96)*(Capacity_Entsoe_SFS_2017!$D$1:$AL$1='Abgleich Kapazität'!G$80)*Capacity_Entsoe_SFS_2017!$D$3:$AK$38)+SUMPRODUCT((Capacity_Entsoe_SFS_2017!$A$3:$A$38='Abgleich Kapazität'!$A96)*(Capacity_Entsoe_SFS_2017!$D$1:$AL$1='Abgleich Kapazität'!G$79)*Capacity_Entsoe_SFS_2017!$D$3:$AK$38)+SUMPRODUCT((Capacity_Entsoe_SFS_2017!$A$3:$A$38='Abgleich Kapazität'!$A96)*(Capacity_Entsoe_SFS_2017!$D$1:$AL$1='Abgleich Kapazität'!G$78)*Capacity_Entsoe_SFS_2017!$D$3:$AK$38))/1000</f>
        <v>#VALUE!</v>
      </c>
      <c r="H96" s="58" t="e">
        <f>(SUMPRODUCT((Capacity_Entsoe_SFS_2017!$A$3:$A$38='Abgleich Kapazität'!$A96)*(Capacity_Entsoe_SFS_2017!$D$1:$AL$1='Abgleich Kapazität'!H$81)*Capacity_Entsoe_SFS_2017!$D$3:$AK$38)+SUMPRODUCT((Capacity_Entsoe_SFS_2017!$A$3:$A$38='Abgleich Kapazität'!$A96)*(Capacity_Entsoe_SFS_2017!$D$1:$AL$1='Abgleich Kapazität'!H$80)*Capacity_Entsoe_SFS_2017!$D$3:$AK$38)+SUMPRODUCT((Capacity_Entsoe_SFS_2017!$A$3:$A$38='Abgleich Kapazität'!$A96)*(Capacity_Entsoe_SFS_2017!$D$1:$AL$1='Abgleich Kapazität'!H$79)*Capacity_Entsoe_SFS_2017!$D$3:$AK$38)+SUMPRODUCT((Capacity_Entsoe_SFS_2017!$A$3:$A$38='Abgleich Kapazität'!$A96)*(Capacity_Entsoe_SFS_2017!$D$1:$AL$1='Abgleich Kapazität'!H$78)*Capacity_Entsoe_SFS_2017!$D$3:$AK$38))/1000</f>
        <v>#VALUE!</v>
      </c>
      <c r="I96" s="58" t="e">
        <f>(SUMPRODUCT((Capacity_Entsoe_SFS_2017!$A$3:$A$38='Abgleich Kapazität'!$A96)*(Capacity_Entsoe_SFS_2017!$D$1:$AL$1='Abgleich Kapazität'!I$81)*Capacity_Entsoe_SFS_2017!$D$3:$AK$38)+SUMPRODUCT((Capacity_Entsoe_SFS_2017!$A$3:$A$38='Abgleich Kapazität'!$A96)*(Capacity_Entsoe_SFS_2017!$D$1:$AL$1='Abgleich Kapazität'!I$80)*Capacity_Entsoe_SFS_2017!$D$3:$AK$38)+SUMPRODUCT((Capacity_Entsoe_SFS_2017!$A$3:$A$38='Abgleich Kapazität'!$A96)*(Capacity_Entsoe_SFS_2017!$D$1:$AL$1='Abgleich Kapazität'!I$79)*Capacity_Entsoe_SFS_2017!$D$3:$AK$38)+SUMPRODUCT((Capacity_Entsoe_SFS_2017!$A$3:$A$38='Abgleich Kapazität'!$A96)*(Capacity_Entsoe_SFS_2017!$D$1:$AL$1='Abgleich Kapazität'!I$78)*Capacity_Entsoe_SFS_2017!$D$3:$AK$38))/1000</f>
        <v>#VALUE!</v>
      </c>
      <c r="J96" s="58" t="e">
        <f>(SUMPRODUCT((Capacity_Entsoe_SFS_2017!$A$3:$A$38='Abgleich Kapazität'!$A96)*(Capacity_Entsoe_SFS_2017!$D$1:$AL$1='Abgleich Kapazität'!J$81)*Capacity_Entsoe_SFS_2017!$D$3:$AK$38)+SUMPRODUCT((Capacity_Entsoe_SFS_2017!$A$3:$A$38='Abgleich Kapazität'!$A96)*(Capacity_Entsoe_SFS_2017!$D$1:$AL$1='Abgleich Kapazität'!J$80)*Capacity_Entsoe_SFS_2017!$D$3:$AK$38)+SUMPRODUCT((Capacity_Entsoe_SFS_2017!$A$3:$A$38='Abgleich Kapazität'!$A96)*(Capacity_Entsoe_SFS_2017!$D$1:$AL$1='Abgleich Kapazität'!J$79)*Capacity_Entsoe_SFS_2017!$D$3:$AK$38)+SUMPRODUCT((Capacity_Entsoe_SFS_2017!$A$3:$A$38='Abgleich Kapazität'!$A96)*(Capacity_Entsoe_SFS_2017!$D$1:$AL$1='Abgleich Kapazität'!J$78)*Capacity_Entsoe_SFS_2017!$D$3:$AK$38))/1000</f>
        <v>#VALUE!</v>
      </c>
      <c r="K96" s="59" t="e">
        <f t="shared" si="79"/>
        <v>#VALUE!</v>
      </c>
      <c r="L96" s="58" t="e">
        <f>(SUMPRODUCT((Capacity_Entsoe_SFS_2017!$A$3:$A$38='Abgleich Kapazität'!$A96)*(Capacity_Entsoe_SFS_2017!$D$1:$AL$1='Abgleich Kapazität'!L$81)*Capacity_Entsoe_SFS_2017!$D$3:$AK$38)+SUMPRODUCT((Capacity_Entsoe_SFS_2017!$A$3:$A$38='Abgleich Kapazität'!$A96)*(Capacity_Entsoe_SFS_2017!$D$1:$AL$1='Abgleich Kapazität'!L$80)*Capacity_Entsoe_SFS_2017!$D$3:$AK$38)+SUMPRODUCT((Capacity_Entsoe_SFS_2017!$A$3:$A$38='Abgleich Kapazität'!$A96)*(Capacity_Entsoe_SFS_2017!$D$1:$AL$1='Abgleich Kapazität'!L$79)*Capacity_Entsoe_SFS_2017!$D$3:$AK$38)+SUMPRODUCT((Capacity_Entsoe_SFS_2017!$A$3:$A$38='Abgleich Kapazität'!$A96)*(Capacity_Entsoe_SFS_2017!$D$1:$AL$1='Abgleich Kapazität'!L$78)*Capacity_Entsoe_SFS_2017!$D$3:$AK$38)+SUMPRODUCT((Capacity_Entsoe_SFS_2017!$A$3:$A$38='Abgleich Kapazität'!$A96)*(Capacity_Entsoe_SFS_2017!$D$1:$AL$1='Abgleich Kapazität'!L$77)*Capacity_Entsoe_SFS_2017!$D$3:$AK$38)+SUMPRODUCT((Capacity_Entsoe_SFS_2017!$A$3:$A$38='Abgleich Kapazität'!$A96)*(Capacity_Entsoe_SFS_2017!$D$1:$AL$1='Abgleich Kapazität'!L$76)*Capacity_Entsoe_SFS_2017!$D$3:$AK$38))/1000</f>
        <v>#VALUE!</v>
      </c>
      <c r="M96" s="58" t="e">
        <f>(SUMPRODUCT((Capacity_Entsoe_SFS_2017!$A$3:$A$38='Abgleich Kapazität'!$A96)*(Capacity_Entsoe_SFS_2017!$D$1:$AL$1='Abgleich Kapazität'!M$81)*Capacity_Entsoe_SFS_2017!$D$3:$AK$38)+SUMPRODUCT((Capacity_Entsoe_SFS_2017!$A$3:$A$38='Abgleich Kapazität'!$A96)*(Capacity_Entsoe_SFS_2017!$D$1:$AL$1='Abgleich Kapazität'!M$80)*Capacity_Entsoe_SFS_2017!$D$3:$AK$38)+SUMPRODUCT((Capacity_Entsoe_SFS_2017!$A$3:$A$38='Abgleich Kapazität'!$A96)*(Capacity_Entsoe_SFS_2017!$D$1:$AL$1='Abgleich Kapazität'!M$79)*Capacity_Entsoe_SFS_2017!$D$3:$AK$38)+SUMPRODUCT((Capacity_Entsoe_SFS_2017!$A$3:$A$38='Abgleich Kapazität'!$A96)*(Capacity_Entsoe_SFS_2017!$D$1:$AL$1='Abgleich Kapazität'!M$78)*Capacity_Entsoe_SFS_2017!$D$3:$AK$38)+SUMPRODUCT((Capacity_Entsoe_SFS_2017!$A$3:$A$38='Abgleich Kapazität'!$A96)*(Capacity_Entsoe_SFS_2017!$D$1:$AL$1='Abgleich Kapazität'!M$77)*Capacity_Entsoe_SFS_2017!$D$3:$AK$38)+SUMPRODUCT((Capacity_Entsoe_SFS_2017!$A$3:$A$38='Abgleich Kapazität'!$A96)*(Capacity_Entsoe_SFS_2017!$D$1:$AL$1='Abgleich Kapazität'!M$76)*Capacity_Entsoe_SFS_2017!$D$3:$AK$38))/1000</f>
        <v>#VALUE!</v>
      </c>
      <c r="N96" s="58" t="e">
        <f>(SUMPRODUCT((Capacity_Entsoe_SFS_2017!$A$3:$A$38='Abgleich Kapazität'!$A96)*(Capacity_Entsoe_SFS_2017!$D$1:$AL$1='Abgleich Kapazität'!N$81)*Capacity_Entsoe_SFS_2017!$D$3:$AK$38)+SUMPRODUCT((Capacity_Entsoe_SFS_2017!$A$3:$A$38='Abgleich Kapazität'!$A96)*(Capacity_Entsoe_SFS_2017!$D$1:$AL$1='Abgleich Kapazität'!N$80)*Capacity_Entsoe_SFS_2017!$D$3:$AK$38)+SUMPRODUCT((Capacity_Entsoe_SFS_2017!$A$3:$A$38='Abgleich Kapazität'!$A96)*(Capacity_Entsoe_SFS_2017!$D$1:$AL$1='Abgleich Kapazität'!N$79)*Capacity_Entsoe_SFS_2017!$D$3:$AK$38)+SUMPRODUCT((Capacity_Entsoe_SFS_2017!$A$3:$A$38='Abgleich Kapazität'!$A96)*(Capacity_Entsoe_SFS_2017!$D$1:$AL$1='Abgleich Kapazität'!N$78)*Capacity_Entsoe_SFS_2017!$D$3:$AK$38)+SUMPRODUCT((Capacity_Entsoe_SFS_2017!$A$3:$A$38='Abgleich Kapazität'!$A96)*(Capacity_Entsoe_SFS_2017!$D$1:$AL$1='Abgleich Kapazität'!N$77)*Capacity_Entsoe_SFS_2017!$D$3:$AK$38)+SUMPRODUCT((Capacity_Entsoe_SFS_2017!$A$3:$A$38='Abgleich Kapazität'!$A96)*(Capacity_Entsoe_SFS_2017!$D$1:$AL$1='Abgleich Kapazität'!N$76)*Capacity_Entsoe_SFS_2017!$D$3:$AK$38))/1000</f>
        <v>#VALUE!</v>
      </c>
      <c r="O96" s="58" t="e">
        <f>(SUMPRODUCT((Capacity_Entsoe_SFS_2017!$A$3:$A$38='Abgleich Kapazität'!$A96)*(Capacity_Entsoe_SFS_2017!$D$1:$AL$1='Abgleich Kapazität'!O$81)*Capacity_Entsoe_SFS_2017!$D$3:$AK$38)+SUMPRODUCT((Capacity_Entsoe_SFS_2017!$A$3:$A$38='Abgleich Kapazität'!$A96)*(Capacity_Entsoe_SFS_2017!$D$1:$AL$1='Abgleich Kapazität'!O$80)*Capacity_Entsoe_SFS_2017!$D$3:$AK$38)+SUMPRODUCT((Capacity_Entsoe_SFS_2017!$A$3:$A$38='Abgleich Kapazität'!$A96)*(Capacity_Entsoe_SFS_2017!$D$1:$AL$1='Abgleich Kapazität'!O$79)*Capacity_Entsoe_SFS_2017!$D$3:$AK$38)+SUMPRODUCT((Capacity_Entsoe_SFS_2017!$A$3:$A$38='Abgleich Kapazität'!$A96)*(Capacity_Entsoe_SFS_2017!$D$1:$AL$1='Abgleich Kapazität'!O$78)*Capacity_Entsoe_SFS_2017!$D$3:$AK$38)+SUMPRODUCT((Capacity_Entsoe_SFS_2017!$A$3:$A$38='Abgleich Kapazität'!$A96)*(Capacity_Entsoe_SFS_2017!$D$1:$AL$1='Abgleich Kapazität'!O$77)*Capacity_Entsoe_SFS_2017!$D$3:$AK$38)+SUMPRODUCT((Capacity_Entsoe_SFS_2017!$A$3:$A$38='Abgleich Kapazität'!$A96)*(Capacity_Entsoe_SFS_2017!$D$1:$AL$1='Abgleich Kapazität'!O$76)*Capacity_Entsoe_SFS_2017!$D$3:$AK$38))/1000</f>
        <v>#VALUE!</v>
      </c>
      <c r="P96" s="58" t="e">
        <f>(SUMPRODUCT((Capacity_Entsoe_SFS_2017!$A$3:$A$38='Abgleich Kapazität'!$A96)*(Capacity_Entsoe_SFS_2017!$D$1:$AL$1='Abgleich Kapazität'!P$81)*Capacity_Entsoe_SFS_2017!$D$3:$AK$38)+SUMPRODUCT((Capacity_Entsoe_SFS_2017!$A$3:$A$38='Abgleich Kapazität'!$A96)*(Capacity_Entsoe_SFS_2017!$D$1:$AL$1='Abgleich Kapazität'!P$80)*Capacity_Entsoe_SFS_2017!$D$3:$AK$38)+SUMPRODUCT((Capacity_Entsoe_SFS_2017!$A$3:$A$38='Abgleich Kapazität'!$A96)*(Capacity_Entsoe_SFS_2017!$D$1:$AL$1='Abgleich Kapazität'!P$79)*Capacity_Entsoe_SFS_2017!$D$3:$AK$38)+SUMPRODUCT((Capacity_Entsoe_SFS_2017!$A$3:$A$38='Abgleich Kapazität'!$A96)*(Capacity_Entsoe_SFS_2017!$D$1:$AL$1='Abgleich Kapazität'!P$78)*Capacity_Entsoe_SFS_2017!$D$3:$AK$38)+SUMPRODUCT((Capacity_Entsoe_SFS_2017!$A$3:$A$38='Abgleich Kapazität'!$A96)*(Capacity_Entsoe_SFS_2017!$D$1:$AL$1='Abgleich Kapazität'!P$77)*Capacity_Entsoe_SFS_2017!$D$3:$AK$38)+SUMPRODUCT((Capacity_Entsoe_SFS_2017!$A$3:$A$38='Abgleich Kapazität'!$A96)*(Capacity_Entsoe_SFS_2017!$D$1:$AL$1='Abgleich Kapazität'!P$76)*Capacity_Entsoe_SFS_2017!$D$3:$AK$38))/1000</f>
        <v>#VALUE!</v>
      </c>
      <c r="Q96" s="58" t="e">
        <f>(SUMPRODUCT((Capacity_Entsoe_SFS_2017!$A$3:$A$38='Abgleich Kapazität'!$A96)*(Capacity_Entsoe_SFS_2017!$D$1:$AL$1='Abgleich Kapazität'!Q$81)*Capacity_Entsoe_SFS_2017!$D$3:$AK$38)+SUMPRODUCT((Capacity_Entsoe_SFS_2017!$A$3:$A$38='Abgleich Kapazität'!$A96)*(Capacity_Entsoe_SFS_2017!$D$1:$AL$1='Abgleich Kapazität'!Q$80)*Capacity_Entsoe_SFS_2017!$D$3:$AK$38)+SUMPRODUCT((Capacity_Entsoe_SFS_2017!$A$3:$A$38='Abgleich Kapazität'!$A96)*(Capacity_Entsoe_SFS_2017!$D$1:$AL$1='Abgleich Kapazität'!Q$79)*Capacity_Entsoe_SFS_2017!$D$3:$AK$38)+SUMPRODUCT((Capacity_Entsoe_SFS_2017!$A$3:$A$38='Abgleich Kapazität'!$A96)*(Capacity_Entsoe_SFS_2017!$D$1:$AL$1='Abgleich Kapazität'!Q$78)*Capacity_Entsoe_SFS_2017!$D$3:$AK$38)+SUMPRODUCT((Capacity_Entsoe_SFS_2017!$A$3:$A$38='Abgleich Kapazität'!$A96)*(Capacity_Entsoe_SFS_2017!$D$1:$AL$1='Abgleich Kapazität'!Q$77)*Capacity_Entsoe_SFS_2017!$D$3:$AK$38)+SUMPRODUCT((Capacity_Entsoe_SFS_2017!$A$3:$A$38='Abgleich Kapazität'!$A96)*(Capacity_Entsoe_SFS_2017!$D$1:$AL$1='Abgleich Kapazität'!Q$76)*Capacity_Entsoe_SFS_2017!$D$3:$AK$38))/1000</f>
        <v>#VALUE!</v>
      </c>
      <c r="R96" s="58" t="e">
        <f>(SUMPRODUCT((Capacity_Entsoe_SFS_2017!$A$3:$A$38='Abgleich Kapazität'!$A96)*(Capacity_Entsoe_SFS_2017!$D$1:$AL$1='Abgleich Kapazität'!R$81)*Capacity_Entsoe_SFS_2017!$D$3:$AK$38)+SUMPRODUCT((Capacity_Entsoe_SFS_2017!$A$3:$A$38='Abgleich Kapazität'!$A96)*(Capacity_Entsoe_SFS_2017!$D$1:$AL$1='Abgleich Kapazität'!R$80)*Capacity_Entsoe_SFS_2017!$D$3:$AK$38)+SUMPRODUCT((Capacity_Entsoe_SFS_2017!$A$3:$A$38='Abgleich Kapazität'!$A96)*(Capacity_Entsoe_SFS_2017!$D$1:$AL$1='Abgleich Kapazität'!R$79)*Capacity_Entsoe_SFS_2017!$D$3:$AK$38)+SUMPRODUCT((Capacity_Entsoe_SFS_2017!$A$3:$A$38='Abgleich Kapazität'!$A96)*(Capacity_Entsoe_SFS_2017!$D$1:$AL$1='Abgleich Kapazität'!R$78)*Capacity_Entsoe_SFS_2017!$D$3:$AK$38)+SUMPRODUCT((Capacity_Entsoe_SFS_2017!$A$3:$A$38='Abgleich Kapazität'!$A96)*(Capacity_Entsoe_SFS_2017!$D$1:$AL$1='Abgleich Kapazität'!R$77)*Capacity_Entsoe_SFS_2017!$D$3:$AK$38)+SUMPRODUCT((Capacity_Entsoe_SFS_2017!$A$3:$A$38='Abgleich Kapazität'!$A96)*(Capacity_Entsoe_SFS_2017!$D$1:$AL$1='Abgleich Kapazität'!R$76)*Capacity_Entsoe_SFS_2017!$D$3:$AK$38))/1000</f>
        <v>#VALUE!</v>
      </c>
      <c r="S96" s="58" t="e">
        <f>(SUMPRODUCT((Capacity_Entsoe_SFS_2017!$A$3:$A$38='Abgleich Kapazität'!$A96)*(Capacity_Entsoe_SFS_2017!$D$1:$AL$1='Abgleich Kapazität'!S$81)*Capacity_Entsoe_SFS_2017!$D$3:$AK$38)+SUMPRODUCT((Capacity_Entsoe_SFS_2017!$A$3:$A$38='Abgleich Kapazität'!$A96)*(Capacity_Entsoe_SFS_2017!$D$1:$AL$1='Abgleich Kapazität'!S$80)*Capacity_Entsoe_SFS_2017!$D$3:$AK$38)+SUMPRODUCT((Capacity_Entsoe_SFS_2017!$A$3:$A$38='Abgleich Kapazität'!$A96)*(Capacity_Entsoe_SFS_2017!$D$1:$AL$1='Abgleich Kapazität'!S$79)*Capacity_Entsoe_SFS_2017!$D$3:$AK$38)+SUMPRODUCT((Capacity_Entsoe_SFS_2017!$A$3:$A$38='Abgleich Kapazität'!$A96)*(Capacity_Entsoe_SFS_2017!$D$1:$AL$1='Abgleich Kapazität'!S$78)*Capacity_Entsoe_SFS_2017!$D$3:$AK$38)+SUMPRODUCT((Capacity_Entsoe_SFS_2017!$A$3:$A$38='Abgleich Kapazität'!$A96)*(Capacity_Entsoe_SFS_2017!$D$1:$AL$1='Abgleich Kapazität'!S$77)*Capacity_Entsoe_SFS_2017!$D$3:$AK$38)+SUMPRODUCT((Capacity_Entsoe_SFS_2017!$A$3:$A$38='Abgleich Kapazität'!$A96)*(Capacity_Entsoe_SFS_2017!$D$1:$AL$1='Abgleich Kapazität'!S$76)*Capacity_Entsoe_SFS_2017!$D$3:$AK$38))/1000</f>
        <v>#VALUE!</v>
      </c>
      <c r="T96" s="58" t="e">
        <f>(SUMPRODUCT((Capacity_Entsoe_SFS_2017!$A$3:$A$38='Abgleich Kapazität'!$A96)*(Capacity_Entsoe_SFS_2017!$D$1:$AL$1='Abgleich Kapazität'!T$81)*Capacity_Entsoe_SFS_2017!$D$3:$AK$38)+SUMPRODUCT((Capacity_Entsoe_SFS_2017!$A$3:$A$38='Abgleich Kapazität'!$A96)*(Capacity_Entsoe_SFS_2017!$D$1:$AL$1='Abgleich Kapazität'!T$80)*Capacity_Entsoe_SFS_2017!$D$3:$AK$38)+SUMPRODUCT((Capacity_Entsoe_SFS_2017!$A$3:$A$38='Abgleich Kapazität'!$A96)*(Capacity_Entsoe_SFS_2017!$D$1:$AL$1='Abgleich Kapazität'!T$79)*Capacity_Entsoe_SFS_2017!$D$3:$AK$38)+SUMPRODUCT((Capacity_Entsoe_SFS_2017!$A$3:$A$38='Abgleich Kapazität'!$A96)*(Capacity_Entsoe_SFS_2017!$D$1:$AL$1='Abgleich Kapazität'!T$78)*Capacity_Entsoe_SFS_2017!$D$3:$AK$38)+SUMPRODUCT((Capacity_Entsoe_SFS_2017!$A$3:$A$38='Abgleich Kapazität'!$A96)*(Capacity_Entsoe_SFS_2017!$D$1:$AL$1='Abgleich Kapazität'!T$77)*Capacity_Entsoe_SFS_2017!$D$3:$AK$38)+SUMPRODUCT((Capacity_Entsoe_SFS_2017!$A$3:$A$38='Abgleich Kapazität'!$A96)*(Capacity_Entsoe_SFS_2017!$D$1:$AL$1='Abgleich Kapazität'!T$76)*Capacity_Entsoe_SFS_2017!$D$3:$AK$38))/1000</f>
        <v>#VALUE!</v>
      </c>
      <c r="U96" s="58" t="e">
        <f>(SUMPRODUCT((Capacity_Entsoe_SFS_2017!$A$3:$A$38='Abgleich Kapazität'!$A96)*(Capacity_Entsoe_SFS_2017!$D$1:$AL$1='Abgleich Kapazität'!U$81)*Capacity_Entsoe_SFS_2017!$D$3:$AK$38)+SUMPRODUCT((Capacity_Entsoe_SFS_2017!$A$3:$A$38='Abgleich Kapazität'!$A96)*(Capacity_Entsoe_SFS_2017!$D$1:$AL$1='Abgleich Kapazität'!U$80)*Capacity_Entsoe_SFS_2017!$D$3:$AK$38)+SUMPRODUCT((Capacity_Entsoe_SFS_2017!$A$3:$A$38='Abgleich Kapazität'!$A96)*(Capacity_Entsoe_SFS_2017!$D$1:$AL$1='Abgleich Kapazität'!U$79)*Capacity_Entsoe_SFS_2017!$D$3:$AK$38)+SUMPRODUCT((Capacity_Entsoe_SFS_2017!$A$3:$A$38='Abgleich Kapazität'!$A96)*(Capacity_Entsoe_SFS_2017!$D$1:$AL$1='Abgleich Kapazität'!U$78)*Capacity_Entsoe_SFS_2017!$D$3:$AK$38)+SUMPRODUCT((Capacity_Entsoe_SFS_2017!$A$3:$A$38='Abgleich Kapazität'!$A96)*(Capacity_Entsoe_SFS_2017!$D$1:$AL$1='Abgleich Kapazität'!U$77)*Capacity_Entsoe_SFS_2017!$D$3:$AK$38)+SUMPRODUCT((Capacity_Entsoe_SFS_2017!$A$3:$A$38='Abgleich Kapazität'!$A96)*(Capacity_Entsoe_SFS_2017!$D$1:$AL$1='Abgleich Kapazität'!U$76)*Capacity_Entsoe_SFS_2017!$D$3:$AK$38))/1000</f>
        <v>#VALUE!</v>
      </c>
      <c r="V96" s="59" t="e">
        <f t="shared" si="80"/>
        <v>#VALUE!</v>
      </c>
    </row>
    <row r="97" spans="1:22" x14ac:dyDescent="0.25">
      <c r="A97" s="14" t="s">
        <v>23</v>
      </c>
      <c r="B97" s="25" t="e">
        <f t="shared" si="77"/>
        <v>#VALUE!</v>
      </c>
      <c r="C97" s="26" t="e">
        <f>(SUMPRODUCT((Capacity_Entsoe_SFS_2017!$A$3:$A$38='Abgleich Kapazität'!$A97)*(Capacity_Entsoe_SFS_2017!$D$1:$AL$1='Abgleich Kapazität'!C$81)*Capacity_Entsoe_SFS_2017!$D$3:$AK$38)+SUMPRODUCT((Capacity_Entsoe_SFS_2017!$A$3:$A$38='Abgleich Kapazität'!$A97)*(Capacity_Entsoe_SFS_2017!$D$1:$AL$1='Abgleich Kapazität'!C$80)*Capacity_Entsoe_SFS_2017!$D$3:$AK$38)+SUMPRODUCT((Capacity_Entsoe_SFS_2017!$A$3:$A$38='Abgleich Kapazität'!$A97)*(Capacity_Entsoe_SFS_2017!$D$1:$AL$1='Abgleich Kapazität'!C$79)*Capacity_Entsoe_SFS_2017!$D$3:$AK$38)+SUMPRODUCT((Capacity_Entsoe_SFS_2017!$A$3:$A$38='Abgleich Kapazität'!$A97)*(Capacity_Entsoe_SFS_2017!$D$1:$AL$1='Abgleich Kapazität'!C$78)*Capacity_Entsoe_SFS_2017!$D$3:$AK$38))/1000</f>
        <v>#VALUE!</v>
      </c>
      <c r="D97" s="26" t="e">
        <f t="shared" si="78"/>
        <v>#VALUE!</v>
      </c>
      <c r="E97" s="26" t="e">
        <f>(SUMPRODUCT((Capacity_Entsoe_SFS_2017!$A$3:$A$38='Abgleich Kapazität'!$A97)*(Capacity_Entsoe_SFS_2017!$D$1:$AL$1='Abgleich Kapazität'!E$81)*Capacity_Entsoe_SFS_2017!$D$3:$AK$38)+SUMPRODUCT((Capacity_Entsoe_SFS_2017!$A$3:$A$38='Abgleich Kapazität'!$A97)*(Capacity_Entsoe_SFS_2017!$D$1:$AL$1='Abgleich Kapazität'!E$80)*Capacity_Entsoe_SFS_2017!$D$3:$AK$38)+SUMPRODUCT((Capacity_Entsoe_SFS_2017!$A$3:$A$38='Abgleich Kapazität'!$A97)*(Capacity_Entsoe_SFS_2017!$D$1:$AL$1='Abgleich Kapazität'!E$79)*Capacity_Entsoe_SFS_2017!$D$3:$AK$38)+SUMPRODUCT((Capacity_Entsoe_SFS_2017!$A$3:$A$38='Abgleich Kapazität'!$A97)*(Capacity_Entsoe_SFS_2017!$D$1:$AL$1='Abgleich Kapazität'!E$78)*Capacity_Entsoe_SFS_2017!$D$3:$AK$38))/1000</f>
        <v>#VALUE!</v>
      </c>
      <c r="F97" s="26" t="e">
        <f>(SUMPRODUCT((Capacity_Entsoe_SFS_2017!$A$3:$A$38='Abgleich Kapazität'!$A97)*(Capacity_Entsoe_SFS_2017!$D$1:$AL$1='Abgleich Kapazität'!F$81)*Capacity_Entsoe_SFS_2017!$D$3:$AK$38)+SUMPRODUCT((Capacity_Entsoe_SFS_2017!$A$3:$A$38='Abgleich Kapazität'!$A97)*(Capacity_Entsoe_SFS_2017!$D$1:$AL$1='Abgleich Kapazität'!F$80)*Capacity_Entsoe_SFS_2017!$D$3:$AK$38)+SUMPRODUCT((Capacity_Entsoe_SFS_2017!$A$3:$A$38='Abgleich Kapazität'!$A97)*(Capacity_Entsoe_SFS_2017!$D$1:$AL$1='Abgleich Kapazität'!F$79)*Capacity_Entsoe_SFS_2017!$D$3:$AK$38)+SUMPRODUCT((Capacity_Entsoe_SFS_2017!$A$3:$A$38='Abgleich Kapazität'!$A97)*(Capacity_Entsoe_SFS_2017!$D$1:$AL$1='Abgleich Kapazität'!F$78)*Capacity_Entsoe_SFS_2017!$D$3:$AK$38))/1000</f>
        <v>#VALUE!</v>
      </c>
      <c r="G97" s="26" t="e">
        <f>(SUMPRODUCT((Capacity_Entsoe_SFS_2017!$A$3:$A$38='Abgleich Kapazität'!$A97)*(Capacity_Entsoe_SFS_2017!$D$1:$AL$1='Abgleich Kapazität'!G$81)*Capacity_Entsoe_SFS_2017!$D$3:$AK$38)+SUMPRODUCT((Capacity_Entsoe_SFS_2017!$A$3:$A$38='Abgleich Kapazität'!$A97)*(Capacity_Entsoe_SFS_2017!$D$1:$AL$1='Abgleich Kapazität'!G$80)*Capacity_Entsoe_SFS_2017!$D$3:$AK$38)+SUMPRODUCT((Capacity_Entsoe_SFS_2017!$A$3:$A$38='Abgleich Kapazität'!$A97)*(Capacity_Entsoe_SFS_2017!$D$1:$AL$1='Abgleich Kapazität'!G$79)*Capacity_Entsoe_SFS_2017!$D$3:$AK$38)+SUMPRODUCT((Capacity_Entsoe_SFS_2017!$A$3:$A$38='Abgleich Kapazität'!$A97)*(Capacity_Entsoe_SFS_2017!$D$1:$AL$1='Abgleich Kapazität'!G$78)*Capacity_Entsoe_SFS_2017!$D$3:$AK$38))/1000</f>
        <v>#VALUE!</v>
      </c>
      <c r="H97" s="26" t="e">
        <f>(SUMPRODUCT((Capacity_Entsoe_SFS_2017!$A$3:$A$38='Abgleich Kapazität'!$A97)*(Capacity_Entsoe_SFS_2017!$D$1:$AL$1='Abgleich Kapazität'!H$81)*Capacity_Entsoe_SFS_2017!$D$3:$AK$38)+SUMPRODUCT((Capacity_Entsoe_SFS_2017!$A$3:$A$38='Abgleich Kapazität'!$A97)*(Capacity_Entsoe_SFS_2017!$D$1:$AL$1='Abgleich Kapazität'!H$80)*Capacity_Entsoe_SFS_2017!$D$3:$AK$38)+SUMPRODUCT((Capacity_Entsoe_SFS_2017!$A$3:$A$38='Abgleich Kapazität'!$A97)*(Capacity_Entsoe_SFS_2017!$D$1:$AL$1='Abgleich Kapazität'!H$79)*Capacity_Entsoe_SFS_2017!$D$3:$AK$38)+SUMPRODUCT((Capacity_Entsoe_SFS_2017!$A$3:$A$38='Abgleich Kapazität'!$A97)*(Capacity_Entsoe_SFS_2017!$D$1:$AL$1='Abgleich Kapazität'!H$78)*Capacity_Entsoe_SFS_2017!$D$3:$AK$38))/1000</f>
        <v>#VALUE!</v>
      </c>
      <c r="I97" s="26" t="e">
        <f>(SUMPRODUCT((Capacity_Entsoe_SFS_2017!$A$3:$A$38='Abgleich Kapazität'!$A97)*(Capacity_Entsoe_SFS_2017!$D$1:$AL$1='Abgleich Kapazität'!I$81)*Capacity_Entsoe_SFS_2017!$D$3:$AK$38)+SUMPRODUCT((Capacity_Entsoe_SFS_2017!$A$3:$A$38='Abgleich Kapazität'!$A97)*(Capacity_Entsoe_SFS_2017!$D$1:$AL$1='Abgleich Kapazität'!I$80)*Capacity_Entsoe_SFS_2017!$D$3:$AK$38)+SUMPRODUCT((Capacity_Entsoe_SFS_2017!$A$3:$A$38='Abgleich Kapazität'!$A97)*(Capacity_Entsoe_SFS_2017!$D$1:$AL$1='Abgleich Kapazität'!I$79)*Capacity_Entsoe_SFS_2017!$D$3:$AK$38)+SUMPRODUCT((Capacity_Entsoe_SFS_2017!$A$3:$A$38='Abgleich Kapazität'!$A97)*(Capacity_Entsoe_SFS_2017!$D$1:$AL$1='Abgleich Kapazität'!I$78)*Capacity_Entsoe_SFS_2017!$D$3:$AK$38))/1000</f>
        <v>#VALUE!</v>
      </c>
      <c r="J97" s="26" t="e">
        <f>(SUMPRODUCT((Capacity_Entsoe_SFS_2017!$A$3:$A$38='Abgleich Kapazität'!$A97)*(Capacity_Entsoe_SFS_2017!$D$1:$AL$1='Abgleich Kapazität'!J$81)*Capacity_Entsoe_SFS_2017!$D$3:$AK$38)+SUMPRODUCT((Capacity_Entsoe_SFS_2017!$A$3:$A$38='Abgleich Kapazität'!$A97)*(Capacity_Entsoe_SFS_2017!$D$1:$AL$1='Abgleich Kapazität'!J$80)*Capacity_Entsoe_SFS_2017!$D$3:$AK$38)+SUMPRODUCT((Capacity_Entsoe_SFS_2017!$A$3:$A$38='Abgleich Kapazität'!$A97)*(Capacity_Entsoe_SFS_2017!$D$1:$AL$1='Abgleich Kapazität'!J$79)*Capacity_Entsoe_SFS_2017!$D$3:$AK$38)+SUMPRODUCT((Capacity_Entsoe_SFS_2017!$A$3:$A$38='Abgleich Kapazität'!$A97)*(Capacity_Entsoe_SFS_2017!$D$1:$AL$1='Abgleich Kapazität'!J$78)*Capacity_Entsoe_SFS_2017!$D$3:$AK$38))/1000</f>
        <v>#VALUE!</v>
      </c>
      <c r="K97" s="27" t="e">
        <f t="shared" si="79"/>
        <v>#VALUE!</v>
      </c>
      <c r="L97" s="26" t="e">
        <f>(SUMPRODUCT((Capacity_Entsoe_SFS_2017!$A$3:$A$38='Abgleich Kapazität'!$A97)*(Capacity_Entsoe_SFS_2017!$D$1:$AL$1='Abgleich Kapazität'!L$81)*Capacity_Entsoe_SFS_2017!$D$3:$AK$38)+SUMPRODUCT((Capacity_Entsoe_SFS_2017!$A$3:$A$38='Abgleich Kapazität'!$A97)*(Capacity_Entsoe_SFS_2017!$D$1:$AL$1='Abgleich Kapazität'!L$80)*Capacity_Entsoe_SFS_2017!$D$3:$AK$38)+SUMPRODUCT((Capacity_Entsoe_SFS_2017!$A$3:$A$38='Abgleich Kapazität'!$A97)*(Capacity_Entsoe_SFS_2017!$D$1:$AL$1='Abgleich Kapazität'!L$79)*Capacity_Entsoe_SFS_2017!$D$3:$AK$38)+SUMPRODUCT((Capacity_Entsoe_SFS_2017!$A$3:$A$38='Abgleich Kapazität'!$A97)*(Capacity_Entsoe_SFS_2017!$D$1:$AL$1='Abgleich Kapazität'!L$78)*Capacity_Entsoe_SFS_2017!$D$3:$AK$38)+SUMPRODUCT((Capacity_Entsoe_SFS_2017!$A$3:$A$38='Abgleich Kapazität'!$A97)*(Capacity_Entsoe_SFS_2017!$D$1:$AL$1='Abgleich Kapazität'!L$77)*Capacity_Entsoe_SFS_2017!$D$3:$AK$38)+SUMPRODUCT((Capacity_Entsoe_SFS_2017!$A$3:$A$38='Abgleich Kapazität'!$A97)*(Capacity_Entsoe_SFS_2017!$D$1:$AL$1='Abgleich Kapazität'!L$76)*Capacity_Entsoe_SFS_2017!$D$3:$AK$38))/1000</f>
        <v>#VALUE!</v>
      </c>
      <c r="M97" s="26" t="e">
        <f>(SUMPRODUCT((Capacity_Entsoe_SFS_2017!$A$3:$A$38='Abgleich Kapazität'!$A97)*(Capacity_Entsoe_SFS_2017!$D$1:$AL$1='Abgleich Kapazität'!M$81)*Capacity_Entsoe_SFS_2017!$D$3:$AK$38)+SUMPRODUCT((Capacity_Entsoe_SFS_2017!$A$3:$A$38='Abgleich Kapazität'!$A97)*(Capacity_Entsoe_SFS_2017!$D$1:$AL$1='Abgleich Kapazität'!M$80)*Capacity_Entsoe_SFS_2017!$D$3:$AK$38)+SUMPRODUCT((Capacity_Entsoe_SFS_2017!$A$3:$A$38='Abgleich Kapazität'!$A97)*(Capacity_Entsoe_SFS_2017!$D$1:$AL$1='Abgleich Kapazität'!M$79)*Capacity_Entsoe_SFS_2017!$D$3:$AK$38)+SUMPRODUCT((Capacity_Entsoe_SFS_2017!$A$3:$A$38='Abgleich Kapazität'!$A97)*(Capacity_Entsoe_SFS_2017!$D$1:$AL$1='Abgleich Kapazität'!M$78)*Capacity_Entsoe_SFS_2017!$D$3:$AK$38)+SUMPRODUCT((Capacity_Entsoe_SFS_2017!$A$3:$A$38='Abgleich Kapazität'!$A97)*(Capacity_Entsoe_SFS_2017!$D$1:$AL$1='Abgleich Kapazität'!M$77)*Capacity_Entsoe_SFS_2017!$D$3:$AK$38)+SUMPRODUCT((Capacity_Entsoe_SFS_2017!$A$3:$A$38='Abgleich Kapazität'!$A97)*(Capacity_Entsoe_SFS_2017!$D$1:$AL$1='Abgleich Kapazität'!M$76)*Capacity_Entsoe_SFS_2017!$D$3:$AK$38))/1000</f>
        <v>#VALUE!</v>
      </c>
      <c r="N97" s="26" t="e">
        <f>(SUMPRODUCT((Capacity_Entsoe_SFS_2017!$A$3:$A$38='Abgleich Kapazität'!$A97)*(Capacity_Entsoe_SFS_2017!$D$1:$AL$1='Abgleich Kapazität'!N$81)*Capacity_Entsoe_SFS_2017!$D$3:$AK$38)+SUMPRODUCT((Capacity_Entsoe_SFS_2017!$A$3:$A$38='Abgleich Kapazität'!$A97)*(Capacity_Entsoe_SFS_2017!$D$1:$AL$1='Abgleich Kapazität'!N$80)*Capacity_Entsoe_SFS_2017!$D$3:$AK$38)+SUMPRODUCT((Capacity_Entsoe_SFS_2017!$A$3:$A$38='Abgleich Kapazität'!$A97)*(Capacity_Entsoe_SFS_2017!$D$1:$AL$1='Abgleich Kapazität'!N$79)*Capacity_Entsoe_SFS_2017!$D$3:$AK$38)+SUMPRODUCT((Capacity_Entsoe_SFS_2017!$A$3:$A$38='Abgleich Kapazität'!$A97)*(Capacity_Entsoe_SFS_2017!$D$1:$AL$1='Abgleich Kapazität'!N$78)*Capacity_Entsoe_SFS_2017!$D$3:$AK$38)+SUMPRODUCT((Capacity_Entsoe_SFS_2017!$A$3:$A$38='Abgleich Kapazität'!$A97)*(Capacity_Entsoe_SFS_2017!$D$1:$AL$1='Abgleich Kapazität'!N$77)*Capacity_Entsoe_SFS_2017!$D$3:$AK$38)+SUMPRODUCT((Capacity_Entsoe_SFS_2017!$A$3:$A$38='Abgleich Kapazität'!$A97)*(Capacity_Entsoe_SFS_2017!$D$1:$AL$1='Abgleich Kapazität'!N$76)*Capacity_Entsoe_SFS_2017!$D$3:$AK$38))/1000</f>
        <v>#VALUE!</v>
      </c>
      <c r="O97" s="26" t="e">
        <f>(SUMPRODUCT((Capacity_Entsoe_SFS_2017!$A$3:$A$38='Abgleich Kapazität'!$A97)*(Capacity_Entsoe_SFS_2017!$D$1:$AL$1='Abgleich Kapazität'!O$81)*Capacity_Entsoe_SFS_2017!$D$3:$AK$38)+SUMPRODUCT((Capacity_Entsoe_SFS_2017!$A$3:$A$38='Abgleich Kapazität'!$A97)*(Capacity_Entsoe_SFS_2017!$D$1:$AL$1='Abgleich Kapazität'!O$80)*Capacity_Entsoe_SFS_2017!$D$3:$AK$38)+SUMPRODUCT((Capacity_Entsoe_SFS_2017!$A$3:$A$38='Abgleich Kapazität'!$A97)*(Capacity_Entsoe_SFS_2017!$D$1:$AL$1='Abgleich Kapazität'!O$79)*Capacity_Entsoe_SFS_2017!$D$3:$AK$38)+SUMPRODUCT((Capacity_Entsoe_SFS_2017!$A$3:$A$38='Abgleich Kapazität'!$A97)*(Capacity_Entsoe_SFS_2017!$D$1:$AL$1='Abgleich Kapazität'!O$78)*Capacity_Entsoe_SFS_2017!$D$3:$AK$38)+SUMPRODUCT((Capacity_Entsoe_SFS_2017!$A$3:$A$38='Abgleich Kapazität'!$A97)*(Capacity_Entsoe_SFS_2017!$D$1:$AL$1='Abgleich Kapazität'!O$77)*Capacity_Entsoe_SFS_2017!$D$3:$AK$38)+SUMPRODUCT((Capacity_Entsoe_SFS_2017!$A$3:$A$38='Abgleich Kapazität'!$A97)*(Capacity_Entsoe_SFS_2017!$D$1:$AL$1='Abgleich Kapazität'!O$76)*Capacity_Entsoe_SFS_2017!$D$3:$AK$38))/1000</f>
        <v>#VALUE!</v>
      </c>
      <c r="P97" s="26" t="e">
        <f>(SUMPRODUCT((Capacity_Entsoe_SFS_2017!$A$3:$A$38='Abgleich Kapazität'!$A97)*(Capacity_Entsoe_SFS_2017!$D$1:$AL$1='Abgleich Kapazität'!P$81)*Capacity_Entsoe_SFS_2017!$D$3:$AK$38)+SUMPRODUCT((Capacity_Entsoe_SFS_2017!$A$3:$A$38='Abgleich Kapazität'!$A97)*(Capacity_Entsoe_SFS_2017!$D$1:$AL$1='Abgleich Kapazität'!P$80)*Capacity_Entsoe_SFS_2017!$D$3:$AK$38)+SUMPRODUCT((Capacity_Entsoe_SFS_2017!$A$3:$A$38='Abgleich Kapazität'!$A97)*(Capacity_Entsoe_SFS_2017!$D$1:$AL$1='Abgleich Kapazität'!P$79)*Capacity_Entsoe_SFS_2017!$D$3:$AK$38)+SUMPRODUCT((Capacity_Entsoe_SFS_2017!$A$3:$A$38='Abgleich Kapazität'!$A97)*(Capacity_Entsoe_SFS_2017!$D$1:$AL$1='Abgleich Kapazität'!P$78)*Capacity_Entsoe_SFS_2017!$D$3:$AK$38)+SUMPRODUCT((Capacity_Entsoe_SFS_2017!$A$3:$A$38='Abgleich Kapazität'!$A97)*(Capacity_Entsoe_SFS_2017!$D$1:$AL$1='Abgleich Kapazität'!P$77)*Capacity_Entsoe_SFS_2017!$D$3:$AK$38)+SUMPRODUCT((Capacity_Entsoe_SFS_2017!$A$3:$A$38='Abgleich Kapazität'!$A97)*(Capacity_Entsoe_SFS_2017!$D$1:$AL$1='Abgleich Kapazität'!P$76)*Capacity_Entsoe_SFS_2017!$D$3:$AK$38))/1000</f>
        <v>#VALUE!</v>
      </c>
      <c r="Q97" s="26" t="e">
        <f>(SUMPRODUCT((Capacity_Entsoe_SFS_2017!$A$3:$A$38='Abgleich Kapazität'!$A97)*(Capacity_Entsoe_SFS_2017!$D$1:$AL$1='Abgleich Kapazität'!Q$81)*Capacity_Entsoe_SFS_2017!$D$3:$AK$38)+SUMPRODUCT((Capacity_Entsoe_SFS_2017!$A$3:$A$38='Abgleich Kapazität'!$A97)*(Capacity_Entsoe_SFS_2017!$D$1:$AL$1='Abgleich Kapazität'!Q$80)*Capacity_Entsoe_SFS_2017!$D$3:$AK$38)+SUMPRODUCT((Capacity_Entsoe_SFS_2017!$A$3:$A$38='Abgleich Kapazität'!$A97)*(Capacity_Entsoe_SFS_2017!$D$1:$AL$1='Abgleich Kapazität'!Q$79)*Capacity_Entsoe_SFS_2017!$D$3:$AK$38)+SUMPRODUCT((Capacity_Entsoe_SFS_2017!$A$3:$A$38='Abgleich Kapazität'!$A97)*(Capacity_Entsoe_SFS_2017!$D$1:$AL$1='Abgleich Kapazität'!Q$78)*Capacity_Entsoe_SFS_2017!$D$3:$AK$38)+SUMPRODUCT((Capacity_Entsoe_SFS_2017!$A$3:$A$38='Abgleich Kapazität'!$A97)*(Capacity_Entsoe_SFS_2017!$D$1:$AL$1='Abgleich Kapazität'!Q$77)*Capacity_Entsoe_SFS_2017!$D$3:$AK$38)+SUMPRODUCT((Capacity_Entsoe_SFS_2017!$A$3:$A$38='Abgleich Kapazität'!$A97)*(Capacity_Entsoe_SFS_2017!$D$1:$AL$1='Abgleich Kapazität'!Q$76)*Capacity_Entsoe_SFS_2017!$D$3:$AK$38))/1000</f>
        <v>#VALUE!</v>
      </c>
      <c r="R97" s="26" t="e">
        <f>(SUMPRODUCT((Capacity_Entsoe_SFS_2017!$A$3:$A$38='Abgleich Kapazität'!$A97)*(Capacity_Entsoe_SFS_2017!$D$1:$AL$1='Abgleich Kapazität'!R$81)*Capacity_Entsoe_SFS_2017!$D$3:$AK$38)+SUMPRODUCT((Capacity_Entsoe_SFS_2017!$A$3:$A$38='Abgleich Kapazität'!$A97)*(Capacity_Entsoe_SFS_2017!$D$1:$AL$1='Abgleich Kapazität'!R$80)*Capacity_Entsoe_SFS_2017!$D$3:$AK$38)+SUMPRODUCT((Capacity_Entsoe_SFS_2017!$A$3:$A$38='Abgleich Kapazität'!$A97)*(Capacity_Entsoe_SFS_2017!$D$1:$AL$1='Abgleich Kapazität'!R$79)*Capacity_Entsoe_SFS_2017!$D$3:$AK$38)+SUMPRODUCT((Capacity_Entsoe_SFS_2017!$A$3:$A$38='Abgleich Kapazität'!$A97)*(Capacity_Entsoe_SFS_2017!$D$1:$AL$1='Abgleich Kapazität'!R$78)*Capacity_Entsoe_SFS_2017!$D$3:$AK$38)+SUMPRODUCT((Capacity_Entsoe_SFS_2017!$A$3:$A$38='Abgleich Kapazität'!$A97)*(Capacity_Entsoe_SFS_2017!$D$1:$AL$1='Abgleich Kapazität'!R$77)*Capacity_Entsoe_SFS_2017!$D$3:$AK$38)+SUMPRODUCT((Capacity_Entsoe_SFS_2017!$A$3:$A$38='Abgleich Kapazität'!$A97)*(Capacity_Entsoe_SFS_2017!$D$1:$AL$1='Abgleich Kapazität'!R$76)*Capacity_Entsoe_SFS_2017!$D$3:$AK$38))/1000</f>
        <v>#VALUE!</v>
      </c>
      <c r="S97" s="26" t="e">
        <f>(SUMPRODUCT((Capacity_Entsoe_SFS_2017!$A$3:$A$38='Abgleich Kapazität'!$A97)*(Capacity_Entsoe_SFS_2017!$D$1:$AL$1='Abgleich Kapazität'!S$81)*Capacity_Entsoe_SFS_2017!$D$3:$AK$38)+SUMPRODUCT((Capacity_Entsoe_SFS_2017!$A$3:$A$38='Abgleich Kapazität'!$A97)*(Capacity_Entsoe_SFS_2017!$D$1:$AL$1='Abgleich Kapazität'!S$80)*Capacity_Entsoe_SFS_2017!$D$3:$AK$38)+SUMPRODUCT((Capacity_Entsoe_SFS_2017!$A$3:$A$38='Abgleich Kapazität'!$A97)*(Capacity_Entsoe_SFS_2017!$D$1:$AL$1='Abgleich Kapazität'!S$79)*Capacity_Entsoe_SFS_2017!$D$3:$AK$38)+SUMPRODUCT((Capacity_Entsoe_SFS_2017!$A$3:$A$38='Abgleich Kapazität'!$A97)*(Capacity_Entsoe_SFS_2017!$D$1:$AL$1='Abgleich Kapazität'!S$78)*Capacity_Entsoe_SFS_2017!$D$3:$AK$38)+SUMPRODUCT((Capacity_Entsoe_SFS_2017!$A$3:$A$38='Abgleich Kapazität'!$A97)*(Capacity_Entsoe_SFS_2017!$D$1:$AL$1='Abgleich Kapazität'!S$77)*Capacity_Entsoe_SFS_2017!$D$3:$AK$38)+SUMPRODUCT((Capacity_Entsoe_SFS_2017!$A$3:$A$38='Abgleich Kapazität'!$A97)*(Capacity_Entsoe_SFS_2017!$D$1:$AL$1='Abgleich Kapazität'!S$76)*Capacity_Entsoe_SFS_2017!$D$3:$AK$38))/1000</f>
        <v>#VALUE!</v>
      </c>
      <c r="T97" s="26" t="e">
        <f>(SUMPRODUCT((Capacity_Entsoe_SFS_2017!$A$3:$A$38='Abgleich Kapazität'!$A97)*(Capacity_Entsoe_SFS_2017!$D$1:$AL$1='Abgleich Kapazität'!T$81)*Capacity_Entsoe_SFS_2017!$D$3:$AK$38)+SUMPRODUCT((Capacity_Entsoe_SFS_2017!$A$3:$A$38='Abgleich Kapazität'!$A97)*(Capacity_Entsoe_SFS_2017!$D$1:$AL$1='Abgleich Kapazität'!T$80)*Capacity_Entsoe_SFS_2017!$D$3:$AK$38)+SUMPRODUCT((Capacity_Entsoe_SFS_2017!$A$3:$A$38='Abgleich Kapazität'!$A97)*(Capacity_Entsoe_SFS_2017!$D$1:$AL$1='Abgleich Kapazität'!T$79)*Capacity_Entsoe_SFS_2017!$D$3:$AK$38)+SUMPRODUCT((Capacity_Entsoe_SFS_2017!$A$3:$A$38='Abgleich Kapazität'!$A97)*(Capacity_Entsoe_SFS_2017!$D$1:$AL$1='Abgleich Kapazität'!T$78)*Capacity_Entsoe_SFS_2017!$D$3:$AK$38)+SUMPRODUCT((Capacity_Entsoe_SFS_2017!$A$3:$A$38='Abgleich Kapazität'!$A97)*(Capacity_Entsoe_SFS_2017!$D$1:$AL$1='Abgleich Kapazität'!T$77)*Capacity_Entsoe_SFS_2017!$D$3:$AK$38)+SUMPRODUCT((Capacity_Entsoe_SFS_2017!$A$3:$A$38='Abgleich Kapazität'!$A97)*(Capacity_Entsoe_SFS_2017!$D$1:$AL$1='Abgleich Kapazität'!T$76)*Capacity_Entsoe_SFS_2017!$D$3:$AK$38))/1000</f>
        <v>#VALUE!</v>
      </c>
      <c r="U97" s="26" t="e">
        <f>(SUMPRODUCT((Capacity_Entsoe_SFS_2017!$A$3:$A$38='Abgleich Kapazität'!$A97)*(Capacity_Entsoe_SFS_2017!$D$1:$AL$1='Abgleich Kapazität'!U$81)*Capacity_Entsoe_SFS_2017!$D$3:$AK$38)+SUMPRODUCT((Capacity_Entsoe_SFS_2017!$A$3:$A$38='Abgleich Kapazität'!$A97)*(Capacity_Entsoe_SFS_2017!$D$1:$AL$1='Abgleich Kapazität'!U$80)*Capacity_Entsoe_SFS_2017!$D$3:$AK$38)+SUMPRODUCT((Capacity_Entsoe_SFS_2017!$A$3:$A$38='Abgleich Kapazität'!$A97)*(Capacity_Entsoe_SFS_2017!$D$1:$AL$1='Abgleich Kapazität'!U$79)*Capacity_Entsoe_SFS_2017!$D$3:$AK$38)+SUMPRODUCT((Capacity_Entsoe_SFS_2017!$A$3:$A$38='Abgleich Kapazität'!$A97)*(Capacity_Entsoe_SFS_2017!$D$1:$AL$1='Abgleich Kapazität'!U$78)*Capacity_Entsoe_SFS_2017!$D$3:$AK$38)+SUMPRODUCT((Capacity_Entsoe_SFS_2017!$A$3:$A$38='Abgleich Kapazität'!$A97)*(Capacity_Entsoe_SFS_2017!$D$1:$AL$1='Abgleich Kapazität'!U$77)*Capacity_Entsoe_SFS_2017!$D$3:$AK$38)+SUMPRODUCT((Capacity_Entsoe_SFS_2017!$A$3:$A$38='Abgleich Kapazität'!$A97)*(Capacity_Entsoe_SFS_2017!$D$1:$AL$1='Abgleich Kapazität'!U$76)*Capacity_Entsoe_SFS_2017!$D$3:$AK$38))/1000</f>
        <v>#VALUE!</v>
      </c>
      <c r="V97" s="27" t="e">
        <f t="shared" si="80"/>
        <v>#VALUE!</v>
      </c>
    </row>
    <row r="98" spans="1:22" x14ac:dyDescent="0.25">
      <c r="A98" s="14" t="s">
        <v>24</v>
      </c>
      <c r="B98" s="57" t="e">
        <f t="shared" si="77"/>
        <v>#VALUE!</v>
      </c>
      <c r="C98" s="58" t="e">
        <f>(SUMPRODUCT((Capacity_Entsoe_SFS_2017!$A$3:$A$38='Abgleich Kapazität'!$A98)*(Capacity_Entsoe_SFS_2017!$D$1:$AL$1='Abgleich Kapazität'!C$81)*Capacity_Entsoe_SFS_2017!$D$3:$AK$38)+SUMPRODUCT((Capacity_Entsoe_SFS_2017!$A$3:$A$38='Abgleich Kapazität'!$A98)*(Capacity_Entsoe_SFS_2017!$D$1:$AL$1='Abgleich Kapazität'!C$80)*Capacity_Entsoe_SFS_2017!$D$3:$AK$38)+SUMPRODUCT((Capacity_Entsoe_SFS_2017!$A$3:$A$38='Abgleich Kapazität'!$A98)*(Capacity_Entsoe_SFS_2017!$D$1:$AL$1='Abgleich Kapazität'!C$79)*Capacity_Entsoe_SFS_2017!$D$3:$AK$38)+SUMPRODUCT((Capacity_Entsoe_SFS_2017!$A$3:$A$38='Abgleich Kapazität'!$A98)*(Capacity_Entsoe_SFS_2017!$D$1:$AL$1='Abgleich Kapazität'!C$78)*Capacity_Entsoe_SFS_2017!$D$3:$AK$38))/1000</f>
        <v>#VALUE!</v>
      </c>
      <c r="D98" s="58" t="e">
        <f t="shared" si="78"/>
        <v>#VALUE!</v>
      </c>
      <c r="E98" s="58" t="e">
        <f>(SUMPRODUCT((Capacity_Entsoe_SFS_2017!$A$3:$A$38='Abgleich Kapazität'!$A98)*(Capacity_Entsoe_SFS_2017!$D$1:$AL$1='Abgleich Kapazität'!E$81)*Capacity_Entsoe_SFS_2017!$D$3:$AK$38)+SUMPRODUCT((Capacity_Entsoe_SFS_2017!$A$3:$A$38='Abgleich Kapazität'!$A98)*(Capacity_Entsoe_SFS_2017!$D$1:$AL$1='Abgleich Kapazität'!E$80)*Capacity_Entsoe_SFS_2017!$D$3:$AK$38)+SUMPRODUCT((Capacity_Entsoe_SFS_2017!$A$3:$A$38='Abgleich Kapazität'!$A98)*(Capacity_Entsoe_SFS_2017!$D$1:$AL$1='Abgleich Kapazität'!E$79)*Capacity_Entsoe_SFS_2017!$D$3:$AK$38)+SUMPRODUCT((Capacity_Entsoe_SFS_2017!$A$3:$A$38='Abgleich Kapazität'!$A98)*(Capacity_Entsoe_SFS_2017!$D$1:$AL$1='Abgleich Kapazität'!E$78)*Capacity_Entsoe_SFS_2017!$D$3:$AK$38))/1000</f>
        <v>#VALUE!</v>
      </c>
      <c r="F98" s="58" t="e">
        <f>(SUMPRODUCT((Capacity_Entsoe_SFS_2017!$A$3:$A$38='Abgleich Kapazität'!$A98)*(Capacity_Entsoe_SFS_2017!$D$1:$AL$1='Abgleich Kapazität'!F$81)*Capacity_Entsoe_SFS_2017!$D$3:$AK$38)+SUMPRODUCT((Capacity_Entsoe_SFS_2017!$A$3:$A$38='Abgleich Kapazität'!$A98)*(Capacity_Entsoe_SFS_2017!$D$1:$AL$1='Abgleich Kapazität'!F$80)*Capacity_Entsoe_SFS_2017!$D$3:$AK$38)+SUMPRODUCT((Capacity_Entsoe_SFS_2017!$A$3:$A$38='Abgleich Kapazität'!$A98)*(Capacity_Entsoe_SFS_2017!$D$1:$AL$1='Abgleich Kapazität'!F$79)*Capacity_Entsoe_SFS_2017!$D$3:$AK$38)+SUMPRODUCT((Capacity_Entsoe_SFS_2017!$A$3:$A$38='Abgleich Kapazität'!$A98)*(Capacity_Entsoe_SFS_2017!$D$1:$AL$1='Abgleich Kapazität'!F$78)*Capacity_Entsoe_SFS_2017!$D$3:$AK$38))/1000</f>
        <v>#VALUE!</v>
      </c>
      <c r="G98" s="58" t="e">
        <f>(SUMPRODUCT((Capacity_Entsoe_SFS_2017!$A$3:$A$38='Abgleich Kapazität'!$A98)*(Capacity_Entsoe_SFS_2017!$D$1:$AL$1='Abgleich Kapazität'!G$81)*Capacity_Entsoe_SFS_2017!$D$3:$AK$38)+SUMPRODUCT((Capacity_Entsoe_SFS_2017!$A$3:$A$38='Abgleich Kapazität'!$A98)*(Capacity_Entsoe_SFS_2017!$D$1:$AL$1='Abgleich Kapazität'!G$80)*Capacity_Entsoe_SFS_2017!$D$3:$AK$38)+SUMPRODUCT((Capacity_Entsoe_SFS_2017!$A$3:$A$38='Abgleich Kapazität'!$A98)*(Capacity_Entsoe_SFS_2017!$D$1:$AL$1='Abgleich Kapazität'!G$79)*Capacity_Entsoe_SFS_2017!$D$3:$AK$38)+SUMPRODUCT((Capacity_Entsoe_SFS_2017!$A$3:$A$38='Abgleich Kapazität'!$A98)*(Capacity_Entsoe_SFS_2017!$D$1:$AL$1='Abgleich Kapazität'!G$78)*Capacity_Entsoe_SFS_2017!$D$3:$AK$38))/1000</f>
        <v>#VALUE!</v>
      </c>
      <c r="H98" s="58" t="e">
        <f>(SUMPRODUCT((Capacity_Entsoe_SFS_2017!$A$3:$A$38='Abgleich Kapazität'!$A98)*(Capacity_Entsoe_SFS_2017!$D$1:$AL$1='Abgleich Kapazität'!H$81)*Capacity_Entsoe_SFS_2017!$D$3:$AK$38)+SUMPRODUCT((Capacity_Entsoe_SFS_2017!$A$3:$A$38='Abgleich Kapazität'!$A98)*(Capacity_Entsoe_SFS_2017!$D$1:$AL$1='Abgleich Kapazität'!H$80)*Capacity_Entsoe_SFS_2017!$D$3:$AK$38)+SUMPRODUCT((Capacity_Entsoe_SFS_2017!$A$3:$A$38='Abgleich Kapazität'!$A98)*(Capacity_Entsoe_SFS_2017!$D$1:$AL$1='Abgleich Kapazität'!H$79)*Capacity_Entsoe_SFS_2017!$D$3:$AK$38)+SUMPRODUCT((Capacity_Entsoe_SFS_2017!$A$3:$A$38='Abgleich Kapazität'!$A98)*(Capacity_Entsoe_SFS_2017!$D$1:$AL$1='Abgleich Kapazität'!H$78)*Capacity_Entsoe_SFS_2017!$D$3:$AK$38))/1000</f>
        <v>#VALUE!</v>
      </c>
      <c r="I98" s="58" t="e">
        <f>(SUMPRODUCT((Capacity_Entsoe_SFS_2017!$A$3:$A$38='Abgleich Kapazität'!$A98)*(Capacity_Entsoe_SFS_2017!$D$1:$AL$1='Abgleich Kapazität'!I$81)*Capacity_Entsoe_SFS_2017!$D$3:$AK$38)+SUMPRODUCT((Capacity_Entsoe_SFS_2017!$A$3:$A$38='Abgleich Kapazität'!$A98)*(Capacity_Entsoe_SFS_2017!$D$1:$AL$1='Abgleich Kapazität'!I$80)*Capacity_Entsoe_SFS_2017!$D$3:$AK$38)+SUMPRODUCT((Capacity_Entsoe_SFS_2017!$A$3:$A$38='Abgleich Kapazität'!$A98)*(Capacity_Entsoe_SFS_2017!$D$1:$AL$1='Abgleich Kapazität'!I$79)*Capacity_Entsoe_SFS_2017!$D$3:$AK$38)+SUMPRODUCT((Capacity_Entsoe_SFS_2017!$A$3:$A$38='Abgleich Kapazität'!$A98)*(Capacity_Entsoe_SFS_2017!$D$1:$AL$1='Abgleich Kapazität'!I$78)*Capacity_Entsoe_SFS_2017!$D$3:$AK$38))/1000</f>
        <v>#VALUE!</v>
      </c>
      <c r="J98" s="58" t="e">
        <f>(SUMPRODUCT((Capacity_Entsoe_SFS_2017!$A$3:$A$38='Abgleich Kapazität'!$A98)*(Capacity_Entsoe_SFS_2017!$D$1:$AL$1='Abgleich Kapazität'!J$81)*Capacity_Entsoe_SFS_2017!$D$3:$AK$38)+SUMPRODUCT((Capacity_Entsoe_SFS_2017!$A$3:$A$38='Abgleich Kapazität'!$A98)*(Capacity_Entsoe_SFS_2017!$D$1:$AL$1='Abgleich Kapazität'!J$80)*Capacity_Entsoe_SFS_2017!$D$3:$AK$38)+SUMPRODUCT((Capacity_Entsoe_SFS_2017!$A$3:$A$38='Abgleich Kapazität'!$A98)*(Capacity_Entsoe_SFS_2017!$D$1:$AL$1='Abgleich Kapazität'!J$79)*Capacity_Entsoe_SFS_2017!$D$3:$AK$38)+SUMPRODUCT((Capacity_Entsoe_SFS_2017!$A$3:$A$38='Abgleich Kapazität'!$A98)*(Capacity_Entsoe_SFS_2017!$D$1:$AL$1='Abgleich Kapazität'!J$78)*Capacity_Entsoe_SFS_2017!$D$3:$AK$38))/1000</f>
        <v>#VALUE!</v>
      </c>
      <c r="K98" s="59" t="e">
        <f t="shared" si="79"/>
        <v>#VALUE!</v>
      </c>
      <c r="L98" s="58" t="e">
        <f>(SUMPRODUCT((Capacity_Entsoe_SFS_2017!$A$3:$A$38='Abgleich Kapazität'!$A98)*(Capacity_Entsoe_SFS_2017!$D$1:$AL$1='Abgleich Kapazität'!L$81)*Capacity_Entsoe_SFS_2017!$D$3:$AK$38)+SUMPRODUCT((Capacity_Entsoe_SFS_2017!$A$3:$A$38='Abgleich Kapazität'!$A98)*(Capacity_Entsoe_SFS_2017!$D$1:$AL$1='Abgleich Kapazität'!L$80)*Capacity_Entsoe_SFS_2017!$D$3:$AK$38)+SUMPRODUCT((Capacity_Entsoe_SFS_2017!$A$3:$A$38='Abgleich Kapazität'!$A98)*(Capacity_Entsoe_SFS_2017!$D$1:$AL$1='Abgleich Kapazität'!L$79)*Capacity_Entsoe_SFS_2017!$D$3:$AK$38)+SUMPRODUCT((Capacity_Entsoe_SFS_2017!$A$3:$A$38='Abgleich Kapazität'!$A98)*(Capacity_Entsoe_SFS_2017!$D$1:$AL$1='Abgleich Kapazität'!L$78)*Capacity_Entsoe_SFS_2017!$D$3:$AK$38)+SUMPRODUCT((Capacity_Entsoe_SFS_2017!$A$3:$A$38='Abgleich Kapazität'!$A98)*(Capacity_Entsoe_SFS_2017!$D$1:$AL$1='Abgleich Kapazität'!L$77)*Capacity_Entsoe_SFS_2017!$D$3:$AK$38)+SUMPRODUCT((Capacity_Entsoe_SFS_2017!$A$3:$A$38='Abgleich Kapazität'!$A98)*(Capacity_Entsoe_SFS_2017!$D$1:$AL$1='Abgleich Kapazität'!L$76)*Capacity_Entsoe_SFS_2017!$D$3:$AK$38))/1000</f>
        <v>#VALUE!</v>
      </c>
      <c r="M98" s="58" t="e">
        <f>(SUMPRODUCT((Capacity_Entsoe_SFS_2017!$A$3:$A$38='Abgleich Kapazität'!$A98)*(Capacity_Entsoe_SFS_2017!$D$1:$AL$1='Abgleich Kapazität'!M$81)*Capacity_Entsoe_SFS_2017!$D$3:$AK$38)+SUMPRODUCT((Capacity_Entsoe_SFS_2017!$A$3:$A$38='Abgleich Kapazität'!$A98)*(Capacity_Entsoe_SFS_2017!$D$1:$AL$1='Abgleich Kapazität'!M$80)*Capacity_Entsoe_SFS_2017!$D$3:$AK$38)+SUMPRODUCT((Capacity_Entsoe_SFS_2017!$A$3:$A$38='Abgleich Kapazität'!$A98)*(Capacity_Entsoe_SFS_2017!$D$1:$AL$1='Abgleich Kapazität'!M$79)*Capacity_Entsoe_SFS_2017!$D$3:$AK$38)+SUMPRODUCT((Capacity_Entsoe_SFS_2017!$A$3:$A$38='Abgleich Kapazität'!$A98)*(Capacity_Entsoe_SFS_2017!$D$1:$AL$1='Abgleich Kapazität'!M$78)*Capacity_Entsoe_SFS_2017!$D$3:$AK$38)+SUMPRODUCT((Capacity_Entsoe_SFS_2017!$A$3:$A$38='Abgleich Kapazität'!$A98)*(Capacity_Entsoe_SFS_2017!$D$1:$AL$1='Abgleich Kapazität'!M$77)*Capacity_Entsoe_SFS_2017!$D$3:$AK$38)+SUMPRODUCT((Capacity_Entsoe_SFS_2017!$A$3:$A$38='Abgleich Kapazität'!$A98)*(Capacity_Entsoe_SFS_2017!$D$1:$AL$1='Abgleich Kapazität'!M$76)*Capacity_Entsoe_SFS_2017!$D$3:$AK$38))/1000</f>
        <v>#VALUE!</v>
      </c>
      <c r="N98" s="58" t="e">
        <f>(SUMPRODUCT((Capacity_Entsoe_SFS_2017!$A$3:$A$38='Abgleich Kapazität'!$A98)*(Capacity_Entsoe_SFS_2017!$D$1:$AL$1='Abgleich Kapazität'!N$81)*Capacity_Entsoe_SFS_2017!$D$3:$AK$38)+SUMPRODUCT((Capacity_Entsoe_SFS_2017!$A$3:$A$38='Abgleich Kapazität'!$A98)*(Capacity_Entsoe_SFS_2017!$D$1:$AL$1='Abgleich Kapazität'!N$80)*Capacity_Entsoe_SFS_2017!$D$3:$AK$38)+SUMPRODUCT((Capacity_Entsoe_SFS_2017!$A$3:$A$38='Abgleich Kapazität'!$A98)*(Capacity_Entsoe_SFS_2017!$D$1:$AL$1='Abgleich Kapazität'!N$79)*Capacity_Entsoe_SFS_2017!$D$3:$AK$38)+SUMPRODUCT((Capacity_Entsoe_SFS_2017!$A$3:$A$38='Abgleich Kapazität'!$A98)*(Capacity_Entsoe_SFS_2017!$D$1:$AL$1='Abgleich Kapazität'!N$78)*Capacity_Entsoe_SFS_2017!$D$3:$AK$38)+SUMPRODUCT((Capacity_Entsoe_SFS_2017!$A$3:$A$38='Abgleich Kapazität'!$A98)*(Capacity_Entsoe_SFS_2017!$D$1:$AL$1='Abgleich Kapazität'!N$77)*Capacity_Entsoe_SFS_2017!$D$3:$AK$38)+SUMPRODUCT((Capacity_Entsoe_SFS_2017!$A$3:$A$38='Abgleich Kapazität'!$A98)*(Capacity_Entsoe_SFS_2017!$D$1:$AL$1='Abgleich Kapazität'!N$76)*Capacity_Entsoe_SFS_2017!$D$3:$AK$38))/1000</f>
        <v>#VALUE!</v>
      </c>
      <c r="O98" s="58" t="e">
        <f>(SUMPRODUCT((Capacity_Entsoe_SFS_2017!$A$3:$A$38='Abgleich Kapazität'!$A98)*(Capacity_Entsoe_SFS_2017!$D$1:$AL$1='Abgleich Kapazität'!O$81)*Capacity_Entsoe_SFS_2017!$D$3:$AK$38)+SUMPRODUCT((Capacity_Entsoe_SFS_2017!$A$3:$A$38='Abgleich Kapazität'!$A98)*(Capacity_Entsoe_SFS_2017!$D$1:$AL$1='Abgleich Kapazität'!O$80)*Capacity_Entsoe_SFS_2017!$D$3:$AK$38)+SUMPRODUCT((Capacity_Entsoe_SFS_2017!$A$3:$A$38='Abgleich Kapazität'!$A98)*(Capacity_Entsoe_SFS_2017!$D$1:$AL$1='Abgleich Kapazität'!O$79)*Capacity_Entsoe_SFS_2017!$D$3:$AK$38)+SUMPRODUCT((Capacity_Entsoe_SFS_2017!$A$3:$A$38='Abgleich Kapazität'!$A98)*(Capacity_Entsoe_SFS_2017!$D$1:$AL$1='Abgleich Kapazität'!O$78)*Capacity_Entsoe_SFS_2017!$D$3:$AK$38)+SUMPRODUCT((Capacity_Entsoe_SFS_2017!$A$3:$A$38='Abgleich Kapazität'!$A98)*(Capacity_Entsoe_SFS_2017!$D$1:$AL$1='Abgleich Kapazität'!O$77)*Capacity_Entsoe_SFS_2017!$D$3:$AK$38)+SUMPRODUCT((Capacity_Entsoe_SFS_2017!$A$3:$A$38='Abgleich Kapazität'!$A98)*(Capacity_Entsoe_SFS_2017!$D$1:$AL$1='Abgleich Kapazität'!O$76)*Capacity_Entsoe_SFS_2017!$D$3:$AK$38))/1000</f>
        <v>#VALUE!</v>
      </c>
      <c r="P98" s="58" t="e">
        <f>(SUMPRODUCT((Capacity_Entsoe_SFS_2017!$A$3:$A$38='Abgleich Kapazität'!$A98)*(Capacity_Entsoe_SFS_2017!$D$1:$AL$1='Abgleich Kapazität'!P$81)*Capacity_Entsoe_SFS_2017!$D$3:$AK$38)+SUMPRODUCT((Capacity_Entsoe_SFS_2017!$A$3:$A$38='Abgleich Kapazität'!$A98)*(Capacity_Entsoe_SFS_2017!$D$1:$AL$1='Abgleich Kapazität'!P$80)*Capacity_Entsoe_SFS_2017!$D$3:$AK$38)+SUMPRODUCT((Capacity_Entsoe_SFS_2017!$A$3:$A$38='Abgleich Kapazität'!$A98)*(Capacity_Entsoe_SFS_2017!$D$1:$AL$1='Abgleich Kapazität'!P$79)*Capacity_Entsoe_SFS_2017!$D$3:$AK$38)+SUMPRODUCT((Capacity_Entsoe_SFS_2017!$A$3:$A$38='Abgleich Kapazität'!$A98)*(Capacity_Entsoe_SFS_2017!$D$1:$AL$1='Abgleich Kapazität'!P$78)*Capacity_Entsoe_SFS_2017!$D$3:$AK$38)+SUMPRODUCT((Capacity_Entsoe_SFS_2017!$A$3:$A$38='Abgleich Kapazität'!$A98)*(Capacity_Entsoe_SFS_2017!$D$1:$AL$1='Abgleich Kapazität'!P$77)*Capacity_Entsoe_SFS_2017!$D$3:$AK$38)+SUMPRODUCT((Capacity_Entsoe_SFS_2017!$A$3:$A$38='Abgleich Kapazität'!$A98)*(Capacity_Entsoe_SFS_2017!$D$1:$AL$1='Abgleich Kapazität'!P$76)*Capacity_Entsoe_SFS_2017!$D$3:$AK$38))/1000</f>
        <v>#VALUE!</v>
      </c>
      <c r="Q98" s="58" t="e">
        <f>(SUMPRODUCT((Capacity_Entsoe_SFS_2017!$A$3:$A$38='Abgleich Kapazität'!$A98)*(Capacity_Entsoe_SFS_2017!$D$1:$AL$1='Abgleich Kapazität'!Q$81)*Capacity_Entsoe_SFS_2017!$D$3:$AK$38)+SUMPRODUCT((Capacity_Entsoe_SFS_2017!$A$3:$A$38='Abgleich Kapazität'!$A98)*(Capacity_Entsoe_SFS_2017!$D$1:$AL$1='Abgleich Kapazität'!Q$80)*Capacity_Entsoe_SFS_2017!$D$3:$AK$38)+SUMPRODUCT((Capacity_Entsoe_SFS_2017!$A$3:$A$38='Abgleich Kapazität'!$A98)*(Capacity_Entsoe_SFS_2017!$D$1:$AL$1='Abgleich Kapazität'!Q$79)*Capacity_Entsoe_SFS_2017!$D$3:$AK$38)+SUMPRODUCT((Capacity_Entsoe_SFS_2017!$A$3:$A$38='Abgleich Kapazität'!$A98)*(Capacity_Entsoe_SFS_2017!$D$1:$AL$1='Abgleich Kapazität'!Q$78)*Capacity_Entsoe_SFS_2017!$D$3:$AK$38)+SUMPRODUCT((Capacity_Entsoe_SFS_2017!$A$3:$A$38='Abgleich Kapazität'!$A98)*(Capacity_Entsoe_SFS_2017!$D$1:$AL$1='Abgleich Kapazität'!Q$77)*Capacity_Entsoe_SFS_2017!$D$3:$AK$38)+SUMPRODUCT((Capacity_Entsoe_SFS_2017!$A$3:$A$38='Abgleich Kapazität'!$A98)*(Capacity_Entsoe_SFS_2017!$D$1:$AL$1='Abgleich Kapazität'!Q$76)*Capacity_Entsoe_SFS_2017!$D$3:$AK$38))/1000</f>
        <v>#VALUE!</v>
      </c>
      <c r="R98" s="58" t="e">
        <f>(SUMPRODUCT((Capacity_Entsoe_SFS_2017!$A$3:$A$38='Abgleich Kapazität'!$A98)*(Capacity_Entsoe_SFS_2017!$D$1:$AL$1='Abgleich Kapazität'!R$81)*Capacity_Entsoe_SFS_2017!$D$3:$AK$38)+SUMPRODUCT((Capacity_Entsoe_SFS_2017!$A$3:$A$38='Abgleich Kapazität'!$A98)*(Capacity_Entsoe_SFS_2017!$D$1:$AL$1='Abgleich Kapazität'!R$80)*Capacity_Entsoe_SFS_2017!$D$3:$AK$38)+SUMPRODUCT((Capacity_Entsoe_SFS_2017!$A$3:$A$38='Abgleich Kapazität'!$A98)*(Capacity_Entsoe_SFS_2017!$D$1:$AL$1='Abgleich Kapazität'!R$79)*Capacity_Entsoe_SFS_2017!$D$3:$AK$38)+SUMPRODUCT((Capacity_Entsoe_SFS_2017!$A$3:$A$38='Abgleich Kapazität'!$A98)*(Capacity_Entsoe_SFS_2017!$D$1:$AL$1='Abgleich Kapazität'!R$78)*Capacity_Entsoe_SFS_2017!$D$3:$AK$38)+SUMPRODUCT((Capacity_Entsoe_SFS_2017!$A$3:$A$38='Abgleich Kapazität'!$A98)*(Capacity_Entsoe_SFS_2017!$D$1:$AL$1='Abgleich Kapazität'!R$77)*Capacity_Entsoe_SFS_2017!$D$3:$AK$38)+SUMPRODUCT((Capacity_Entsoe_SFS_2017!$A$3:$A$38='Abgleich Kapazität'!$A98)*(Capacity_Entsoe_SFS_2017!$D$1:$AL$1='Abgleich Kapazität'!R$76)*Capacity_Entsoe_SFS_2017!$D$3:$AK$38))/1000</f>
        <v>#VALUE!</v>
      </c>
      <c r="S98" s="58" t="e">
        <f>(SUMPRODUCT((Capacity_Entsoe_SFS_2017!$A$3:$A$38='Abgleich Kapazität'!$A98)*(Capacity_Entsoe_SFS_2017!$D$1:$AL$1='Abgleich Kapazität'!S$81)*Capacity_Entsoe_SFS_2017!$D$3:$AK$38)+SUMPRODUCT((Capacity_Entsoe_SFS_2017!$A$3:$A$38='Abgleich Kapazität'!$A98)*(Capacity_Entsoe_SFS_2017!$D$1:$AL$1='Abgleich Kapazität'!S$80)*Capacity_Entsoe_SFS_2017!$D$3:$AK$38)+SUMPRODUCT((Capacity_Entsoe_SFS_2017!$A$3:$A$38='Abgleich Kapazität'!$A98)*(Capacity_Entsoe_SFS_2017!$D$1:$AL$1='Abgleich Kapazität'!S$79)*Capacity_Entsoe_SFS_2017!$D$3:$AK$38)+SUMPRODUCT((Capacity_Entsoe_SFS_2017!$A$3:$A$38='Abgleich Kapazität'!$A98)*(Capacity_Entsoe_SFS_2017!$D$1:$AL$1='Abgleich Kapazität'!S$78)*Capacity_Entsoe_SFS_2017!$D$3:$AK$38)+SUMPRODUCT((Capacity_Entsoe_SFS_2017!$A$3:$A$38='Abgleich Kapazität'!$A98)*(Capacity_Entsoe_SFS_2017!$D$1:$AL$1='Abgleich Kapazität'!S$77)*Capacity_Entsoe_SFS_2017!$D$3:$AK$38)+SUMPRODUCT((Capacity_Entsoe_SFS_2017!$A$3:$A$38='Abgleich Kapazität'!$A98)*(Capacity_Entsoe_SFS_2017!$D$1:$AL$1='Abgleich Kapazität'!S$76)*Capacity_Entsoe_SFS_2017!$D$3:$AK$38))/1000</f>
        <v>#VALUE!</v>
      </c>
      <c r="T98" s="58" t="e">
        <f>(SUMPRODUCT((Capacity_Entsoe_SFS_2017!$A$3:$A$38='Abgleich Kapazität'!$A98)*(Capacity_Entsoe_SFS_2017!$D$1:$AL$1='Abgleich Kapazität'!T$81)*Capacity_Entsoe_SFS_2017!$D$3:$AK$38)+SUMPRODUCT((Capacity_Entsoe_SFS_2017!$A$3:$A$38='Abgleich Kapazität'!$A98)*(Capacity_Entsoe_SFS_2017!$D$1:$AL$1='Abgleich Kapazität'!T$80)*Capacity_Entsoe_SFS_2017!$D$3:$AK$38)+SUMPRODUCT((Capacity_Entsoe_SFS_2017!$A$3:$A$38='Abgleich Kapazität'!$A98)*(Capacity_Entsoe_SFS_2017!$D$1:$AL$1='Abgleich Kapazität'!T$79)*Capacity_Entsoe_SFS_2017!$D$3:$AK$38)+SUMPRODUCT((Capacity_Entsoe_SFS_2017!$A$3:$A$38='Abgleich Kapazität'!$A98)*(Capacity_Entsoe_SFS_2017!$D$1:$AL$1='Abgleich Kapazität'!T$78)*Capacity_Entsoe_SFS_2017!$D$3:$AK$38)+SUMPRODUCT((Capacity_Entsoe_SFS_2017!$A$3:$A$38='Abgleich Kapazität'!$A98)*(Capacity_Entsoe_SFS_2017!$D$1:$AL$1='Abgleich Kapazität'!T$77)*Capacity_Entsoe_SFS_2017!$D$3:$AK$38)+SUMPRODUCT((Capacity_Entsoe_SFS_2017!$A$3:$A$38='Abgleich Kapazität'!$A98)*(Capacity_Entsoe_SFS_2017!$D$1:$AL$1='Abgleich Kapazität'!T$76)*Capacity_Entsoe_SFS_2017!$D$3:$AK$38))/1000</f>
        <v>#VALUE!</v>
      </c>
      <c r="U98" s="58" t="e">
        <f>(SUMPRODUCT((Capacity_Entsoe_SFS_2017!$A$3:$A$38='Abgleich Kapazität'!$A98)*(Capacity_Entsoe_SFS_2017!$D$1:$AL$1='Abgleich Kapazität'!U$81)*Capacity_Entsoe_SFS_2017!$D$3:$AK$38)+SUMPRODUCT((Capacity_Entsoe_SFS_2017!$A$3:$A$38='Abgleich Kapazität'!$A98)*(Capacity_Entsoe_SFS_2017!$D$1:$AL$1='Abgleich Kapazität'!U$80)*Capacity_Entsoe_SFS_2017!$D$3:$AK$38)+SUMPRODUCT((Capacity_Entsoe_SFS_2017!$A$3:$A$38='Abgleich Kapazität'!$A98)*(Capacity_Entsoe_SFS_2017!$D$1:$AL$1='Abgleich Kapazität'!U$79)*Capacity_Entsoe_SFS_2017!$D$3:$AK$38)+SUMPRODUCT((Capacity_Entsoe_SFS_2017!$A$3:$A$38='Abgleich Kapazität'!$A98)*(Capacity_Entsoe_SFS_2017!$D$1:$AL$1='Abgleich Kapazität'!U$78)*Capacity_Entsoe_SFS_2017!$D$3:$AK$38)+SUMPRODUCT((Capacity_Entsoe_SFS_2017!$A$3:$A$38='Abgleich Kapazität'!$A98)*(Capacity_Entsoe_SFS_2017!$D$1:$AL$1='Abgleich Kapazität'!U$77)*Capacity_Entsoe_SFS_2017!$D$3:$AK$38)+SUMPRODUCT((Capacity_Entsoe_SFS_2017!$A$3:$A$38='Abgleich Kapazität'!$A98)*(Capacity_Entsoe_SFS_2017!$D$1:$AL$1='Abgleich Kapazität'!U$76)*Capacity_Entsoe_SFS_2017!$D$3:$AK$38))/1000</f>
        <v>#VALUE!</v>
      </c>
      <c r="V98" s="59" t="e">
        <f t="shared" si="80"/>
        <v>#VALUE!</v>
      </c>
    </row>
    <row r="99" spans="1:22" x14ac:dyDescent="0.25">
      <c r="A99" s="14" t="s">
        <v>25</v>
      </c>
      <c r="B99" s="25" t="e">
        <f t="shared" si="77"/>
        <v>#VALUE!</v>
      </c>
      <c r="C99" s="26" t="e">
        <f>(SUMPRODUCT((Capacity_Entsoe_SFS_2017!$A$3:$A$38='Abgleich Kapazität'!$A99)*(Capacity_Entsoe_SFS_2017!$D$1:$AL$1='Abgleich Kapazität'!C$81)*Capacity_Entsoe_SFS_2017!$D$3:$AK$38)+SUMPRODUCT((Capacity_Entsoe_SFS_2017!$A$3:$A$38='Abgleich Kapazität'!$A99)*(Capacity_Entsoe_SFS_2017!$D$1:$AL$1='Abgleich Kapazität'!C$80)*Capacity_Entsoe_SFS_2017!$D$3:$AK$38)+SUMPRODUCT((Capacity_Entsoe_SFS_2017!$A$3:$A$38='Abgleich Kapazität'!$A99)*(Capacity_Entsoe_SFS_2017!$D$1:$AL$1='Abgleich Kapazität'!C$79)*Capacity_Entsoe_SFS_2017!$D$3:$AK$38)+SUMPRODUCT((Capacity_Entsoe_SFS_2017!$A$3:$A$38='Abgleich Kapazität'!$A99)*(Capacity_Entsoe_SFS_2017!$D$1:$AL$1='Abgleich Kapazität'!C$78)*Capacity_Entsoe_SFS_2017!$D$3:$AK$38))/1000</f>
        <v>#VALUE!</v>
      </c>
      <c r="D99" s="26" t="e">
        <f t="shared" si="78"/>
        <v>#VALUE!</v>
      </c>
      <c r="E99" s="26" t="e">
        <f>(SUMPRODUCT((Capacity_Entsoe_SFS_2017!$A$3:$A$38='Abgleich Kapazität'!$A99)*(Capacity_Entsoe_SFS_2017!$D$1:$AL$1='Abgleich Kapazität'!E$81)*Capacity_Entsoe_SFS_2017!$D$3:$AK$38)+SUMPRODUCT((Capacity_Entsoe_SFS_2017!$A$3:$A$38='Abgleich Kapazität'!$A99)*(Capacity_Entsoe_SFS_2017!$D$1:$AL$1='Abgleich Kapazität'!E$80)*Capacity_Entsoe_SFS_2017!$D$3:$AK$38)+SUMPRODUCT((Capacity_Entsoe_SFS_2017!$A$3:$A$38='Abgleich Kapazität'!$A99)*(Capacity_Entsoe_SFS_2017!$D$1:$AL$1='Abgleich Kapazität'!E$79)*Capacity_Entsoe_SFS_2017!$D$3:$AK$38)+SUMPRODUCT((Capacity_Entsoe_SFS_2017!$A$3:$A$38='Abgleich Kapazität'!$A99)*(Capacity_Entsoe_SFS_2017!$D$1:$AL$1='Abgleich Kapazität'!E$78)*Capacity_Entsoe_SFS_2017!$D$3:$AK$38))/1000</f>
        <v>#VALUE!</v>
      </c>
      <c r="F99" s="26" t="e">
        <f>(SUMPRODUCT((Capacity_Entsoe_SFS_2017!$A$3:$A$38='Abgleich Kapazität'!$A99)*(Capacity_Entsoe_SFS_2017!$D$1:$AL$1='Abgleich Kapazität'!F$81)*Capacity_Entsoe_SFS_2017!$D$3:$AK$38)+SUMPRODUCT((Capacity_Entsoe_SFS_2017!$A$3:$A$38='Abgleich Kapazität'!$A99)*(Capacity_Entsoe_SFS_2017!$D$1:$AL$1='Abgleich Kapazität'!F$80)*Capacity_Entsoe_SFS_2017!$D$3:$AK$38)+SUMPRODUCT((Capacity_Entsoe_SFS_2017!$A$3:$A$38='Abgleich Kapazität'!$A99)*(Capacity_Entsoe_SFS_2017!$D$1:$AL$1='Abgleich Kapazität'!F$79)*Capacity_Entsoe_SFS_2017!$D$3:$AK$38)+SUMPRODUCT((Capacity_Entsoe_SFS_2017!$A$3:$A$38='Abgleich Kapazität'!$A99)*(Capacity_Entsoe_SFS_2017!$D$1:$AL$1='Abgleich Kapazität'!F$78)*Capacity_Entsoe_SFS_2017!$D$3:$AK$38))/1000</f>
        <v>#VALUE!</v>
      </c>
      <c r="G99" s="26" t="e">
        <f>(SUMPRODUCT((Capacity_Entsoe_SFS_2017!$A$3:$A$38='Abgleich Kapazität'!$A99)*(Capacity_Entsoe_SFS_2017!$D$1:$AL$1='Abgleich Kapazität'!G$81)*Capacity_Entsoe_SFS_2017!$D$3:$AK$38)+SUMPRODUCT((Capacity_Entsoe_SFS_2017!$A$3:$A$38='Abgleich Kapazität'!$A99)*(Capacity_Entsoe_SFS_2017!$D$1:$AL$1='Abgleich Kapazität'!G$80)*Capacity_Entsoe_SFS_2017!$D$3:$AK$38)+SUMPRODUCT((Capacity_Entsoe_SFS_2017!$A$3:$A$38='Abgleich Kapazität'!$A99)*(Capacity_Entsoe_SFS_2017!$D$1:$AL$1='Abgleich Kapazität'!G$79)*Capacity_Entsoe_SFS_2017!$D$3:$AK$38)+SUMPRODUCT((Capacity_Entsoe_SFS_2017!$A$3:$A$38='Abgleich Kapazität'!$A99)*(Capacity_Entsoe_SFS_2017!$D$1:$AL$1='Abgleich Kapazität'!G$78)*Capacity_Entsoe_SFS_2017!$D$3:$AK$38))/1000</f>
        <v>#VALUE!</v>
      </c>
      <c r="H99" s="26" t="e">
        <f>(SUMPRODUCT((Capacity_Entsoe_SFS_2017!$A$3:$A$38='Abgleich Kapazität'!$A99)*(Capacity_Entsoe_SFS_2017!$D$1:$AL$1='Abgleich Kapazität'!H$81)*Capacity_Entsoe_SFS_2017!$D$3:$AK$38)+SUMPRODUCT((Capacity_Entsoe_SFS_2017!$A$3:$A$38='Abgleich Kapazität'!$A99)*(Capacity_Entsoe_SFS_2017!$D$1:$AL$1='Abgleich Kapazität'!H$80)*Capacity_Entsoe_SFS_2017!$D$3:$AK$38)+SUMPRODUCT((Capacity_Entsoe_SFS_2017!$A$3:$A$38='Abgleich Kapazität'!$A99)*(Capacity_Entsoe_SFS_2017!$D$1:$AL$1='Abgleich Kapazität'!H$79)*Capacity_Entsoe_SFS_2017!$D$3:$AK$38)+SUMPRODUCT((Capacity_Entsoe_SFS_2017!$A$3:$A$38='Abgleich Kapazität'!$A99)*(Capacity_Entsoe_SFS_2017!$D$1:$AL$1='Abgleich Kapazität'!H$78)*Capacity_Entsoe_SFS_2017!$D$3:$AK$38))/1000</f>
        <v>#VALUE!</v>
      </c>
      <c r="I99" s="26" t="e">
        <f>(SUMPRODUCT((Capacity_Entsoe_SFS_2017!$A$3:$A$38='Abgleich Kapazität'!$A99)*(Capacity_Entsoe_SFS_2017!$D$1:$AL$1='Abgleich Kapazität'!I$81)*Capacity_Entsoe_SFS_2017!$D$3:$AK$38)+SUMPRODUCT((Capacity_Entsoe_SFS_2017!$A$3:$A$38='Abgleich Kapazität'!$A99)*(Capacity_Entsoe_SFS_2017!$D$1:$AL$1='Abgleich Kapazität'!I$80)*Capacity_Entsoe_SFS_2017!$D$3:$AK$38)+SUMPRODUCT((Capacity_Entsoe_SFS_2017!$A$3:$A$38='Abgleich Kapazität'!$A99)*(Capacity_Entsoe_SFS_2017!$D$1:$AL$1='Abgleich Kapazität'!I$79)*Capacity_Entsoe_SFS_2017!$D$3:$AK$38)+SUMPRODUCT((Capacity_Entsoe_SFS_2017!$A$3:$A$38='Abgleich Kapazität'!$A99)*(Capacity_Entsoe_SFS_2017!$D$1:$AL$1='Abgleich Kapazität'!I$78)*Capacity_Entsoe_SFS_2017!$D$3:$AK$38))/1000</f>
        <v>#VALUE!</v>
      </c>
      <c r="J99" s="26" t="e">
        <f>(SUMPRODUCT((Capacity_Entsoe_SFS_2017!$A$3:$A$38='Abgleich Kapazität'!$A99)*(Capacity_Entsoe_SFS_2017!$D$1:$AL$1='Abgleich Kapazität'!J$81)*Capacity_Entsoe_SFS_2017!$D$3:$AK$38)+SUMPRODUCT((Capacity_Entsoe_SFS_2017!$A$3:$A$38='Abgleich Kapazität'!$A99)*(Capacity_Entsoe_SFS_2017!$D$1:$AL$1='Abgleich Kapazität'!J$80)*Capacity_Entsoe_SFS_2017!$D$3:$AK$38)+SUMPRODUCT((Capacity_Entsoe_SFS_2017!$A$3:$A$38='Abgleich Kapazität'!$A99)*(Capacity_Entsoe_SFS_2017!$D$1:$AL$1='Abgleich Kapazität'!J$79)*Capacity_Entsoe_SFS_2017!$D$3:$AK$38)+SUMPRODUCT((Capacity_Entsoe_SFS_2017!$A$3:$A$38='Abgleich Kapazität'!$A99)*(Capacity_Entsoe_SFS_2017!$D$1:$AL$1='Abgleich Kapazität'!J$78)*Capacity_Entsoe_SFS_2017!$D$3:$AK$38))/1000</f>
        <v>#VALUE!</v>
      </c>
      <c r="K99" s="27" t="e">
        <f t="shared" si="79"/>
        <v>#VALUE!</v>
      </c>
      <c r="L99" s="26" t="e">
        <f>(SUMPRODUCT((Capacity_Entsoe_SFS_2017!$A$3:$A$38='Abgleich Kapazität'!$A99)*(Capacity_Entsoe_SFS_2017!$D$1:$AL$1='Abgleich Kapazität'!L$81)*Capacity_Entsoe_SFS_2017!$D$3:$AK$38)+SUMPRODUCT((Capacity_Entsoe_SFS_2017!$A$3:$A$38='Abgleich Kapazität'!$A99)*(Capacity_Entsoe_SFS_2017!$D$1:$AL$1='Abgleich Kapazität'!L$80)*Capacity_Entsoe_SFS_2017!$D$3:$AK$38)+SUMPRODUCT((Capacity_Entsoe_SFS_2017!$A$3:$A$38='Abgleich Kapazität'!$A99)*(Capacity_Entsoe_SFS_2017!$D$1:$AL$1='Abgleich Kapazität'!L$79)*Capacity_Entsoe_SFS_2017!$D$3:$AK$38)+SUMPRODUCT((Capacity_Entsoe_SFS_2017!$A$3:$A$38='Abgleich Kapazität'!$A99)*(Capacity_Entsoe_SFS_2017!$D$1:$AL$1='Abgleich Kapazität'!L$78)*Capacity_Entsoe_SFS_2017!$D$3:$AK$38)+SUMPRODUCT((Capacity_Entsoe_SFS_2017!$A$3:$A$38='Abgleich Kapazität'!$A99)*(Capacity_Entsoe_SFS_2017!$D$1:$AL$1='Abgleich Kapazität'!L$77)*Capacity_Entsoe_SFS_2017!$D$3:$AK$38)+SUMPRODUCT((Capacity_Entsoe_SFS_2017!$A$3:$A$38='Abgleich Kapazität'!$A99)*(Capacity_Entsoe_SFS_2017!$D$1:$AL$1='Abgleich Kapazität'!L$76)*Capacity_Entsoe_SFS_2017!$D$3:$AK$38))/1000</f>
        <v>#VALUE!</v>
      </c>
      <c r="M99" s="26" t="e">
        <f>(SUMPRODUCT((Capacity_Entsoe_SFS_2017!$A$3:$A$38='Abgleich Kapazität'!$A99)*(Capacity_Entsoe_SFS_2017!$D$1:$AL$1='Abgleich Kapazität'!M$81)*Capacity_Entsoe_SFS_2017!$D$3:$AK$38)+SUMPRODUCT((Capacity_Entsoe_SFS_2017!$A$3:$A$38='Abgleich Kapazität'!$A99)*(Capacity_Entsoe_SFS_2017!$D$1:$AL$1='Abgleich Kapazität'!M$80)*Capacity_Entsoe_SFS_2017!$D$3:$AK$38)+SUMPRODUCT((Capacity_Entsoe_SFS_2017!$A$3:$A$38='Abgleich Kapazität'!$A99)*(Capacity_Entsoe_SFS_2017!$D$1:$AL$1='Abgleich Kapazität'!M$79)*Capacity_Entsoe_SFS_2017!$D$3:$AK$38)+SUMPRODUCT((Capacity_Entsoe_SFS_2017!$A$3:$A$38='Abgleich Kapazität'!$A99)*(Capacity_Entsoe_SFS_2017!$D$1:$AL$1='Abgleich Kapazität'!M$78)*Capacity_Entsoe_SFS_2017!$D$3:$AK$38)+SUMPRODUCT((Capacity_Entsoe_SFS_2017!$A$3:$A$38='Abgleich Kapazität'!$A99)*(Capacity_Entsoe_SFS_2017!$D$1:$AL$1='Abgleich Kapazität'!M$77)*Capacity_Entsoe_SFS_2017!$D$3:$AK$38)+SUMPRODUCT((Capacity_Entsoe_SFS_2017!$A$3:$A$38='Abgleich Kapazität'!$A99)*(Capacity_Entsoe_SFS_2017!$D$1:$AL$1='Abgleich Kapazität'!M$76)*Capacity_Entsoe_SFS_2017!$D$3:$AK$38))/1000</f>
        <v>#VALUE!</v>
      </c>
      <c r="N99" s="26" t="e">
        <f>(SUMPRODUCT((Capacity_Entsoe_SFS_2017!$A$3:$A$38='Abgleich Kapazität'!$A99)*(Capacity_Entsoe_SFS_2017!$D$1:$AL$1='Abgleich Kapazität'!N$81)*Capacity_Entsoe_SFS_2017!$D$3:$AK$38)+SUMPRODUCT((Capacity_Entsoe_SFS_2017!$A$3:$A$38='Abgleich Kapazität'!$A99)*(Capacity_Entsoe_SFS_2017!$D$1:$AL$1='Abgleich Kapazität'!N$80)*Capacity_Entsoe_SFS_2017!$D$3:$AK$38)+SUMPRODUCT((Capacity_Entsoe_SFS_2017!$A$3:$A$38='Abgleich Kapazität'!$A99)*(Capacity_Entsoe_SFS_2017!$D$1:$AL$1='Abgleich Kapazität'!N$79)*Capacity_Entsoe_SFS_2017!$D$3:$AK$38)+SUMPRODUCT((Capacity_Entsoe_SFS_2017!$A$3:$A$38='Abgleich Kapazität'!$A99)*(Capacity_Entsoe_SFS_2017!$D$1:$AL$1='Abgleich Kapazität'!N$78)*Capacity_Entsoe_SFS_2017!$D$3:$AK$38)+SUMPRODUCT((Capacity_Entsoe_SFS_2017!$A$3:$A$38='Abgleich Kapazität'!$A99)*(Capacity_Entsoe_SFS_2017!$D$1:$AL$1='Abgleich Kapazität'!N$77)*Capacity_Entsoe_SFS_2017!$D$3:$AK$38)+SUMPRODUCT((Capacity_Entsoe_SFS_2017!$A$3:$A$38='Abgleich Kapazität'!$A99)*(Capacity_Entsoe_SFS_2017!$D$1:$AL$1='Abgleich Kapazität'!N$76)*Capacity_Entsoe_SFS_2017!$D$3:$AK$38))/1000</f>
        <v>#VALUE!</v>
      </c>
      <c r="O99" s="26" t="e">
        <f>(SUMPRODUCT((Capacity_Entsoe_SFS_2017!$A$3:$A$38='Abgleich Kapazität'!$A99)*(Capacity_Entsoe_SFS_2017!$D$1:$AL$1='Abgleich Kapazität'!O$81)*Capacity_Entsoe_SFS_2017!$D$3:$AK$38)+SUMPRODUCT((Capacity_Entsoe_SFS_2017!$A$3:$A$38='Abgleich Kapazität'!$A99)*(Capacity_Entsoe_SFS_2017!$D$1:$AL$1='Abgleich Kapazität'!O$80)*Capacity_Entsoe_SFS_2017!$D$3:$AK$38)+SUMPRODUCT((Capacity_Entsoe_SFS_2017!$A$3:$A$38='Abgleich Kapazität'!$A99)*(Capacity_Entsoe_SFS_2017!$D$1:$AL$1='Abgleich Kapazität'!O$79)*Capacity_Entsoe_SFS_2017!$D$3:$AK$38)+SUMPRODUCT((Capacity_Entsoe_SFS_2017!$A$3:$A$38='Abgleich Kapazität'!$A99)*(Capacity_Entsoe_SFS_2017!$D$1:$AL$1='Abgleich Kapazität'!O$78)*Capacity_Entsoe_SFS_2017!$D$3:$AK$38)+SUMPRODUCT((Capacity_Entsoe_SFS_2017!$A$3:$A$38='Abgleich Kapazität'!$A99)*(Capacity_Entsoe_SFS_2017!$D$1:$AL$1='Abgleich Kapazität'!O$77)*Capacity_Entsoe_SFS_2017!$D$3:$AK$38)+SUMPRODUCT((Capacity_Entsoe_SFS_2017!$A$3:$A$38='Abgleich Kapazität'!$A99)*(Capacity_Entsoe_SFS_2017!$D$1:$AL$1='Abgleich Kapazität'!O$76)*Capacity_Entsoe_SFS_2017!$D$3:$AK$38))/1000</f>
        <v>#VALUE!</v>
      </c>
      <c r="P99" s="26" t="e">
        <f>(SUMPRODUCT((Capacity_Entsoe_SFS_2017!$A$3:$A$38='Abgleich Kapazität'!$A99)*(Capacity_Entsoe_SFS_2017!$D$1:$AL$1='Abgleich Kapazität'!P$81)*Capacity_Entsoe_SFS_2017!$D$3:$AK$38)+SUMPRODUCT((Capacity_Entsoe_SFS_2017!$A$3:$A$38='Abgleich Kapazität'!$A99)*(Capacity_Entsoe_SFS_2017!$D$1:$AL$1='Abgleich Kapazität'!P$80)*Capacity_Entsoe_SFS_2017!$D$3:$AK$38)+SUMPRODUCT((Capacity_Entsoe_SFS_2017!$A$3:$A$38='Abgleich Kapazität'!$A99)*(Capacity_Entsoe_SFS_2017!$D$1:$AL$1='Abgleich Kapazität'!P$79)*Capacity_Entsoe_SFS_2017!$D$3:$AK$38)+SUMPRODUCT((Capacity_Entsoe_SFS_2017!$A$3:$A$38='Abgleich Kapazität'!$A99)*(Capacity_Entsoe_SFS_2017!$D$1:$AL$1='Abgleich Kapazität'!P$78)*Capacity_Entsoe_SFS_2017!$D$3:$AK$38)+SUMPRODUCT((Capacity_Entsoe_SFS_2017!$A$3:$A$38='Abgleich Kapazität'!$A99)*(Capacity_Entsoe_SFS_2017!$D$1:$AL$1='Abgleich Kapazität'!P$77)*Capacity_Entsoe_SFS_2017!$D$3:$AK$38)+SUMPRODUCT((Capacity_Entsoe_SFS_2017!$A$3:$A$38='Abgleich Kapazität'!$A99)*(Capacity_Entsoe_SFS_2017!$D$1:$AL$1='Abgleich Kapazität'!P$76)*Capacity_Entsoe_SFS_2017!$D$3:$AK$38))/1000</f>
        <v>#VALUE!</v>
      </c>
      <c r="Q99" s="26" t="e">
        <f>(SUMPRODUCT((Capacity_Entsoe_SFS_2017!$A$3:$A$38='Abgleich Kapazität'!$A99)*(Capacity_Entsoe_SFS_2017!$D$1:$AL$1='Abgleich Kapazität'!Q$81)*Capacity_Entsoe_SFS_2017!$D$3:$AK$38)+SUMPRODUCT((Capacity_Entsoe_SFS_2017!$A$3:$A$38='Abgleich Kapazität'!$A99)*(Capacity_Entsoe_SFS_2017!$D$1:$AL$1='Abgleich Kapazität'!Q$80)*Capacity_Entsoe_SFS_2017!$D$3:$AK$38)+SUMPRODUCT((Capacity_Entsoe_SFS_2017!$A$3:$A$38='Abgleich Kapazität'!$A99)*(Capacity_Entsoe_SFS_2017!$D$1:$AL$1='Abgleich Kapazität'!Q$79)*Capacity_Entsoe_SFS_2017!$D$3:$AK$38)+SUMPRODUCT((Capacity_Entsoe_SFS_2017!$A$3:$A$38='Abgleich Kapazität'!$A99)*(Capacity_Entsoe_SFS_2017!$D$1:$AL$1='Abgleich Kapazität'!Q$78)*Capacity_Entsoe_SFS_2017!$D$3:$AK$38)+SUMPRODUCT((Capacity_Entsoe_SFS_2017!$A$3:$A$38='Abgleich Kapazität'!$A99)*(Capacity_Entsoe_SFS_2017!$D$1:$AL$1='Abgleich Kapazität'!Q$77)*Capacity_Entsoe_SFS_2017!$D$3:$AK$38)+SUMPRODUCT((Capacity_Entsoe_SFS_2017!$A$3:$A$38='Abgleich Kapazität'!$A99)*(Capacity_Entsoe_SFS_2017!$D$1:$AL$1='Abgleich Kapazität'!Q$76)*Capacity_Entsoe_SFS_2017!$D$3:$AK$38))/1000</f>
        <v>#VALUE!</v>
      </c>
      <c r="R99" s="26" t="e">
        <f>(SUMPRODUCT((Capacity_Entsoe_SFS_2017!$A$3:$A$38='Abgleich Kapazität'!$A99)*(Capacity_Entsoe_SFS_2017!$D$1:$AL$1='Abgleich Kapazität'!R$81)*Capacity_Entsoe_SFS_2017!$D$3:$AK$38)+SUMPRODUCT((Capacity_Entsoe_SFS_2017!$A$3:$A$38='Abgleich Kapazität'!$A99)*(Capacity_Entsoe_SFS_2017!$D$1:$AL$1='Abgleich Kapazität'!R$80)*Capacity_Entsoe_SFS_2017!$D$3:$AK$38)+SUMPRODUCT((Capacity_Entsoe_SFS_2017!$A$3:$A$38='Abgleich Kapazität'!$A99)*(Capacity_Entsoe_SFS_2017!$D$1:$AL$1='Abgleich Kapazität'!R$79)*Capacity_Entsoe_SFS_2017!$D$3:$AK$38)+SUMPRODUCT((Capacity_Entsoe_SFS_2017!$A$3:$A$38='Abgleich Kapazität'!$A99)*(Capacity_Entsoe_SFS_2017!$D$1:$AL$1='Abgleich Kapazität'!R$78)*Capacity_Entsoe_SFS_2017!$D$3:$AK$38)+SUMPRODUCT((Capacity_Entsoe_SFS_2017!$A$3:$A$38='Abgleich Kapazität'!$A99)*(Capacity_Entsoe_SFS_2017!$D$1:$AL$1='Abgleich Kapazität'!R$77)*Capacity_Entsoe_SFS_2017!$D$3:$AK$38)+SUMPRODUCT((Capacity_Entsoe_SFS_2017!$A$3:$A$38='Abgleich Kapazität'!$A99)*(Capacity_Entsoe_SFS_2017!$D$1:$AL$1='Abgleich Kapazität'!R$76)*Capacity_Entsoe_SFS_2017!$D$3:$AK$38))/1000</f>
        <v>#VALUE!</v>
      </c>
      <c r="S99" s="26" t="e">
        <f>(SUMPRODUCT((Capacity_Entsoe_SFS_2017!$A$3:$A$38='Abgleich Kapazität'!$A99)*(Capacity_Entsoe_SFS_2017!$D$1:$AL$1='Abgleich Kapazität'!S$81)*Capacity_Entsoe_SFS_2017!$D$3:$AK$38)+SUMPRODUCT((Capacity_Entsoe_SFS_2017!$A$3:$A$38='Abgleich Kapazität'!$A99)*(Capacity_Entsoe_SFS_2017!$D$1:$AL$1='Abgleich Kapazität'!S$80)*Capacity_Entsoe_SFS_2017!$D$3:$AK$38)+SUMPRODUCT((Capacity_Entsoe_SFS_2017!$A$3:$A$38='Abgleich Kapazität'!$A99)*(Capacity_Entsoe_SFS_2017!$D$1:$AL$1='Abgleich Kapazität'!S$79)*Capacity_Entsoe_SFS_2017!$D$3:$AK$38)+SUMPRODUCT((Capacity_Entsoe_SFS_2017!$A$3:$A$38='Abgleich Kapazität'!$A99)*(Capacity_Entsoe_SFS_2017!$D$1:$AL$1='Abgleich Kapazität'!S$78)*Capacity_Entsoe_SFS_2017!$D$3:$AK$38)+SUMPRODUCT((Capacity_Entsoe_SFS_2017!$A$3:$A$38='Abgleich Kapazität'!$A99)*(Capacity_Entsoe_SFS_2017!$D$1:$AL$1='Abgleich Kapazität'!S$77)*Capacity_Entsoe_SFS_2017!$D$3:$AK$38)+SUMPRODUCT((Capacity_Entsoe_SFS_2017!$A$3:$A$38='Abgleich Kapazität'!$A99)*(Capacity_Entsoe_SFS_2017!$D$1:$AL$1='Abgleich Kapazität'!S$76)*Capacity_Entsoe_SFS_2017!$D$3:$AK$38))/1000</f>
        <v>#VALUE!</v>
      </c>
      <c r="T99" s="26" t="e">
        <f>(SUMPRODUCT((Capacity_Entsoe_SFS_2017!$A$3:$A$38='Abgleich Kapazität'!$A99)*(Capacity_Entsoe_SFS_2017!$D$1:$AL$1='Abgleich Kapazität'!T$81)*Capacity_Entsoe_SFS_2017!$D$3:$AK$38)+SUMPRODUCT((Capacity_Entsoe_SFS_2017!$A$3:$A$38='Abgleich Kapazität'!$A99)*(Capacity_Entsoe_SFS_2017!$D$1:$AL$1='Abgleich Kapazität'!T$80)*Capacity_Entsoe_SFS_2017!$D$3:$AK$38)+SUMPRODUCT((Capacity_Entsoe_SFS_2017!$A$3:$A$38='Abgleich Kapazität'!$A99)*(Capacity_Entsoe_SFS_2017!$D$1:$AL$1='Abgleich Kapazität'!T$79)*Capacity_Entsoe_SFS_2017!$D$3:$AK$38)+SUMPRODUCT((Capacity_Entsoe_SFS_2017!$A$3:$A$38='Abgleich Kapazität'!$A99)*(Capacity_Entsoe_SFS_2017!$D$1:$AL$1='Abgleich Kapazität'!T$78)*Capacity_Entsoe_SFS_2017!$D$3:$AK$38)+SUMPRODUCT((Capacity_Entsoe_SFS_2017!$A$3:$A$38='Abgleich Kapazität'!$A99)*(Capacity_Entsoe_SFS_2017!$D$1:$AL$1='Abgleich Kapazität'!T$77)*Capacity_Entsoe_SFS_2017!$D$3:$AK$38)+SUMPRODUCT((Capacity_Entsoe_SFS_2017!$A$3:$A$38='Abgleich Kapazität'!$A99)*(Capacity_Entsoe_SFS_2017!$D$1:$AL$1='Abgleich Kapazität'!T$76)*Capacity_Entsoe_SFS_2017!$D$3:$AK$38))/1000</f>
        <v>#VALUE!</v>
      </c>
      <c r="U99" s="26" t="e">
        <f>(SUMPRODUCT((Capacity_Entsoe_SFS_2017!$A$3:$A$38='Abgleich Kapazität'!$A99)*(Capacity_Entsoe_SFS_2017!$D$1:$AL$1='Abgleich Kapazität'!U$81)*Capacity_Entsoe_SFS_2017!$D$3:$AK$38)+SUMPRODUCT((Capacity_Entsoe_SFS_2017!$A$3:$A$38='Abgleich Kapazität'!$A99)*(Capacity_Entsoe_SFS_2017!$D$1:$AL$1='Abgleich Kapazität'!U$80)*Capacity_Entsoe_SFS_2017!$D$3:$AK$38)+SUMPRODUCT((Capacity_Entsoe_SFS_2017!$A$3:$A$38='Abgleich Kapazität'!$A99)*(Capacity_Entsoe_SFS_2017!$D$1:$AL$1='Abgleich Kapazität'!U$79)*Capacity_Entsoe_SFS_2017!$D$3:$AK$38)+SUMPRODUCT((Capacity_Entsoe_SFS_2017!$A$3:$A$38='Abgleich Kapazität'!$A99)*(Capacity_Entsoe_SFS_2017!$D$1:$AL$1='Abgleich Kapazität'!U$78)*Capacity_Entsoe_SFS_2017!$D$3:$AK$38)+SUMPRODUCT((Capacity_Entsoe_SFS_2017!$A$3:$A$38='Abgleich Kapazität'!$A99)*(Capacity_Entsoe_SFS_2017!$D$1:$AL$1='Abgleich Kapazität'!U$77)*Capacity_Entsoe_SFS_2017!$D$3:$AK$38)+SUMPRODUCT((Capacity_Entsoe_SFS_2017!$A$3:$A$38='Abgleich Kapazität'!$A99)*(Capacity_Entsoe_SFS_2017!$D$1:$AL$1='Abgleich Kapazität'!U$76)*Capacity_Entsoe_SFS_2017!$D$3:$AK$38))/1000</f>
        <v>#VALUE!</v>
      </c>
      <c r="V99" s="27" t="e">
        <f t="shared" si="80"/>
        <v>#VALUE!</v>
      </c>
    </row>
    <row r="100" spans="1:22" x14ac:dyDescent="0.25">
      <c r="A100" s="14" t="s">
        <v>26</v>
      </c>
      <c r="B100" s="57" t="e">
        <f t="shared" si="77"/>
        <v>#VALUE!</v>
      </c>
      <c r="C100" s="58" t="e">
        <f>(SUMPRODUCT((Capacity_Entsoe_SFS_2017!$A$3:$A$38='Abgleich Kapazität'!$A100)*(Capacity_Entsoe_SFS_2017!$D$1:$AL$1='Abgleich Kapazität'!C$81)*Capacity_Entsoe_SFS_2017!$D$3:$AK$38)+SUMPRODUCT((Capacity_Entsoe_SFS_2017!$A$3:$A$38='Abgleich Kapazität'!$A100)*(Capacity_Entsoe_SFS_2017!$D$1:$AL$1='Abgleich Kapazität'!C$80)*Capacity_Entsoe_SFS_2017!$D$3:$AK$38)+SUMPRODUCT((Capacity_Entsoe_SFS_2017!$A$3:$A$38='Abgleich Kapazität'!$A100)*(Capacity_Entsoe_SFS_2017!$D$1:$AL$1='Abgleich Kapazität'!C$79)*Capacity_Entsoe_SFS_2017!$D$3:$AK$38)+SUMPRODUCT((Capacity_Entsoe_SFS_2017!$A$3:$A$38='Abgleich Kapazität'!$A100)*(Capacity_Entsoe_SFS_2017!$D$1:$AL$1='Abgleich Kapazität'!C$78)*Capacity_Entsoe_SFS_2017!$D$3:$AK$38))/1000</f>
        <v>#VALUE!</v>
      </c>
      <c r="D100" s="58" t="e">
        <f t="shared" si="78"/>
        <v>#VALUE!</v>
      </c>
      <c r="E100" s="58" t="e">
        <f>(SUMPRODUCT((Capacity_Entsoe_SFS_2017!$A$3:$A$38='Abgleich Kapazität'!$A100)*(Capacity_Entsoe_SFS_2017!$D$1:$AL$1='Abgleich Kapazität'!E$81)*Capacity_Entsoe_SFS_2017!$D$3:$AK$38)+SUMPRODUCT((Capacity_Entsoe_SFS_2017!$A$3:$A$38='Abgleich Kapazität'!$A100)*(Capacity_Entsoe_SFS_2017!$D$1:$AL$1='Abgleich Kapazität'!E$80)*Capacity_Entsoe_SFS_2017!$D$3:$AK$38)+SUMPRODUCT((Capacity_Entsoe_SFS_2017!$A$3:$A$38='Abgleich Kapazität'!$A100)*(Capacity_Entsoe_SFS_2017!$D$1:$AL$1='Abgleich Kapazität'!E$79)*Capacity_Entsoe_SFS_2017!$D$3:$AK$38)+SUMPRODUCT((Capacity_Entsoe_SFS_2017!$A$3:$A$38='Abgleich Kapazität'!$A100)*(Capacity_Entsoe_SFS_2017!$D$1:$AL$1='Abgleich Kapazität'!E$78)*Capacity_Entsoe_SFS_2017!$D$3:$AK$38))/1000</f>
        <v>#VALUE!</v>
      </c>
      <c r="F100" s="58" t="e">
        <f>(SUMPRODUCT((Capacity_Entsoe_SFS_2017!$A$3:$A$38='Abgleich Kapazität'!$A100)*(Capacity_Entsoe_SFS_2017!$D$1:$AL$1='Abgleich Kapazität'!F$81)*Capacity_Entsoe_SFS_2017!$D$3:$AK$38)+SUMPRODUCT((Capacity_Entsoe_SFS_2017!$A$3:$A$38='Abgleich Kapazität'!$A100)*(Capacity_Entsoe_SFS_2017!$D$1:$AL$1='Abgleich Kapazität'!F$80)*Capacity_Entsoe_SFS_2017!$D$3:$AK$38)+SUMPRODUCT((Capacity_Entsoe_SFS_2017!$A$3:$A$38='Abgleich Kapazität'!$A100)*(Capacity_Entsoe_SFS_2017!$D$1:$AL$1='Abgleich Kapazität'!F$79)*Capacity_Entsoe_SFS_2017!$D$3:$AK$38)+SUMPRODUCT((Capacity_Entsoe_SFS_2017!$A$3:$A$38='Abgleich Kapazität'!$A100)*(Capacity_Entsoe_SFS_2017!$D$1:$AL$1='Abgleich Kapazität'!F$78)*Capacity_Entsoe_SFS_2017!$D$3:$AK$38))/1000</f>
        <v>#VALUE!</v>
      </c>
      <c r="G100" s="58" t="e">
        <f>(SUMPRODUCT((Capacity_Entsoe_SFS_2017!$A$3:$A$38='Abgleich Kapazität'!$A100)*(Capacity_Entsoe_SFS_2017!$D$1:$AL$1='Abgleich Kapazität'!G$81)*Capacity_Entsoe_SFS_2017!$D$3:$AK$38)+SUMPRODUCT((Capacity_Entsoe_SFS_2017!$A$3:$A$38='Abgleich Kapazität'!$A100)*(Capacity_Entsoe_SFS_2017!$D$1:$AL$1='Abgleich Kapazität'!G$80)*Capacity_Entsoe_SFS_2017!$D$3:$AK$38)+SUMPRODUCT((Capacity_Entsoe_SFS_2017!$A$3:$A$38='Abgleich Kapazität'!$A100)*(Capacity_Entsoe_SFS_2017!$D$1:$AL$1='Abgleich Kapazität'!G$79)*Capacity_Entsoe_SFS_2017!$D$3:$AK$38)+SUMPRODUCT((Capacity_Entsoe_SFS_2017!$A$3:$A$38='Abgleich Kapazität'!$A100)*(Capacity_Entsoe_SFS_2017!$D$1:$AL$1='Abgleich Kapazität'!G$78)*Capacity_Entsoe_SFS_2017!$D$3:$AK$38))/1000</f>
        <v>#VALUE!</v>
      </c>
      <c r="H100" s="58" t="e">
        <f>(SUMPRODUCT((Capacity_Entsoe_SFS_2017!$A$3:$A$38='Abgleich Kapazität'!$A100)*(Capacity_Entsoe_SFS_2017!$D$1:$AL$1='Abgleich Kapazität'!H$81)*Capacity_Entsoe_SFS_2017!$D$3:$AK$38)+SUMPRODUCT((Capacity_Entsoe_SFS_2017!$A$3:$A$38='Abgleich Kapazität'!$A100)*(Capacity_Entsoe_SFS_2017!$D$1:$AL$1='Abgleich Kapazität'!H$80)*Capacity_Entsoe_SFS_2017!$D$3:$AK$38)+SUMPRODUCT((Capacity_Entsoe_SFS_2017!$A$3:$A$38='Abgleich Kapazität'!$A100)*(Capacity_Entsoe_SFS_2017!$D$1:$AL$1='Abgleich Kapazität'!H$79)*Capacity_Entsoe_SFS_2017!$D$3:$AK$38)+SUMPRODUCT((Capacity_Entsoe_SFS_2017!$A$3:$A$38='Abgleich Kapazität'!$A100)*(Capacity_Entsoe_SFS_2017!$D$1:$AL$1='Abgleich Kapazität'!H$78)*Capacity_Entsoe_SFS_2017!$D$3:$AK$38))/1000</f>
        <v>#VALUE!</v>
      </c>
      <c r="I100" s="58" t="e">
        <f>(SUMPRODUCT((Capacity_Entsoe_SFS_2017!$A$3:$A$38='Abgleich Kapazität'!$A100)*(Capacity_Entsoe_SFS_2017!$D$1:$AL$1='Abgleich Kapazität'!I$81)*Capacity_Entsoe_SFS_2017!$D$3:$AK$38)+SUMPRODUCT((Capacity_Entsoe_SFS_2017!$A$3:$A$38='Abgleich Kapazität'!$A100)*(Capacity_Entsoe_SFS_2017!$D$1:$AL$1='Abgleich Kapazität'!I$80)*Capacity_Entsoe_SFS_2017!$D$3:$AK$38)+SUMPRODUCT((Capacity_Entsoe_SFS_2017!$A$3:$A$38='Abgleich Kapazität'!$A100)*(Capacity_Entsoe_SFS_2017!$D$1:$AL$1='Abgleich Kapazität'!I$79)*Capacity_Entsoe_SFS_2017!$D$3:$AK$38)+SUMPRODUCT((Capacity_Entsoe_SFS_2017!$A$3:$A$38='Abgleich Kapazität'!$A100)*(Capacity_Entsoe_SFS_2017!$D$1:$AL$1='Abgleich Kapazität'!I$78)*Capacity_Entsoe_SFS_2017!$D$3:$AK$38))/1000</f>
        <v>#VALUE!</v>
      </c>
      <c r="J100" s="58" t="e">
        <f>(SUMPRODUCT((Capacity_Entsoe_SFS_2017!$A$3:$A$38='Abgleich Kapazität'!$A100)*(Capacity_Entsoe_SFS_2017!$D$1:$AL$1='Abgleich Kapazität'!J$81)*Capacity_Entsoe_SFS_2017!$D$3:$AK$38)+SUMPRODUCT((Capacity_Entsoe_SFS_2017!$A$3:$A$38='Abgleich Kapazität'!$A100)*(Capacity_Entsoe_SFS_2017!$D$1:$AL$1='Abgleich Kapazität'!J$80)*Capacity_Entsoe_SFS_2017!$D$3:$AK$38)+SUMPRODUCT((Capacity_Entsoe_SFS_2017!$A$3:$A$38='Abgleich Kapazität'!$A100)*(Capacity_Entsoe_SFS_2017!$D$1:$AL$1='Abgleich Kapazität'!J$79)*Capacity_Entsoe_SFS_2017!$D$3:$AK$38)+SUMPRODUCT((Capacity_Entsoe_SFS_2017!$A$3:$A$38='Abgleich Kapazität'!$A100)*(Capacity_Entsoe_SFS_2017!$D$1:$AL$1='Abgleich Kapazität'!J$78)*Capacity_Entsoe_SFS_2017!$D$3:$AK$38))/1000</f>
        <v>#VALUE!</v>
      </c>
      <c r="K100" s="59" t="e">
        <f t="shared" si="79"/>
        <v>#VALUE!</v>
      </c>
      <c r="L100" s="58" t="e">
        <f>(SUMPRODUCT((Capacity_Entsoe_SFS_2017!$A$3:$A$38='Abgleich Kapazität'!$A100)*(Capacity_Entsoe_SFS_2017!$D$1:$AL$1='Abgleich Kapazität'!L$81)*Capacity_Entsoe_SFS_2017!$D$3:$AK$38)+SUMPRODUCT((Capacity_Entsoe_SFS_2017!$A$3:$A$38='Abgleich Kapazität'!$A100)*(Capacity_Entsoe_SFS_2017!$D$1:$AL$1='Abgleich Kapazität'!L$80)*Capacity_Entsoe_SFS_2017!$D$3:$AK$38)+SUMPRODUCT((Capacity_Entsoe_SFS_2017!$A$3:$A$38='Abgleich Kapazität'!$A100)*(Capacity_Entsoe_SFS_2017!$D$1:$AL$1='Abgleich Kapazität'!L$79)*Capacity_Entsoe_SFS_2017!$D$3:$AK$38)+SUMPRODUCT((Capacity_Entsoe_SFS_2017!$A$3:$A$38='Abgleich Kapazität'!$A100)*(Capacity_Entsoe_SFS_2017!$D$1:$AL$1='Abgleich Kapazität'!L$78)*Capacity_Entsoe_SFS_2017!$D$3:$AK$38)+SUMPRODUCT((Capacity_Entsoe_SFS_2017!$A$3:$A$38='Abgleich Kapazität'!$A100)*(Capacity_Entsoe_SFS_2017!$D$1:$AL$1='Abgleich Kapazität'!L$77)*Capacity_Entsoe_SFS_2017!$D$3:$AK$38)+SUMPRODUCT((Capacity_Entsoe_SFS_2017!$A$3:$A$38='Abgleich Kapazität'!$A100)*(Capacity_Entsoe_SFS_2017!$D$1:$AL$1='Abgleich Kapazität'!L$76)*Capacity_Entsoe_SFS_2017!$D$3:$AK$38))/1000</f>
        <v>#VALUE!</v>
      </c>
      <c r="M100" s="58" t="e">
        <f>(SUMPRODUCT((Capacity_Entsoe_SFS_2017!$A$3:$A$38='Abgleich Kapazität'!$A100)*(Capacity_Entsoe_SFS_2017!$D$1:$AL$1='Abgleich Kapazität'!M$81)*Capacity_Entsoe_SFS_2017!$D$3:$AK$38)+SUMPRODUCT((Capacity_Entsoe_SFS_2017!$A$3:$A$38='Abgleich Kapazität'!$A100)*(Capacity_Entsoe_SFS_2017!$D$1:$AL$1='Abgleich Kapazität'!M$80)*Capacity_Entsoe_SFS_2017!$D$3:$AK$38)+SUMPRODUCT((Capacity_Entsoe_SFS_2017!$A$3:$A$38='Abgleich Kapazität'!$A100)*(Capacity_Entsoe_SFS_2017!$D$1:$AL$1='Abgleich Kapazität'!M$79)*Capacity_Entsoe_SFS_2017!$D$3:$AK$38)+SUMPRODUCT((Capacity_Entsoe_SFS_2017!$A$3:$A$38='Abgleich Kapazität'!$A100)*(Capacity_Entsoe_SFS_2017!$D$1:$AL$1='Abgleich Kapazität'!M$78)*Capacity_Entsoe_SFS_2017!$D$3:$AK$38)+SUMPRODUCT((Capacity_Entsoe_SFS_2017!$A$3:$A$38='Abgleich Kapazität'!$A100)*(Capacity_Entsoe_SFS_2017!$D$1:$AL$1='Abgleich Kapazität'!M$77)*Capacity_Entsoe_SFS_2017!$D$3:$AK$38)+SUMPRODUCT((Capacity_Entsoe_SFS_2017!$A$3:$A$38='Abgleich Kapazität'!$A100)*(Capacity_Entsoe_SFS_2017!$D$1:$AL$1='Abgleich Kapazität'!M$76)*Capacity_Entsoe_SFS_2017!$D$3:$AK$38))/1000</f>
        <v>#VALUE!</v>
      </c>
      <c r="N100" s="58" t="e">
        <f>(SUMPRODUCT((Capacity_Entsoe_SFS_2017!$A$3:$A$38='Abgleich Kapazität'!$A100)*(Capacity_Entsoe_SFS_2017!$D$1:$AL$1='Abgleich Kapazität'!N$81)*Capacity_Entsoe_SFS_2017!$D$3:$AK$38)+SUMPRODUCT((Capacity_Entsoe_SFS_2017!$A$3:$A$38='Abgleich Kapazität'!$A100)*(Capacity_Entsoe_SFS_2017!$D$1:$AL$1='Abgleich Kapazität'!N$80)*Capacity_Entsoe_SFS_2017!$D$3:$AK$38)+SUMPRODUCT((Capacity_Entsoe_SFS_2017!$A$3:$A$38='Abgleich Kapazität'!$A100)*(Capacity_Entsoe_SFS_2017!$D$1:$AL$1='Abgleich Kapazität'!N$79)*Capacity_Entsoe_SFS_2017!$D$3:$AK$38)+SUMPRODUCT((Capacity_Entsoe_SFS_2017!$A$3:$A$38='Abgleich Kapazität'!$A100)*(Capacity_Entsoe_SFS_2017!$D$1:$AL$1='Abgleich Kapazität'!N$78)*Capacity_Entsoe_SFS_2017!$D$3:$AK$38)+SUMPRODUCT((Capacity_Entsoe_SFS_2017!$A$3:$A$38='Abgleich Kapazität'!$A100)*(Capacity_Entsoe_SFS_2017!$D$1:$AL$1='Abgleich Kapazität'!N$77)*Capacity_Entsoe_SFS_2017!$D$3:$AK$38)+SUMPRODUCT((Capacity_Entsoe_SFS_2017!$A$3:$A$38='Abgleich Kapazität'!$A100)*(Capacity_Entsoe_SFS_2017!$D$1:$AL$1='Abgleich Kapazität'!N$76)*Capacity_Entsoe_SFS_2017!$D$3:$AK$38))/1000</f>
        <v>#VALUE!</v>
      </c>
      <c r="O100" s="58" t="e">
        <f>(SUMPRODUCT((Capacity_Entsoe_SFS_2017!$A$3:$A$38='Abgleich Kapazität'!$A100)*(Capacity_Entsoe_SFS_2017!$D$1:$AL$1='Abgleich Kapazität'!O$81)*Capacity_Entsoe_SFS_2017!$D$3:$AK$38)+SUMPRODUCT((Capacity_Entsoe_SFS_2017!$A$3:$A$38='Abgleich Kapazität'!$A100)*(Capacity_Entsoe_SFS_2017!$D$1:$AL$1='Abgleich Kapazität'!O$80)*Capacity_Entsoe_SFS_2017!$D$3:$AK$38)+SUMPRODUCT((Capacity_Entsoe_SFS_2017!$A$3:$A$38='Abgleich Kapazität'!$A100)*(Capacity_Entsoe_SFS_2017!$D$1:$AL$1='Abgleich Kapazität'!O$79)*Capacity_Entsoe_SFS_2017!$D$3:$AK$38)+SUMPRODUCT((Capacity_Entsoe_SFS_2017!$A$3:$A$38='Abgleich Kapazität'!$A100)*(Capacity_Entsoe_SFS_2017!$D$1:$AL$1='Abgleich Kapazität'!O$78)*Capacity_Entsoe_SFS_2017!$D$3:$AK$38)+SUMPRODUCT((Capacity_Entsoe_SFS_2017!$A$3:$A$38='Abgleich Kapazität'!$A100)*(Capacity_Entsoe_SFS_2017!$D$1:$AL$1='Abgleich Kapazität'!O$77)*Capacity_Entsoe_SFS_2017!$D$3:$AK$38)+SUMPRODUCT((Capacity_Entsoe_SFS_2017!$A$3:$A$38='Abgleich Kapazität'!$A100)*(Capacity_Entsoe_SFS_2017!$D$1:$AL$1='Abgleich Kapazität'!O$76)*Capacity_Entsoe_SFS_2017!$D$3:$AK$38))/1000</f>
        <v>#VALUE!</v>
      </c>
      <c r="P100" s="58" t="e">
        <f>(SUMPRODUCT((Capacity_Entsoe_SFS_2017!$A$3:$A$38='Abgleich Kapazität'!$A100)*(Capacity_Entsoe_SFS_2017!$D$1:$AL$1='Abgleich Kapazität'!P$81)*Capacity_Entsoe_SFS_2017!$D$3:$AK$38)+SUMPRODUCT((Capacity_Entsoe_SFS_2017!$A$3:$A$38='Abgleich Kapazität'!$A100)*(Capacity_Entsoe_SFS_2017!$D$1:$AL$1='Abgleich Kapazität'!P$80)*Capacity_Entsoe_SFS_2017!$D$3:$AK$38)+SUMPRODUCT((Capacity_Entsoe_SFS_2017!$A$3:$A$38='Abgleich Kapazität'!$A100)*(Capacity_Entsoe_SFS_2017!$D$1:$AL$1='Abgleich Kapazität'!P$79)*Capacity_Entsoe_SFS_2017!$D$3:$AK$38)+SUMPRODUCT((Capacity_Entsoe_SFS_2017!$A$3:$A$38='Abgleich Kapazität'!$A100)*(Capacity_Entsoe_SFS_2017!$D$1:$AL$1='Abgleich Kapazität'!P$78)*Capacity_Entsoe_SFS_2017!$D$3:$AK$38)+SUMPRODUCT((Capacity_Entsoe_SFS_2017!$A$3:$A$38='Abgleich Kapazität'!$A100)*(Capacity_Entsoe_SFS_2017!$D$1:$AL$1='Abgleich Kapazität'!P$77)*Capacity_Entsoe_SFS_2017!$D$3:$AK$38)+SUMPRODUCT((Capacity_Entsoe_SFS_2017!$A$3:$A$38='Abgleich Kapazität'!$A100)*(Capacity_Entsoe_SFS_2017!$D$1:$AL$1='Abgleich Kapazität'!P$76)*Capacity_Entsoe_SFS_2017!$D$3:$AK$38))/1000</f>
        <v>#VALUE!</v>
      </c>
      <c r="Q100" s="58" t="e">
        <f>(SUMPRODUCT((Capacity_Entsoe_SFS_2017!$A$3:$A$38='Abgleich Kapazität'!$A100)*(Capacity_Entsoe_SFS_2017!$D$1:$AL$1='Abgleich Kapazität'!Q$81)*Capacity_Entsoe_SFS_2017!$D$3:$AK$38)+SUMPRODUCT((Capacity_Entsoe_SFS_2017!$A$3:$A$38='Abgleich Kapazität'!$A100)*(Capacity_Entsoe_SFS_2017!$D$1:$AL$1='Abgleich Kapazität'!Q$80)*Capacity_Entsoe_SFS_2017!$D$3:$AK$38)+SUMPRODUCT((Capacity_Entsoe_SFS_2017!$A$3:$A$38='Abgleich Kapazität'!$A100)*(Capacity_Entsoe_SFS_2017!$D$1:$AL$1='Abgleich Kapazität'!Q$79)*Capacity_Entsoe_SFS_2017!$D$3:$AK$38)+SUMPRODUCT((Capacity_Entsoe_SFS_2017!$A$3:$A$38='Abgleich Kapazität'!$A100)*(Capacity_Entsoe_SFS_2017!$D$1:$AL$1='Abgleich Kapazität'!Q$78)*Capacity_Entsoe_SFS_2017!$D$3:$AK$38)+SUMPRODUCT((Capacity_Entsoe_SFS_2017!$A$3:$A$38='Abgleich Kapazität'!$A100)*(Capacity_Entsoe_SFS_2017!$D$1:$AL$1='Abgleich Kapazität'!Q$77)*Capacity_Entsoe_SFS_2017!$D$3:$AK$38)+SUMPRODUCT((Capacity_Entsoe_SFS_2017!$A$3:$A$38='Abgleich Kapazität'!$A100)*(Capacity_Entsoe_SFS_2017!$D$1:$AL$1='Abgleich Kapazität'!Q$76)*Capacity_Entsoe_SFS_2017!$D$3:$AK$38))/1000</f>
        <v>#VALUE!</v>
      </c>
      <c r="R100" s="58" t="e">
        <f>(SUMPRODUCT((Capacity_Entsoe_SFS_2017!$A$3:$A$38='Abgleich Kapazität'!$A100)*(Capacity_Entsoe_SFS_2017!$D$1:$AL$1='Abgleich Kapazität'!R$81)*Capacity_Entsoe_SFS_2017!$D$3:$AK$38)+SUMPRODUCT((Capacity_Entsoe_SFS_2017!$A$3:$A$38='Abgleich Kapazität'!$A100)*(Capacity_Entsoe_SFS_2017!$D$1:$AL$1='Abgleich Kapazität'!R$80)*Capacity_Entsoe_SFS_2017!$D$3:$AK$38)+SUMPRODUCT((Capacity_Entsoe_SFS_2017!$A$3:$A$38='Abgleich Kapazität'!$A100)*(Capacity_Entsoe_SFS_2017!$D$1:$AL$1='Abgleich Kapazität'!R$79)*Capacity_Entsoe_SFS_2017!$D$3:$AK$38)+SUMPRODUCT((Capacity_Entsoe_SFS_2017!$A$3:$A$38='Abgleich Kapazität'!$A100)*(Capacity_Entsoe_SFS_2017!$D$1:$AL$1='Abgleich Kapazität'!R$78)*Capacity_Entsoe_SFS_2017!$D$3:$AK$38)+SUMPRODUCT((Capacity_Entsoe_SFS_2017!$A$3:$A$38='Abgleich Kapazität'!$A100)*(Capacity_Entsoe_SFS_2017!$D$1:$AL$1='Abgleich Kapazität'!R$77)*Capacity_Entsoe_SFS_2017!$D$3:$AK$38)+SUMPRODUCT((Capacity_Entsoe_SFS_2017!$A$3:$A$38='Abgleich Kapazität'!$A100)*(Capacity_Entsoe_SFS_2017!$D$1:$AL$1='Abgleich Kapazität'!R$76)*Capacity_Entsoe_SFS_2017!$D$3:$AK$38))/1000</f>
        <v>#VALUE!</v>
      </c>
      <c r="S100" s="58" t="e">
        <f>(SUMPRODUCT((Capacity_Entsoe_SFS_2017!$A$3:$A$38='Abgleich Kapazität'!$A100)*(Capacity_Entsoe_SFS_2017!$D$1:$AL$1='Abgleich Kapazität'!S$81)*Capacity_Entsoe_SFS_2017!$D$3:$AK$38)+SUMPRODUCT((Capacity_Entsoe_SFS_2017!$A$3:$A$38='Abgleich Kapazität'!$A100)*(Capacity_Entsoe_SFS_2017!$D$1:$AL$1='Abgleich Kapazität'!S$80)*Capacity_Entsoe_SFS_2017!$D$3:$AK$38)+SUMPRODUCT((Capacity_Entsoe_SFS_2017!$A$3:$A$38='Abgleich Kapazität'!$A100)*(Capacity_Entsoe_SFS_2017!$D$1:$AL$1='Abgleich Kapazität'!S$79)*Capacity_Entsoe_SFS_2017!$D$3:$AK$38)+SUMPRODUCT((Capacity_Entsoe_SFS_2017!$A$3:$A$38='Abgleich Kapazität'!$A100)*(Capacity_Entsoe_SFS_2017!$D$1:$AL$1='Abgleich Kapazität'!S$78)*Capacity_Entsoe_SFS_2017!$D$3:$AK$38)+SUMPRODUCT((Capacity_Entsoe_SFS_2017!$A$3:$A$38='Abgleich Kapazität'!$A100)*(Capacity_Entsoe_SFS_2017!$D$1:$AL$1='Abgleich Kapazität'!S$77)*Capacity_Entsoe_SFS_2017!$D$3:$AK$38)+SUMPRODUCT((Capacity_Entsoe_SFS_2017!$A$3:$A$38='Abgleich Kapazität'!$A100)*(Capacity_Entsoe_SFS_2017!$D$1:$AL$1='Abgleich Kapazität'!S$76)*Capacity_Entsoe_SFS_2017!$D$3:$AK$38))/1000</f>
        <v>#VALUE!</v>
      </c>
      <c r="T100" s="58" t="e">
        <f>(SUMPRODUCT((Capacity_Entsoe_SFS_2017!$A$3:$A$38='Abgleich Kapazität'!$A100)*(Capacity_Entsoe_SFS_2017!$D$1:$AL$1='Abgleich Kapazität'!T$81)*Capacity_Entsoe_SFS_2017!$D$3:$AK$38)+SUMPRODUCT((Capacity_Entsoe_SFS_2017!$A$3:$A$38='Abgleich Kapazität'!$A100)*(Capacity_Entsoe_SFS_2017!$D$1:$AL$1='Abgleich Kapazität'!T$80)*Capacity_Entsoe_SFS_2017!$D$3:$AK$38)+SUMPRODUCT((Capacity_Entsoe_SFS_2017!$A$3:$A$38='Abgleich Kapazität'!$A100)*(Capacity_Entsoe_SFS_2017!$D$1:$AL$1='Abgleich Kapazität'!T$79)*Capacity_Entsoe_SFS_2017!$D$3:$AK$38)+SUMPRODUCT((Capacity_Entsoe_SFS_2017!$A$3:$A$38='Abgleich Kapazität'!$A100)*(Capacity_Entsoe_SFS_2017!$D$1:$AL$1='Abgleich Kapazität'!T$78)*Capacity_Entsoe_SFS_2017!$D$3:$AK$38)+SUMPRODUCT((Capacity_Entsoe_SFS_2017!$A$3:$A$38='Abgleich Kapazität'!$A100)*(Capacity_Entsoe_SFS_2017!$D$1:$AL$1='Abgleich Kapazität'!T$77)*Capacity_Entsoe_SFS_2017!$D$3:$AK$38)+SUMPRODUCT((Capacity_Entsoe_SFS_2017!$A$3:$A$38='Abgleich Kapazität'!$A100)*(Capacity_Entsoe_SFS_2017!$D$1:$AL$1='Abgleich Kapazität'!T$76)*Capacity_Entsoe_SFS_2017!$D$3:$AK$38))/1000</f>
        <v>#VALUE!</v>
      </c>
      <c r="U100" s="58" t="e">
        <f>(SUMPRODUCT((Capacity_Entsoe_SFS_2017!$A$3:$A$38='Abgleich Kapazität'!$A100)*(Capacity_Entsoe_SFS_2017!$D$1:$AL$1='Abgleich Kapazität'!U$81)*Capacity_Entsoe_SFS_2017!$D$3:$AK$38)+SUMPRODUCT((Capacity_Entsoe_SFS_2017!$A$3:$A$38='Abgleich Kapazität'!$A100)*(Capacity_Entsoe_SFS_2017!$D$1:$AL$1='Abgleich Kapazität'!U$80)*Capacity_Entsoe_SFS_2017!$D$3:$AK$38)+SUMPRODUCT((Capacity_Entsoe_SFS_2017!$A$3:$A$38='Abgleich Kapazität'!$A100)*(Capacity_Entsoe_SFS_2017!$D$1:$AL$1='Abgleich Kapazität'!U$79)*Capacity_Entsoe_SFS_2017!$D$3:$AK$38)+SUMPRODUCT((Capacity_Entsoe_SFS_2017!$A$3:$A$38='Abgleich Kapazität'!$A100)*(Capacity_Entsoe_SFS_2017!$D$1:$AL$1='Abgleich Kapazität'!U$78)*Capacity_Entsoe_SFS_2017!$D$3:$AK$38)+SUMPRODUCT((Capacity_Entsoe_SFS_2017!$A$3:$A$38='Abgleich Kapazität'!$A100)*(Capacity_Entsoe_SFS_2017!$D$1:$AL$1='Abgleich Kapazität'!U$77)*Capacity_Entsoe_SFS_2017!$D$3:$AK$38)+SUMPRODUCT((Capacity_Entsoe_SFS_2017!$A$3:$A$38='Abgleich Kapazität'!$A100)*(Capacity_Entsoe_SFS_2017!$D$1:$AL$1='Abgleich Kapazität'!U$76)*Capacity_Entsoe_SFS_2017!$D$3:$AK$38))/1000</f>
        <v>#VALUE!</v>
      </c>
      <c r="V100" s="59" t="e">
        <f t="shared" si="80"/>
        <v>#VALUE!</v>
      </c>
    </row>
    <row r="101" spans="1:22" x14ac:dyDescent="0.25">
      <c r="A101" s="14" t="s">
        <v>27</v>
      </c>
      <c r="B101" s="25" t="e">
        <f t="shared" si="77"/>
        <v>#VALUE!</v>
      </c>
      <c r="C101" s="26" t="e">
        <f>(SUMPRODUCT((Capacity_Entsoe_SFS_2017!$A$3:$A$38='Abgleich Kapazität'!$A101)*(Capacity_Entsoe_SFS_2017!$D$1:$AL$1='Abgleich Kapazität'!C$81)*Capacity_Entsoe_SFS_2017!$D$3:$AK$38)+SUMPRODUCT((Capacity_Entsoe_SFS_2017!$A$3:$A$38='Abgleich Kapazität'!$A101)*(Capacity_Entsoe_SFS_2017!$D$1:$AL$1='Abgleich Kapazität'!C$80)*Capacity_Entsoe_SFS_2017!$D$3:$AK$38)+SUMPRODUCT((Capacity_Entsoe_SFS_2017!$A$3:$A$38='Abgleich Kapazität'!$A101)*(Capacity_Entsoe_SFS_2017!$D$1:$AL$1='Abgleich Kapazität'!C$79)*Capacity_Entsoe_SFS_2017!$D$3:$AK$38)+SUMPRODUCT((Capacity_Entsoe_SFS_2017!$A$3:$A$38='Abgleich Kapazität'!$A101)*(Capacity_Entsoe_SFS_2017!$D$1:$AL$1='Abgleich Kapazität'!C$78)*Capacity_Entsoe_SFS_2017!$D$3:$AK$38))/1000</f>
        <v>#VALUE!</v>
      </c>
      <c r="D101" s="26" t="e">
        <f t="shared" si="78"/>
        <v>#VALUE!</v>
      </c>
      <c r="E101" s="26" t="e">
        <f>(SUMPRODUCT((Capacity_Entsoe_SFS_2017!$A$3:$A$38='Abgleich Kapazität'!$A101)*(Capacity_Entsoe_SFS_2017!$D$1:$AL$1='Abgleich Kapazität'!E$81)*Capacity_Entsoe_SFS_2017!$D$3:$AK$38)+SUMPRODUCT((Capacity_Entsoe_SFS_2017!$A$3:$A$38='Abgleich Kapazität'!$A101)*(Capacity_Entsoe_SFS_2017!$D$1:$AL$1='Abgleich Kapazität'!E$80)*Capacity_Entsoe_SFS_2017!$D$3:$AK$38)+SUMPRODUCT((Capacity_Entsoe_SFS_2017!$A$3:$A$38='Abgleich Kapazität'!$A101)*(Capacity_Entsoe_SFS_2017!$D$1:$AL$1='Abgleich Kapazität'!E$79)*Capacity_Entsoe_SFS_2017!$D$3:$AK$38)+SUMPRODUCT((Capacity_Entsoe_SFS_2017!$A$3:$A$38='Abgleich Kapazität'!$A101)*(Capacity_Entsoe_SFS_2017!$D$1:$AL$1='Abgleich Kapazität'!E$78)*Capacity_Entsoe_SFS_2017!$D$3:$AK$38))/1000</f>
        <v>#VALUE!</v>
      </c>
      <c r="F101" s="26" t="e">
        <f>(SUMPRODUCT((Capacity_Entsoe_SFS_2017!$A$3:$A$38='Abgleich Kapazität'!$A101)*(Capacity_Entsoe_SFS_2017!$D$1:$AL$1='Abgleich Kapazität'!F$81)*Capacity_Entsoe_SFS_2017!$D$3:$AK$38)+SUMPRODUCT((Capacity_Entsoe_SFS_2017!$A$3:$A$38='Abgleich Kapazität'!$A101)*(Capacity_Entsoe_SFS_2017!$D$1:$AL$1='Abgleich Kapazität'!F$80)*Capacity_Entsoe_SFS_2017!$D$3:$AK$38)+SUMPRODUCT((Capacity_Entsoe_SFS_2017!$A$3:$A$38='Abgleich Kapazität'!$A101)*(Capacity_Entsoe_SFS_2017!$D$1:$AL$1='Abgleich Kapazität'!F$79)*Capacity_Entsoe_SFS_2017!$D$3:$AK$38)+SUMPRODUCT((Capacity_Entsoe_SFS_2017!$A$3:$A$38='Abgleich Kapazität'!$A101)*(Capacity_Entsoe_SFS_2017!$D$1:$AL$1='Abgleich Kapazität'!F$78)*Capacity_Entsoe_SFS_2017!$D$3:$AK$38))/1000</f>
        <v>#VALUE!</v>
      </c>
      <c r="G101" s="26" t="e">
        <f>(SUMPRODUCT((Capacity_Entsoe_SFS_2017!$A$3:$A$38='Abgleich Kapazität'!$A101)*(Capacity_Entsoe_SFS_2017!$D$1:$AL$1='Abgleich Kapazität'!G$81)*Capacity_Entsoe_SFS_2017!$D$3:$AK$38)+SUMPRODUCT((Capacity_Entsoe_SFS_2017!$A$3:$A$38='Abgleich Kapazität'!$A101)*(Capacity_Entsoe_SFS_2017!$D$1:$AL$1='Abgleich Kapazität'!G$80)*Capacity_Entsoe_SFS_2017!$D$3:$AK$38)+SUMPRODUCT((Capacity_Entsoe_SFS_2017!$A$3:$A$38='Abgleich Kapazität'!$A101)*(Capacity_Entsoe_SFS_2017!$D$1:$AL$1='Abgleich Kapazität'!G$79)*Capacity_Entsoe_SFS_2017!$D$3:$AK$38)+SUMPRODUCT((Capacity_Entsoe_SFS_2017!$A$3:$A$38='Abgleich Kapazität'!$A101)*(Capacity_Entsoe_SFS_2017!$D$1:$AL$1='Abgleich Kapazität'!G$78)*Capacity_Entsoe_SFS_2017!$D$3:$AK$38))/1000</f>
        <v>#VALUE!</v>
      </c>
      <c r="H101" s="26" t="e">
        <f>(SUMPRODUCT((Capacity_Entsoe_SFS_2017!$A$3:$A$38='Abgleich Kapazität'!$A101)*(Capacity_Entsoe_SFS_2017!$D$1:$AL$1='Abgleich Kapazität'!H$81)*Capacity_Entsoe_SFS_2017!$D$3:$AK$38)+SUMPRODUCT((Capacity_Entsoe_SFS_2017!$A$3:$A$38='Abgleich Kapazität'!$A101)*(Capacity_Entsoe_SFS_2017!$D$1:$AL$1='Abgleich Kapazität'!H$80)*Capacity_Entsoe_SFS_2017!$D$3:$AK$38)+SUMPRODUCT((Capacity_Entsoe_SFS_2017!$A$3:$A$38='Abgleich Kapazität'!$A101)*(Capacity_Entsoe_SFS_2017!$D$1:$AL$1='Abgleich Kapazität'!H$79)*Capacity_Entsoe_SFS_2017!$D$3:$AK$38)+SUMPRODUCT((Capacity_Entsoe_SFS_2017!$A$3:$A$38='Abgleich Kapazität'!$A101)*(Capacity_Entsoe_SFS_2017!$D$1:$AL$1='Abgleich Kapazität'!H$78)*Capacity_Entsoe_SFS_2017!$D$3:$AK$38))/1000</f>
        <v>#VALUE!</v>
      </c>
      <c r="I101" s="26" t="e">
        <f>(SUMPRODUCT((Capacity_Entsoe_SFS_2017!$A$3:$A$38='Abgleich Kapazität'!$A101)*(Capacity_Entsoe_SFS_2017!$D$1:$AL$1='Abgleich Kapazität'!I$81)*Capacity_Entsoe_SFS_2017!$D$3:$AK$38)+SUMPRODUCT((Capacity_Entsoe_SFS_2017!$A$3:$A$38='Abgleich Kapazität'!$A101)*(Capacity_Entsoe_SFS_2017!$D$1:$AL$1='Abgleich Kapazität'!I$80)*Capacity_Entsoe_SFS_2017!$D$3:$AK$38)+SUMPRODUCT((Capacity_Entsoe_SFS_2017!$A$3:$A$38='Abgleich Kapazität'!$A101)*(Capacity_Entsoe_SFS_2017!$D$1:$AL$1='Abgleich Kapazität'!I$79)*Capacity_Entsoe_SFS_2017!$D$3:$AK$38)+SUMPRODUCT((Capacity_Entsoe_SFS_2017!$A$3:$A$38='Abgleich Kapazität'!$A101)*(Capacity_Entsoe_SFS_2017!$D$1:$AL$1='Abgleich Kapazität'!I$78)*Capacity_Entsoe_SFS_2017!$D$3:$AK$38))/1000</f>
        <v>#VALUE!</v>
      </c>
      <c r="J101" s="26" t="e">
        <f>(SUMPRODUCT((Capacity_Entsoe_SFS_2017!$A$3:$A$38='Abgleich Kapazität'!$A101)*(Capacity_Entsoe_SFS_2017!$D$1:$AL$1='Abgleich Kapazität'!J$81)*Capacity_Entsoe_SFS_2017!$D$3:$AK$38)+SUMPRODUCT((Capacity_Entsoe_SFS_2017!$A$3:$A$38='Abgleich Kapazität'!$A101)*(Capacity_Entsoe_SFS_2017!$D$1:$AL$1='Abgleich Kapazität'!J$80)*Capacity_Entsoe_SFS_2017!$D$3:$AK$38)+SUMPRODUCT((Capacity_Entsoe_SFS_2017!$A$3:$A$38='Abgleich Kapazität'!$A101)*(Capacity_Entsoe_SFS_2017!$D$1:$AL$1='Abgleich Kapazität'!J$79)*Capacity_Entsoe_SFS_2017!$D$3:$AK$38)+SUMPRODUCT((Capacity_Entsoe_SFS_2017!$A$3:$A$38='Abgleich Kapazität'!$A101)*(Capacity_Entsoe_SFS_2017!$D$1:$AL$1='Abgleich Kapazität'!J$78)*Capacity_Entsoe_SFS_2017!$D$3:$AK$38))/1000</f>
        <v>#VALUE!</v>
      </c>
      <c r="K101" s="27" t="e">
        <f t="shared" si="79"/>
        <v>#VALUE!</v>
      </c>
      <c r="L101" s="26" t="e">
        <f>(SUMPRODUCT((Capacity_Entsoe_SFS_2017!$A$3:$A$38='Abgleich Kapazität'!$A101)*(Capacity_Entsoe_SFS_2017!$D$1:$AL$1='Abgleich Kapazität'!L$81)*Capacity_Entsoe_SFS_2017!$D$3:$AK$38)+SUMPRODUCT((Capacity_Entsoe_SFS_2017!$A$3:$A$38='Abgleich Kapazität'!$A101)*(Capacity_Entsoe_SFS_2017!$D$1:$AL$1='Abgleich Kapazität'!L$80)*Capacity_Entsoe_SFS_2017!$D$3:$AK$38)+SUMPRODUCT((Capacity_Entsoe_SFS_2017!$A$3:$A$38='Abgleich Kapazität'!$A101)*(Capacity_Entsoe_SFS_2017!$D$1:$AL$1='Abgleich Kapazität'!L$79)*Capacity_Entsoe_SFS_2017!$D$3:$AK$38)+SUMPRODUCT((Capacity_Entsoe_SFS_2017!$A$3:$A$38='Abgleich Kapazität'!$A101)*(Capacity_Entsoe_SFS_2017!$D$1:$AL$1='Abgleich Kapazität'!L$78)*Capacity_Entsoe_SFS_2017!$D$3:$AK$38)+SUMPRODUCT((Capacity_Entsoe_SFS_2017!$A$3:$A$38='Abgleich Kapazität'!$A101)*(Capacity_Entsoe_SFS_2017!$D$1:$AL$1='Abgleich Kapazität'!L$77)*Capacity_Entsoe_SFS_2017!$D$3:$AK$38)+SUMPRODUCT((Capacity_Entsoe_SFS_2017!$A$3:$A$38='Abgleich Kapazität'!$A101)*(Capacity_Entsoe_SFS_2017!$D$1:$AL$1='Abgleich Kapazität'!L$76)*Capacity_Entsoe_SFS_2017!$D$3:$AK$38))/1000</f>
        <v>#VALUE!</v>
      </c>
      <c r="M101" s="26" t="e">
        <f>(SUMPRODUCT((Capacity_Entsoe_SFS_2017!$A$3:$A$38='Abgleich Kapazität'!$A101)*(Capacity_Entsoe_SFS_2017!$D$1:$AL$1='Abgleich Kapazität'!M$81)*Capacity_Entsoe_SFS_2017!$D$3:$AK$38)+SUMPRODUCT((Capacity_Entsoe_SFS_2017!$A$3:$A$38='Abgleich Kapazität'!$A101)*(Capacity_Entsoe_SFS_2017!$D$1:$AL$1='Abgleich Kapazität'!M$80)*Capacity_Entsoe_SFS_2017!$D$3:$AK$38)+SUMPRODUCT((Capacity_Entsoe_SFS_2017!$A$3:$A$38='Abgleich Kapazität'!$A101)*(Capacity_Entsoe_SFS_2017!$D$1:$AL$1='Abgleich Kapazität'!M$79)*Capacity_Entsoe_SFS_2017!$D$3:$AK$38)+SUMPRODUCT((Capacity_Entsoe_SFS_2017!$A$3:$A$38='Abgleich Kapazität'!$A101)*(Capacity_Entsoe_SFS_2017!$D$1:$AL$1='Abgleich Kapazität'!M$78)*Capacity_Entsoe_SFS_2017!$D$3:$AK$38)+SUMPRODUCT((Capacity_Entsoe_SFS_2017!$A$3:$A$38='Abgleich Kapazität'!$A101)*(Capacity_Entsoe_SFS_2017!$D$1:$AL$1='Abgleich Kapazität'!M$77)*Capacity_Entsoe_SFS_2017!$D$3:$AK$38)+SUMPRODUCT((Capacity_Entsoe_SFS_2017!$A$3:$A$38='Abgleich Kapazität'!$A101)*(Capacity_Entsoe_SFS_2017!$D$1:$AL$1='Abgleich Kapazität'!M$76)*Capacity_Entsoe_SFS_2017!$D$3:$AK$38))/1000</f>
        <v>#VALUE!</v>
      </c>
      <c r="N101" s="26" t="e">
        <f>(SUMPRODUCT((Capacity_Entsoe_SFS_2017!$A$3:$A$38='Abgleich Kapazität'!$A101)*(Capacity_Entsoe_SFS_2017!$D$1:$AL$1='Abgleich Kapazität'!N$81)*Capacity_Entsoe_SFS_2017!$D$3:$AK$38)+SUMPRODUCT((Capacity_Entsoe_SFS_2017!$A$3:$A$38='Abgleich Kapazität'!$A101)*(Capacity_Entsoe_SFS_2017!$D$1:$AL$1='Abgleich Kapazität'!N$80)*Capacity_Entsoe_SFS_2017!$D$3:$AK$38)+SUMPRODUCT((Capacity_Entsoe_SFS_2017!$A$3:$A$38='Abgleich Kapazität'!$A101)*(Capacity_Entsoe_SFS_2017!$D$1:$AL$1='Abgleich Kapazität'!N$79)*Capacity_Entsoe_SFS_2017!$D$3:$AK$38)+SUMPRODUCT((Capacity_Entsoe_SFS_2017!$A$3:$A$38='Abgleich Kapazität'!$A101)*(Capacity_Entsoe_SFS_2017!$D$1:$AL$1='Abgleich Kapazität'!N$78)*Capacity_Entsoe_SFS_2017!$D$3:$AK$38)+SUMPRODUCT((Capacity_Entsoe_SFS_2017!$A$3:$A$38='Abgleich Kapazität'!$A101)*(Capacity_Entsoe_SFS_2017!$D$1:$AL$1='Abgleich Kapazität'!N$77)*Capacity_Entsoe_SFS_2017!$D$3:$AK$38)+SUMPRODUCT((Capacity_Entsoe_SFS_2017!$A$3:$A$38='Abgleich Kapazität'!$A101)*(Capacity_Entsoe_SFS_2017!$D$1:$AL$1='Abgleich Kapazität'!N$76)*Capacity_Entsoe_SFS_2017!$D$3:$AK$38))/1000</f>
        <v>#VALUE!</v>
      </c>
      <c r="O101" s="26" t="e">
        <f>(SUMPRODUCT((Capacity_Entsoe_SFS_2017!$A$3:$A$38='Abgleich Kapazität'!$A101)*(Capacity_Entsoe_SFS_2017!$D$1:$AL$1='Abgleich Kapazität'!O$81)*Capacity_Entsoe_SFS_2017!$D$3:$AK$38)+SUMPRODUCT((Capacity_Entsoe_SFS_2017!$A$3:$A$38='Abgleich Kapazität'!$A101)*(Capacity_Entsoe_SFS_2017!$D$1:$AL$1='Abgleich Kapazität'!O$80)*Capacity_Entsoe_SFS_2017!$D$3:$AK$38)+SUMPRODUCT((Capacity_Entsoe_SFS_2017!$A$3:$A$38='Abgleich Kapazität'!$A101)*(Capacity_Entsoe_SFS_2017!$D$1:$AL$1='Abgleich Kapazität'!O$79)*Capacity_Entsoe_SFS_2017!$D$3:$AK$38)+SUMPRODUCT((Capacity_Entsoe_SFS_2017!$A$3:$A$38='Abgleich Kapazität'!$A101)*(Capacity_Entsoe_SFS_2017!$D$1:$AL$1='Abgleich Kapazität'!O$78)*Capacity_Entsoe_SFS_2017!$D$3:$AK$38)+SUMPRODUCT((Capacity_Entsoe_SFS_2017!$A$3:$A$38='Abgleich Kapazität'!$A101)*(Capacity_Entsoe_SFS_2017!$D$1:$AL$1='Abgleich Kapazität'!O$77)*Capacity_Entsoe_SFS_2017!$D$3:$AK$38)+SUMPRODUCT((Capacity_Entsoe_SFS_2017!$A$3:$A$38='Abgleich Kapazität'!$A101)*(Capacity_Entsoe_SFS_2017!$D$1:$AL$1='Abgleich Kapazität'!O$76)*Capacity_Entsoe_SFS_2017!$D$3:$AK$38))/1000</f>
        <v>#VALUE!</v>
      </c>
      <c r="P101" s="26" t="e">
        <f>(SUMPRODUCT((Capacity_Entsoe_SFS_2017!$A$3:$A$38='Abgleich Kapazität'!$A101)*(Capacity_Entsoe_SFS_2017!$D$1:$AL$1='Abgleich Kapazität'!P$81)*Capacity_Entsoe_SFS_2017!$D$3:$AK$38)+SUMPRODUCT((Capacity_Entsoe_SFS_2017!$A$3:$A$38='Abgleich Kapazität'!$A101)*(Capacity_Entsoe_SFS_2017!$D$1:$AL$1='Abgleich Kapazität'!P$80)*Capacity_Entsoe_SFS_2017!$D$3:$AK$38)+SUMPRODUCT((Capacity_Entsoe_SFS_2017!$A$3:$A$38='Abgleich Kapazität'!$A101)*(Capacity_Entsoe_SFS_2017!$D$1:$AL$1='Abgleich Kapazität'!P$79)*Capacity_Entsoe_SFS_2017!$D$3:$AK$38)+SUMPRODUCT((Capacity_Entsoe_SFS_2017!$A$3:$A$38='Abgleich Kapazität'!$A101)*(Capacity_Entsoe_SFS_2017!$D$1:$AL$1='Abgleich Kapazität'!P$78)*Capacity_Entsoe_SFS_2017!$D$3:$AK$38)+SUMPRODUCT((Capacity_Entsoe_SFS_2017!$A$3:$A$38='Abgleich Kapazität'!$A101)*(Capacity_Entsoe_SFS_2017!$D$1:$AL$1='Abgleich Kapazität'!P$77)*Capacity_Entsoe_SFS_2017!$D$3:$AK$38)+SUMPRODUCT((Capacity_Entsoe_SFS_2017!$A$3:$A$38='Abgleich Kapazität'!$A101)*(Capacity_Entsoe_SFS_2017!$D$1:$AL$1='Abgleich Kapazität'!P$76)*Capacity_Entsoe_SFS_2017!$D$3:$AK$38))/1000</f>
        <v>#VALUE!</v>
      </c>
      <c r="Q101" s="26" t="e">
        <f>(SUMPRODUCT((Capacity_Entsoe_SFS_2017!$A$3:$A$38='Abgleich Kapazität'!$A101)*(Capacity_Entsoe_SFS_2017!$D$1:$AL$1='Abgleich Kapazität'!Q$81)*Capacity_Entsoe_SFS_2017!$D$3:$AK$38)+SUMPRODUCT((Capacity_Entsoe_SFS_2017!$A$3:$A$38='Abgleich Kapazität'!$A101)*(Capacity_Entsoe_SFS_2017!$D$1:$AL$1='Abgleich Kapazität'!Q$80)*Capacity_Entsoe_SFS_2017!$D$3:$AK$38)+SUMPRODUCT((Capacity_Entsoe_SFS_2017!$A$3:$A$38='Abgleich Kapazität'!$A101)*(Capacity_Entsoe_SFS_2017!$D$1:$AL$1='Abgleich Kapazität'!Q$79)*Capacity_Entsoe_SFS_2017!$D$3:$AK$38)+SUMPRODUCT((Capacity_Entsoe_SFS_2017!$A$3:$A$38='Abgleich Kapazität'!$A101)*(Capacity_Entsoe_SFS_2017!$D$1:$AL$1='Abgleich Kapazität'!Q$78)*Capacity_Entsoe_SFS_2017!$D$3:$AK$38)+SUMPRODUCT((Capacity_Entsoe_SFS_2017!$A$3:$A$38='Abgleich Kapazität'!$A101)*(Capacity_Entsoe_SFS_2017!$D$1:$AL$1='Abgleich Kapazität'!Q$77)*Capacity_Entsoe_SFS_2017!$D$3:$AK$38)+SUMPRODUCT((Capacity_Entsoe_SFS_2017!$A$3:$A$38='Abgleich Kapazität'!$A101)*(Capacity_Entsoe_SFS_2017!$D$1:$AL$1='Abgleich Kapazität'!Q$76)*Capacity_Entsoe_SFS_2017!$D$3:$AK$38))/1000</f>
        <v>#VALUE!</v>
      </c>
      <c r="R101" s="26" t="e">
        <f>(SUMPRODUCT((Capacity_Entsoe_SFS_2017!$A$3:$A$38='Abgleich Kapazität'!$A101)*(Capacity_Entsoe_SFS_2017!$D$1:$AL$1='Abgleich Kapazität'!R$81)*Capacity_Entsoe_SFS_2017!$D$3:$AK$38)+SUMPRODUCT((Capacity_Entsoe_SFS_2017!$A$3:$A$38='Abgleich Kapazität'!$A101)*(Capacity_Entsoe_SFS_2017!$D$1:$AL$1='Abgleich Kapazität'!R$80)*Capacity_Entsoe_SFS_2017!$D$3:$AK$38)+SUMPRODUCT((Capacity_Entsoe_SFS_2017!$A$3:$A$38='Abgleich Kapazität'!$A101)*(Capacity_Entsoe_SFS_2017!$D$1:$AL$1='Abgleich Kapazität'!R$79)*Capacity_Entsoe_SFS_2017!$D$3:$AK$38)+SUMPRODUCT((Capacity_Entsoe_SFS_2017!$A$3:$A$38='Abgleich Kapazität'!$A101)*(Capacity_Entsoe_SFS_2017!$D$1:$AL$1='Abgleich Kapazität'!R$78)*Capacity_Entsoe_SFS_2017!$D$3:$AK$38)+SUMPRODUCT((Capacity_Entsoe_SFS_2017!$A$3:$A$38='Abgleich Kapazität'!$A101)*(Capacity_Entsoe_SFS_2017!$D$1:$AL$1='Abgleich Kapazität'!R$77)*Capacity_Entsoe_SFS_2017!$D$3:$AK$38)+SUMPRODUCT((Capacity_Entsoe_SFS_2017!$A$3:$A$38='Abgleich Kapazität'!$A101)*(Capacity_Entsoe_SFS_2017!$D$1:$AL$1='Abgleich Kapazität'!R$76)*Capacity_Entsoe_SFS_2017!$D$3:$AK$38))/1000</f>
        <v>#VALUE!</v>
      </c>
      <c r="S101" s="26" t="e">
        <f>(SUMPRODUCT((Capacity_Entsoe_SFS_2017!$A$3:$A$38='Abgleich Kapazität'!$A101)*(Capacity_Entsoe_SFS_2017!$D$1:$AL$1='Abgleich Kapazität'!S$81)*Capacity_Entsoe_SFS_2017!$D$3:$AK$38)+SUMPRODUCT((Capacity_Entsoe_SFS_2017!$A$3:$A$38='Abgleich Kapazität'!$A101)*(Capacity_Entsoe_SFS_2017!$D$1:$AL$1='Abgleich Kapazität'!S$80)*Capacity_Entsoe_SFS_2017!$D$3:$AK$38)+SUMPRODUCT((Capacity_Entsoe_SFS_2017!$A$3:$A$38='Abgleich Kapazität'!$A101)*(Capacity_Entsoe_SFS_2017!$D$1:$AL$1='Abgleich Kapazität'!S$79)*Capacity_Entsoe_SFS_2017!$D$3:$AK$38)+SUMPRODUCT((Capacity_Entsoe_SFS_2017!$A$3:$A$38='Abgleich Kapazität'!$A101)*(Capacity_Entsoe_SFS_2017!$D$1:$AL$1='Abgleich Kapazität'!S$78)*Capacity_Entsoe_SFS_2017!$D$3:$AK$38)+SUMPRODUCT((Capacity_Entsoe_SFS_2017!$A$3:$A$38='Abgleich Kapazität'!$A101)*(Capacity_Entsoe_SFS_2017!$D$1:$AL$1='Abgleich Kapazität'!S$77)*Capacity_Entsoe_SFS_2017!$D$3:$AK$38)+SUMPRODUCT((Capacity_Entsoe_SFS_2017!$A$3:$A$38='Abgleich Kapazität'!$A101)*(Capacity_Entsoe_SFS_2017!$D$1:$AL$1='Abgleich Kapazität'!S$76)*Capacity_Entsoe_SFS_2017!$D$3:$AK$38))/1000</f>
        <v>#VALUE!</v>
      </c>
      <c r="T101" s="26" t="e">
        <f>(SUMPRODUCT((Capacity_Entsoe_SFS_2017!$A$3:$A$38='Abgleich Kapazität'!$A101)*(Capacity_Entsoe_SFS_2017!$D$1:$AL$1='Abgleich Kapazität'!T$81)*Capacity_Entsoe_SFS_2017!$D$3:$AK$38)+SUMPRODUCT((Capacity_Entsoe_SFS_2017!$A$3:$A$38='Abgleich Kapazität'!$A101)*(Capacity_Entsoe_SFS_2017!$D$1:$AL$1='Abgleich Kapazität'!T$80)*Capacity_Entsoe_SFS_2017!$D$3:$AK$38)+SUMPRODUCT((Capacity_Entsoe_SFS_2017!$A$3:$A$38='Abgleich Kapazität'!$A101)*(Capacity_Entsoe_SFS_2017!$D$1:$AL$1='Abgleich Kapazität'!T$79)*Capacity_Entsoe_SFS_2017!$D$3:$AK$38)+SUMPRODUCT((Capacity_Entsoe_SFS_2017!$A$3:$A$38='Abgleich Kapazität'!$A101)*(Capacity_Entsoe_SFS_2017!$D$1:$AL$1='Abgleich Kapazität'!T$78)*Capacity_Entsoe_SFS_2017!$D$3:$AK$38)+SUMPRODUCT((Capacity_Entsoe_SFS_2017!$A$3:$A$38='Abgleich Kapazität'!$A101)*(Capacity_Entsoe_SFS_2017!$D$1:$AL$1='Abgleich Kapazität'!T$77)*Capacity_Entsoe_SFS_2017!$D$3:$AK$38)+SUMPRODUCT((Capacity_Entsoe_SFS_2017!$A$3:$A$38='Abgleich Kapazität'!$A101)*(Capacity_Entsoe_SFS_2017!$D$1:$AL$1='Abgleich Kapazität'!T$76)*Capacity_Entsoe_SFS_2017!$D$3:$AK$38))/1000</f>
        <v>#VALUE!</v>
      </c>
      <c r="U101" s="26" t="e">
        <f>(SUMPRODUCT((Capacity_Entsoe_SFS_2017!$A$3:$A$38='Abgleich Kapazität'!$A101)*(Capacity_Entsoe_SFS_2017!$D$1:$AL$1='Abgleich Kapazität'!U$81)*Capacity_Entsoe_SFS_2017!$D$3:$AK$38)+SUMPRODUCT((Capacity_Entsoe_SFS_2017!$A$3:$A$38='Abgleich Kapazität'!$A101)*(Capacity_Entsoe_SFS_2017!$D$1:$AL$1='Abgleich Kapazität'!U$80)*Capacity_Entsoe_SFS_2017!$D$3:$AK$38)+SUMPRODUCT((Capacity_Entsoe_SFS_2017!$A$3:$A$38='Abgleich Kapazität'!$A101)*(Capacity_Entsoe_SFS_2017!$D$1:$AL$1='Abgleich Kapazität'!U$79)*Capacity_Entsoe_SFS_2017!$D$3:$AK$38)+SUMPRODUCT((Capacity_Entsoe_SFS_2017!$A$3:$A$38='Abgleich Kapazität'!$A101)*(Capacity_Entsoe_SFS_2017!$D$1:$AL$1='Abgleich Kapazität'!U$78)*Capacity_Entsoe_SFS_2017!$D$3:$AK$38)+SUMPRODUCT((Capacity_Entsoe_SFS_2017!$A$3:$A$38='Abgleich Kapazität'!$A101)*(Capacity_Entsoe_SFS_2017!$D$1:$AL$1='Abgleich Kapazität'!U$77)*Capacity_Entsoe_SFS_2017!$D$3:$AK$38)+SUMPRODUCT((Capacity_Entsoe_SFS_2017!$A$3:$A$38='Abgleich Kapazität'!$A101)*(Capacity_Entsoe_SFS_2017!$D$1:$AL$1='Abgleich Kapazität'!U$76)*Capacity_Entsoe_SFS_2017!$D$3:$AK$38))/1000</f>
        <v>#VALUE!</v>
      </c>
      <c r="V101" s="27" t="e">
        <f t="shared" si="80"/>
        <v>#VALUE!</v>
      </c>
    </row>
    <row r="102" spans="1:22" x14ac:dyDescent="0.25">
      <c r="A102" s="14" t="s">
        <v>28</v>
      </c>
      <c r="B102" s="57" t="e">
        <f t="shared" si="77"/>
        <v>#VALUE!</v>
      </c>
      <c r="C102" s="58" t="e">
        <f>(SUMPRODUCT((Capacity_Entsoe_SFS_2017!$A$3:$A$38='Abgleich Kapazität'!$A102)*(Capacity_Entsoe_SFS_2017!$D$1:$AL$1='Abgleich Kapazität'!C$81)*Capacity_Entsoe_SFS_2017!$D$3:$AK$38)+SUMPRODUCT((Capacity_Entsoe_SFS_2017!$A$3:$A$38='Abgleich Kapazität'!$A102)*(Capacity_Entsoe_SFS_2017!$D$1:$AL$1='Abgleich Kapazität'!C$80)*Capacity_Entsoe_SFS_2017!$D$3:$AK$38)+SUMPRODUCT((Capacity_Entsoe_SFS_2017!$A$3:$A$38='Abgleich Kapazität'!$A102)*(Capacity_Entsoe_SFS_2017!$D$1:$AL$1='Abgleich Kapazität'!C$79)*Capacity_Entsoe_SFS_2017!$D$3:$AK$38)+SUMPRODUCT((Capacity_Entsoe_SFS_2017!$A$3:$A$38='Abgleich Kapazität'!$A102)*(Capacity_Entsoe_SFS_2017!$D$1:$AL$1='Abgleich Kapazität'!C$78)*Capacity_Entsoe_SFS_2017!$D$3:$AK$38))/1000</f>
        <v>#VALUE!</v>
      </c>
      <c r="D102" s="58" t="e">
        <f t="shared" si="78"/>
        <v>#VALUE!</v>
      </c>
      <c r="E102" s="58" t="e">
        <f>(SUMPRODUCT((Capacity_Entsoe_SFS_2017!$A$3:$A$38='Abgleich Kapazität'!$A102)*(Capacity_Entsoe_SFS_2017!$D$1:$AL$1='Abgleich Kapazität'!E$81)*Capacity_Entsoe_SFS_2017!$D$3:$AK$38)+SUMPRODUCT((Capacity_Entsoe_SFS_2017!$A$3:$A$38='Abgleich Kapazität'!$A102)*(Capacity_Entsoe_SFS_2017!$D$1:$AL$1='Abgleich Kapazität'!E$80)*Capacity_Entsoe_SFS_2017!$D$3:$AK$38)+SUMPRODUCT((Capacity_Entsoe_SFS_2017!$A$3:$A$38='Abgleich Kapazität'!$A102)*(Capacity_Entsoe_SFS_2017!$D$1:$AL$1='Abgleich Kapazität'!E$79)*Capacity_Entsoe_SFS_2017!$D$3:$AK$38)+SUMPRODUCT((Capacity_Entsoe_SFS_2017!$A$3:$A$38='Abgleich Kapazität'!$A102)*(Capacity_Entsoe_SFS_2017!$D$1:$AL$1='Abgleich Kapazität'!E$78)*Capacity_Entsoe_SFS_2017!$D$3:$AK$38))/1000</f>
        <v>#VALUE!</v>
      </c>
      <c r="F102" s="58" t="e">
        <f>(SUMPRODUCT((Capacity_Entsoe_SFS_2017!$A$3:$A$38='Abgleich Kapazität'!$A102)*(Capacity_Entsoe_SFS_2017!$D$1:$AL$1='Abgleich Kapazität'!F$81)*Capacity_Entsoe_SFS_2017!$D$3:$AK$38)+SUMPRODUCT((Capacity_Entsoe_SFS_2017!$A$3:$A$38='Abgleich Kapazität'!$A102)*(Capacity_Entsoe_SFS_2017!$D$1:$AL$1='Abgleich Kapazität'!F$80)*Capacity_Entsoe_SFS_2017!$D$3:$AK$38)+SUMPRODUCT((Capacity_Entsoe_SFS_2017!$A$3:$A$38='Abgleich Kapazität'!$A102)*(Capacity_Entsoe_SFS_2017!$D$1:$AL$1='Abgleich Kapazität'!F$79)*Capacity_Entsoe_SFS_2017!$D$3:$AK$38)+SUMPRODUCT((Capacity_Entsoe_SFS_2017!$A$3:$A$38='Abgleich Kapazität'!$A102)*(Capacity_Entsoe_SFS_2017!$D$1:$AL$1='Abgleich Kapazität'!F$78)*Capacity_Entsoe_SFS_2017!$D$3:$AK$38))/1000</f>
        <v>#VALUE!</v>
      </c>
      <c r="G102" s="58" t="e">
        <f>(SUMPRODUCT((Capacity_Entsoe_SFS_2017!$A$3:$A$38='Abgleich Kapazität'!$A102)*(Capacity_Entsoe_SFS_2017!$D$1:$AL$1='Abgleich Kapazität'!G$81)*Capacity_Entsoe_SFS_2017!$D$3:$AK$38)+SUMPRODUCT((Capacity_Entsoe_SFS_2017!$A$3:$A$38='Abgleich Kapazität'!$A102)*(Capacity_Entsoe_SFS_2017!$D$1:$AL$1='Abgleich Kapazität'!G$80)*Capacity_Entsoe_SFS_2017!$D$3:$AK$38)+SUMPRODUCT((Capacity_Entsoe_SFS_2017!$A$3:$A$38='Abgleich Kapazität'!$A102)*(Capacity_Entsoe_SFS_2017!$D$1:$AL$1='Abgleich Kapazität'!G$79)*Capacity_Entsoe_SFS_2017!$D$3:$AK$38)+SUMPRODUCT((Capacity_Entsoe_SFS_2017!$A$3:$A$38='Abgleich Kapazität'!$A102)*(Capacity_Entsoe_SFS_2017!$D$1:$AL$1='Abgleich Kapazität'!G$78)*Capacity_Entsoe_SFS_2017!$D$3:$AK$38))/1000</f>
        <v>#VALUE!</v>
      </c>
      <c r="H102" s="58" t="e">
        <f>(SUMPRODUCT((Capacity_Entsoe_SFS_2017!$A$3:$A$38='Abgleich Kapazität'!$A102)*(Capacity_Entsoe_SFS_2017!$D$1:$AL$1='Abgleich Kapazität'!H$81)*Capacity_Entsoe_SFS_2017!$D$3:$AK$38)+SUMPRODUCT((Capacity_Entsoe_SFS_2017!$A$3:$A$38='Abgleich Kapazität'!$A102)*(Capacity_Entsoe_SFS_2017!$D$1:$AL$1='Abgleich Kapazität'!H$80)*Capacity_Entsoe_SFS_2017!$D$3:$AK$38)+SUMPRODUCT((Capacity_Entsoe_SFS_2017!$A$3:$A$38='Abgleich Kapazität'!$A102)*(Capacity_Entsoe_SFS_2017!$D$1:$AL$1='Abgleich Kapazität'!H$79)*Capacity_Entsoe_SFS_2017!$D$3:$AK$38)+SUMPRODUCT((Capacity_Entsoe_SFS_2017!$A$3:$A$38='Abgleich Kapazität'!$A102)*(Capacity_Entsoe_SFS_2017!$D$1:$AL$1='Abgleich Kapazität'!H$78)*Capacity_Entsoe_SFS_2017!$D$3:$AK$38))/1000</f>
        <v>#VALUE!</v>
      </c>
      <c r="I102" s="58" t="e">
        <f>(SUMPRODUCT((Capacity_Entsoe_SFS_2017!$A$3:$A$38='Abgleich Kapazität'!$A102)*(Capacity_Entsoe_SFS_2017!$D$1:$AL$1='Abgleich Kapazität'!I$81)*Capacity_Entsoe_SFS_2017!$D$3:$AK$38)+SUMPRODUCT((Capacity_Entsoe_SFS_2017!$A$3:$A$38='Abgleich Kapazität'!$A102)*(Capacity_Entsoe_SFS_2017!$D$1:$AL$1='Abgleich Kapazität'!I$80)*Capacity_Entsoe_SFS_2017!$D$3:$AK$38)+SUMPRODUCT((Capacity_Entsoe_SFS_2017!$A$3:$A$38='Abgleich Kapazität'!$A102)*(Capacity_Entsoe_SFS_2017!$D$1:$AL$1='Abgleich Kapazität'!I$79)*Capacity_Entsoe_SFS_2017!$D$3:$AK$38)+SUMPRODUCT((Capacity_Entsoe_SFS_2017!$A$3:$A$38='Abgleich Kapazität'!$A102)*(Capacity_Entsoe_SFS_2017!$D$1:$AL$1='Abgleich Kapazität'!I$78)*Capacity_Entsoe_SFS_2017!$D$3:$AK$38))/1000</f>
        <v>#VALUE!</v>
      </c>
      <c r="J102" s="58" t="e">
        <f>(SUMPRODUCT((Capacity_Entsoe_SFS_2017!$A$3:$A$38='Abgleich Kapazität'!$A102)*(Capacity_Entsoe_SFS_2017!$D$1:$AL$1='Abgleich Kapazität'!J$81)*Capacity_Entsoe_SFS_2017!$D$3:$AK$38)+SUMPRODUCT((Capacity_Entsoe_SFS_2017!$A$3:$A$38='Abgleich Kapazität'!$A102)*(Capacity_Entsoe_SFS_2017!$D$1:$AL$1='Abgleich Kapazität'!J$80)*Capacity_Entsoe_SFS_2017!$D$3:$AK$38)+SUMPRODUCT((Capacity_Entsoe_SFS_2017!$A$3:$A$38='Abgleich Kapazität'!$A102)*(Capacity_Entsoe_SFS_2017!$D$1:$AL$1='Abgleich Kapazität'!J$79)*Capacity_Entsoe_SFS_2017!$D$3:$AK$38)+SUMPRODUCT((Capacity_Entsoe_SFS_2017!$A$3:$A$38='Abgleich Kapazität'!$A102)*(Capacity_Entsoe_SFS_2017!$D$1:$AL$1='Abgleich Kapazität'!J$78)*Capacity_Entsoe_SFS_2017!$D$3:$AK$38))/1000</f>
        <v>#VALUE!</v>
      </c>
      <c r="K102" s="59" t="e">
        <f t="shared" si="79"/>
        <v>#VALUE!</v>
      </c>
      <c r="L102" s="58" t="e">
        <f>(SUMPRODUCT((Capacity_Entsoe_SFS_2017!$A$3:$A$38='Abgleich Kapazität'!$A102)*(Capacity_Entsoe_SFS_2017!$D$1:$AL$1='Abgleich Kapazität'!L$81)*Capacity_Entsoe_SFS_2017!$D$3:$AK$38)+SUMPRODUCT((Capacity_Entsoe_SFS_2017!$A$3:$A$38='Abgleich Kapazität'!$A102)*(Capacity_Entsoe_SFS_2017!$D$1:$AL$1='Abgleich Kapazität'!L$80)*Capacity_Entsoe_SFS_2017!$D$3:$AK$38)+SUMPRODUCT((Capacity_Entsoe_SFS_2017!$A$3:$A$38='Abgleich Kapazität'!$A102)*(Capacity_Entsoe_SFS_2017!$D$1:$AL$1='Abgleich Kapazität'!L$79)*Capacity_Entsoe_SFS_2017!$D$3:$AK$38)+SUMPRODUCT((Capacity_Entsoe_SFS_2017!$A$3:$A$38='Abgleich Kapazität'!$A102)*(Capacity_Entsoe_SFS_2017!$D$1:$AL$1='Abgleich Kapazität'!L$78)*Capacity_Entsoe_SFS_2017!$D$3:$AK$38)+SUMPRODUCT((Capacity_Entsoe_SFS_2017!$A$3:$A$38='Abgleich Kapazität'!$A102)*(Capacity_Entsoe_SFS_2017!$D$1:$AL$1='Abgleich Kapazität'!L$77)*Capacity_Entsoe_SFS_2017!$D$3:$AK$38)+SUMPRODUCT((Capacity_Entsoe_SFS_2017!$A$3:$A$38='Abgleich Kapazität'!$A102)*(Capacity_Entsoe_SFS_2017!$D$1:$AL$1='Abgleich Kapazität'!L$76)*Capacity_Entsoe_SFS_2017!$D$3:$AK$38))/1000</f>
        <v>#VALUE!</v>
      </c>
      <c r="M102" s="58" t="e">
        <f>(SUMPRODUCT((Capacity_Entsoe_SFS_2017!$A$3:$A$38='Abgleich Kapazität'!$A102)*(Capacity_Entsoe_SFS_2017!$D$1:$AL$1='Abgleich Kapazität'!M$81)*Capacity_Entsoe_SFS_2017!$D$3:$AK$38)+SUMPRODUCT((Capacity_Entsoe_SFS_2017!$A$3:$A$38='Abgleich Kapazität'!$A102)*(Capacity_Entsoe_SFS_2017!$D$1:$AL$1='Abgleich Kapazität'!M$80)*Capacity_Entsoe_SFS_2017!$D$3:$AK$38)+SUMPRODUCT((Capacity_Entsoe_SFS_2017!$A$3:$A$38='Abgleich Kapazität'!$A102)*(Capacity_Entsoe_SFS_2017!$D$1:$AL$1='Abgleich Kapazität'!M$79)*Capacity_Entsoe_SFS_2017!$D$3:$AK$38)+SUMPRODUCT((Capacity_Entsoe_SFS_2017!$A$3:$A$38='Abgleich Kapazität'!$A102)*(Capacity_Entsoe_SFS_2017!$D$1:$AL$1='Abgleich Kapazität'!M$78)*Capacity_Entsoe_SFS_2017!$D$3:$AK$38)+SUMPRODUCT((Capacity_Entsoe_SFS_2017!$A$3:$A$38='Abgleich Kapazität'!$A102)*(Capacity_Entsoe_SFS_2017!$D$1:$AL$1='Abgleich Kapazität'!M$77)*Capacity_Entsoe_SFS_2017!$D$3:$AK$38)+SUMPRODUCT((Capacity_Entsoe_SFS_2017!$A$3:$A$38='Abgleich Kapazität'!$A102)*(Capacity_Entsoe_SFS_2017!$D$1:$AL$1='Abgleich Kapazität'!M$76)*Capacity_Entsoe_SFS_2017!$D$3:$AK$38))/1000</f>
        <v>#VALUE!</v>
      </c>
      <c r="N102" s="58" t="e">
        <f>(SUMPRODUCT((Capacity_Entsoe_SFS_2017!$A$3:$A$38='Abgleich Kapazität'!$A102)*(Capacity_Entsoe_SFS_2017!$D$1:$AL$1='Abgleich Kapazität'!N$81)*Capacity_Entsoe_SFS_2017!$D$3:$AK$38)+SUMPRODUCT((Capacity_Entsoe_SFS_2017!$A$3:$A$38='Abgleich Kapazität'!$A102)*(Capacity_Entsoe_SFS_2017!$D$1:$AL$1='Abgleich Kapazität'!N$80)*Capacity_Entsoe_SFS_2017!$D$3:$AK$38)+SUMPRODUCT((Capacity_Entsoe_SFS_2017!$A$3:$A$38='Abgleich Kapazität'!$A102)*(Capacity_Entsoe_SFS_2017!$D$1:$AL$1='Abgleich Kapazität'!N$79)*Capacity_Entsoe_SFS_2017!$D$3:$AK$38)+SUMPRODUCT((Capacity_Entsoe_SFS_2017!$A$3:$A$38='Abgleich Kapazität'!$A102)*(Capacity_Entsoe_SFS_2017!$D$1:$AL$1='Abgleich Kapazität'!N$78)*Capacity_Entsoe_SFS_2017!$D$3:$AK$38)+SUMPRODUCT((Capacity_Entsoe_SFS_2017!$A$3:$A$38='Abgleich Kapazität'!$A102)*(Capacity_Entsoe_SFS_2017!$D$1:$AL$1='Abgleich Kapazität'!N$77)*Capacity_Entsoe_SFS_2017!$D$3:$AK$38)+SUMPRODUCT((Capacity_Entsoe_SFS_2017!$A$3:$A$38='Abgleich Kapazität'!$A102)*(Capacity_Entsoe_SFS_2017!$D$1:$AL$1='Abgleich Kapazität'!N$76)*Capacity_Entsoe_SFS_2017!$D$3:$AK$38))/1000</f>
        <v>#VALUE!</v>
      </c>
      <c r="O102" s="58" t="e">
        <f>(SUMPRODUCT((Capacity_Entsoe_SFS_2017!$A$3:$A$38='Abgleich Kapazität'!$A102)*(Capacity_Entsoe_SFS_2017!$D$1:$AL$1='Abgleich Kapazität'!O$81)*Capacity_Entsoe_SFS_2017!$D$3:$AK$38)+SUMPRODUCT((Capacity_Entsoe_SFS_2017!$A$3:$A$38='Abgleich Kapazität'!$A102)*(Capacity_Entsoe_SFS_2017!$D$1:$AL$1='Abgleich Kapazität'!O$80)*Capacity_Entsoe_SFS_2017!$D$3:$AK$38)+SUMPRODUCT((Capacity_Entsoe_SFS_2017!$A$3:$A$38='Abgleich Kapazität'!$A102)*(Capacity_Entsoe_SFS_2017!$D$1:$AL$1='Abgleich Kapazität'!O$79)*Capacity_Entsoe_SFS_2017!$D$3:$AK$38)+SUMPRODUCT((Capacity_Entsoe_SFS_2017!$A$3:$A$38='Abgleich Kapazität'!$A102)*(Capacity_Entsoe_SFS_2017!$D$1:$AL$1='Abgleich Kapazität'!O$78)*Capacity_Entsoe_SFS_2017!$D$3:$AK$38)+SUMPRODUCT((Capacity_Entsoe_SFS_2017!$A$3:$A$38='Abgleich Kapazität'!$A102)*(Capacity_Entsoe_SFS_2017!$D$1:$AL$1='Abgleich Kapazität'!O$77)*Capacity_Entsoe_SFS_2017!$D$3:$AK$38)+SUMPRODUCT((Capacity_Entsoe_SFS_2017!$A$3:$A$38='Abgleich Kapazität'!$A102)*(Capacity_Entsoe_SFS_2017!$D$1:$AL$1='Abgleich Kapazität'!O$76)*Capacity_Entsoe_SFS_2017!$D$3:$AK$38))/1000</f>
        <v>#VALUE!</v>
      </c>
      <c r="P102" s="58" t="e">
        <f>(SUMPRODUCT((Capacity_Entsoe_SFS_2017!$A$3:$A$38='Abgleich Kapazität'!$A102)*(Capacity_Entsoe_SFS_2017!$D$1:$AL$1='Abgleich Kapazität'!P$81)*Capacity_Entsoe_SFS_2017!$D$3:$AK$38)+SUMPRODUCT((Capacity_Entsoe_SFS_2017!$A$3:$A$38='Abgleich Kapazität'!$A102)*(Capacity_Entsoe_SFS_2017!$D$1:$AL$1='Abgleich Kapazität'!P$80)*Capacity_Entsoe_SFS_2017!$D$3:$AK$38)+SUMPRODUCT((Capacity_Entsoe_SFS_2017!$A$3:$A$38='Abgleich Kapazität'!$A102)*(Capacity_Entsoe_SFS_2017!$D$1:$AL$1='Abgleich Kapazität'!P$79)*Capacity_Entsoe_SFS_2017!$D$3:$AK$38)+SUMPRODUCT((Capacity_Entsoe_SFS_2017!$A$3:$A$38='Abgleich Kapazität'!$A102)*(Capacity_Entsoe_SFS_2017!$D$1:$AL$1='Abgleich Kapazität'!P$78)*Capacity_Entsoe_SFS_2017!$D$3:$AK$38)+SUMPRODUCT((Capacity_Entsoe_SFS_2017!$A$3:$A$38='Abgleich Kapazität'!$A102)*(Capacity_Entsoe_SFS_2017!$D$1:$AL$1='Abgleich Kapazität'!P$77)*Capacity_Entsoe_SFS_2017!$D$3:$AK$38)+SUMPRODUCT((Capacity_Entsoe_SFS_2017!$A$3:$A$38='Abgleich Kapazität'!$A102)*(Capacity_Entsoe_SFS_2017!$D$1:$AL$1='Abgleich Kapazität'!P$76)*Capacity_Entsoe_SFS_2017!$D$3:$AK$38))/1000</f>
        <v>#VALUE!</v>
      </c>
      <c r="Q102" s="58" t="e">
        <f>(SUMPRODUCT((Capacity_Entsoe_SFS_2017!$A$3:$A$38='Abgleich Kapazität'!$A102)*(Capacity_Entsoe_SFS_2017!$D$1:$AL$1='Abgleich Kapazität'!Q$81)*Capacity_Entsoe_SFS_2017!$D$3:$AK$38)+SUMPRODUCT((Capacity_Entsoe_SFS_2017!$A$3:$A$38='Abgleich Kapazität'!$A102)*(Capacity_Entsoe_SFS_2017!$D$1:$AL$1='Abgleich Kapazität'!Q$80)*Capacity_Entsoe_SFS_2017!$D$3:$AK$38)+SUMPRODUCT((Capacity_Entsoe_SFS_2017!$A$3:$A$38='Abgleich Kapazität'!$A102)*(Capacity_Entsoe_SFS_2017!$D$1:$AL$1='Abgleich Kapazität'!Q$79)*Capacity_Entsoe_SFS_2017!$D$3:$AK$38)+SUMPRODUCT((Capacity_Entsoe_SFS_2017!$A$3:$A$38='Abgleich Kapazität'!$A102)*(Capacity_Entsoe_SFS_2017!$D$1:$AL$1='Abgleich Kapazität'!Q$78)*Capacity_Entsoe_SFS_2017!$D$3:$AK$38)+SUMPRODUCT((Capacity_Entsoe_SFS_2017!$A$3:$A$38='Abgleich Kapazität'!$A102)*(Capacity_Entsoe_SFS_2017!$D$1:$AL$1='Abgleich Kapazität'!Q$77)*Capacity_Entsoe_SFS_2017!$D$3:$AK$38)+SUMPRODUCT((Capacity_Entsoe_SFS_2017!$A$3:$A$38='Abgleich Kapazität'!$A102)*(Capacity_Entsoe_SFS_2017!$D$1:$AL$1='Abgleich Kapazität'!Q$76)*Capacity_Entsoe_SFS_2017!$D$3:$AK$38))/1000</f>
        <v>#VALUE!</v>
      </c>
      <c r="R102" s="58" t="e">
        <f>(SUMPRODUCT((Capacity_Entsoe_SFS_2017!$A$3:$A$38='Abgleich Kapazität'!$A102)*(Capacity_Entsoe_SFS_2017!$D$1:$AL$1='Abgleich Kapazität'!R$81)*Capacity_Entsoe_SFS_2017!$D$3:$AK$38)+SUMPRODUCT((Capacity_Entsoe_SFS_2017!$A$3:$A$38='Abgleich Kapazität'!$A102)*(Capacity_Entsoe_SFS_2017!$D$1:$AL$1='Abgleich Kapazität'!R$80)*Capacity_Entsoe_SFS_2017!$D$3:$AK$38)+SUMPRODUCT((Capacity_Entsoe_SFS_2017!$A$3:$A$38='Abgleich Kapazität'!$A102)*(Capacity_Entsoe_SFS_2017!$D$1:$AL$1='Abgleich Kapazität'!R$79)*Capacity_Entsoe_SFS_2017!$D$3:$AK$38)+SUMPRODUCT((Capacity_Entsoe_SFS_2017!$A$3:$A$38='Abgleich Kapazität'!$A102)*(Capacity_Entsoe_SFS_2017!$D$1:$AL$1='Abgleich Kapazität'!R$78)*Capacity_Entsoe_SFS_2017!$D$3:$AK$38)+SUMPRODUCT((Capacity_Entsoe_SFS_2017!$A$3:$A$38='Abgleich Kapazität'!$A102)*(Capacity_Entsoe_SFS_2017!$D$1:$AL$1='Abgleich Kapazität'!R$77)*Capacity_Entsoe_SFS_2017!$D$3:$AK$38)+SUMPRODUCT((Capacity_Entsoe_SFS_2017!$A$3:$A$38='Abgleich Kapazität'!$A102)*(Capacity_Entsoe_SFS_2017!$D$1:$AL$1='Abgleich Kapazität'!R$76)*Capacity_Entsoe_SFS_2017!$D$3:$AK$38))/1000</f>
        <v>#VALUE!</v>
      </c>
      <c r="S102" s="58" t="e">
        <f>(SUMPRODUCT((Capacity_Entsoe_SFS_2017!$A$3:$A$38='Abgleich Kapazität'!$A102)*(Capacity_Entsoe_SFS_2017!$D$1:$AL$1='Abgleich Kapazität'!S$81)*Capacity_Entsoe_SFS_2017!$D$3:$AK$38)+SUMPRODUCT((Capacity_Entsoe_SFS_2017!$A$3:$A$38='Abgleich Kapazität'!$A102)*(Capacity_Entsoe_SFS_2017!$D$1:$AL$1='Abgleich Kapazität'!S$80)*Capacity_Entsoe_SFS_2017!$D$3:$AK$38)+SUMPRODUCT((Capacity_Entsoe_SFS_2017!$A$3:$A$38='Abgleich Kapazität'!$A102)*(Capacity_Entsoe_SFS_2017!$D$1:$AL$1='Abgleich Kapazität'!S$79)*Capacity_Entsoe_SFS_2017!$D$3:$AK$38)+SUMPRODUCT((Capacity_Entsoe_SFS_2017!$A$3:$A$38='Abgleich Kapazität'!$A102)*(Capacity_Entsoe_SFS_2017!$D$1:$AL$1='Abgleich Kapazität'!S$78)*Capacity_Entsoe_SFS_2017!$D$3:$AK$38)+SUMPRODUCT((Capacity_Entsoe_SFS_2017!$A$3:$A$38='Abgleich Kapazität'!$A102)*(Capacity_Entsoe_SFS_2017!$D$1:$AL$1='Abgleich Kapazität'!S$77)*Capacity_Entsoe_SFS_2017!$D$3:$AK$38)+SUMPRODUCT((Capacity_Entsoe_SFS_2017!$A$3:$A$38='Abgleich Kapazität'!$A102)*(Capacity_Entsoe_SFS_2017!$D$1:$AL$1='Abgleich Kapazität'!S$76)*Capacity_Entsoe_SFS_2017!$D$3:$AK$38))/1000</f>
        <v>#VALUE!</v>
      </c>
      <c r="T102" s="58" t="e">
        <f>(SUMPRODUCT((Capacity_Entsoe_SFS_2017!$A$3:$A$38='Abgleich Kapazität'!$A102)*(Capacity_Entsoe_SFS_2017!$D$1:$AL$1='Abgleich Kapazität'!T$81)*Capacity_Entsoe_SFS_2017!$D$3:$AK$38)+SUMPRODUCT((Capacity_Entsoe_SFS_2017!$A$3:$A$38='Abgleich Kapazität'!$A102)*(Capacity_Entsoe_SFS_2017!$D$1:$AL$1='Abgleich Kapazität'!T$80)*Capacity_Entsoe_SFS_2017!$D$3:$AK$38)+SUMPRODUCT((Capacity_Entsoe_SFS_2017!$A$3:$A$38='Abgleich Kapazität'!$A102)*(Capacity_Entsoe_SFS_2017!$D$1:$AL$1='Abgleich Kapazität'!T$79)*Capacity_Entsoe_SFS_2017!$D$3:$AK$38)+SUMPRODUCT((Capacity_Entsoe_SFS_2017!$A$3:$A$38='Abgleich Kapazität'!$A102)*(Capacity_Entsoe_SFS_2017!$D$1:$AL$1='Abgleich Kapazität'!T$78)*Capacity_Entsoe_SFS_2017!$D$3:$AK$38)+SUMPRODUCT((Capacity_Entsoe_SFS_2017!$A$3:$A$38='Abgleich Kapazität'!$A102)*(Capacity_Entsoe_SFS_2017!$D$1:$AL$1='Abgleich Kapazität'!T$77)*Capacity_Entsoe_SFS_2017!$D$3:$AK$38)+SUMPRODUCT((Capacity_Entsoe_SFS_2017!$A$3:$A$38='Abgleich Kapazität'!$A102)*(Capacity_Entsoe_SFS_2017!$D$1:$AL$1='Abgleich Kapazität'!T$76)*Capacity_Entsoe_SFS_2017!$D$3:$AK$38))/1000</f>
        <v>#VALUE!</v>
      </c>
      <c r="U102" s="58" t="e">
        <f>(SUMPRODUCT((Capacity_Entsoe_SFS_2017!$A$3:$A$38='Abgleich Kapazität'!$A102)*(Capacity_Entsoe_SFS_2017!$D$1:$AL$1='Abgleich Kapazität'!U$81)*Capacity_Entsoe_SFS_2017!$D$3:$AK$38)+SUMPRODUCT((Capacity_Entsoe_SFS_2017!$A$3:$A$38='Abgleich Kapazität'!$A102)*(Capacity_Entsoe_SFS_2017!$D$1:$AL$1='Abgleich Kapazität'!U$80)*Capacity_Entsoe_SFS_2017!$D$3:$AK$38)+SUMPRODUCT((Capacity_Entsoe_SFS_2017!$A$3:$A$38='Abgleich Kapazität'!$A102)*(Capacity_Entsoe_SFS_2017!$D$1:$AL$1='Abgleich Kapazität'!U$79)*Capacity_Entsoe_SFS_2017!$D$3:$AK$38)+SUMPRODUCT((Capacity_Entsoe_SFS_2017!$A$3:$A$38='Abgleich Kapazität'!$A102)*(Capacity_Entsoe_SFS_2017!$D$1:$AL$1='Abgleich Kapazität'!U$78)*Capacity_Entsoe_SFS_2017!$D$3:$AK$38)+SUMPRODUCT((Capacity_Entsoe_SFS_2017!$A$3:$A$38='Abgleich Kapazität'!$A102)*(Capacity_Entsoe_SFS_2017!$D$1:$AL$1='Abgleich Kapazität'!U$77)*Capacity_Entsoe_SFS_2017!$D$3:$AK$38)+SUMPRODUCT((Capacity_Entsoe_SFS_2017!$A$3:$A$38='Abgleich Kapazität'!$A102)*(Capacity_Entsoe_SFS_2017!$D$1:$AL$1='Abgleich Kapazität'!U$76)*Capacity_Entsoe_SFS_2017!$D$3:$AK$38))/1000</f>
        <v>#VALUE!</v>
      </c>
      <c r="V102" s="59" t="e">
        <f t="shared" si="80"/>
        <v>#VALUE!</v>
      </c>
    </row>
    <row r="103" spans="1:22" x14ac:dyDescent="0.25">
      <c r="A103" s="14" t="s">
        <v>29</v>
      </c>
      <c r="B103" s="25" t="e">
        <f t="shared" si="77"/>
        <v>#VALUE!</v>
      </c>
      <c r="C103" s="26" t="e">
        <f>(SUMPRODUCT((Capacity_Entsoe_SFS_2017!$A$3:$A$38='Abgleich Kapazität'!$A103)*(Capacity_Entsoe_SFS_2017!$D$1:$AL$1='Abgleich Kapazität'!C$81)*Capacity_Entsoe_SFS_2017!$D$3:$AK$38)+SUMPRODUCT((Capacity_Entsoe_SFS_2017!$A$3:$A$38='Abgleich Kapazität'!$A103)*(Capacity_Entsoe_SFS_2017!$D$1:$AL$1='Abgleich Kapazität'!C$80)*Capacity_Entsoe_SFS_2017!$D$3:$AK$38)+SUMPRODUCT((Capacity_Entsoe_SFS_2017!$A$3:$A$38='Abgleich Kapazität'!$A103)*(Capacity_Entsoe_SFS_2017!$D$1:$AL$1='Abgleich Kapazität'!C$79)*Capacity_Entsoe_SFS_2017!$D$3:$AK$38)+SUMPRODUCT((Capacity_Entsoe_SFS_2017!$A$3:$A$38='Abgleich Kapazität'!$A103)*(Capacity_Entsoe_SFS_2017!$D$1:$AL$1='Abgleich Kapazität'!C$78)*Capacity_Entsoe_SFS_2017!$D$3:$AK$38))/1000</f>
        <v>#VALUE!</v>
      </c>
      <c r="D103" s="26" t="e">
        <f t="shared" si="78"/>
        <v>#VALUE!</v>
      </c>
      <c r="E103" s="26" t="e">
        <f>(SUMPRODUCT((Capacity_Entsoe_SFS_2017!$A$3:$A$38='Abgleich Kapazität'!$A103)*(Capacity_Entsoe_SFS_2017!$D$1:$AL$1='Abgleich Kapazität'!E$81)*Capacity_Entsoe_SFS_2017!$D$3:$AK$38)+SUMPRODUCT((Capacity_Entsoe_SFS_2017!$A$3:$A$38='Abgleich Kapazität'!$A103)*(Capacity_Entsoe_SFS_2017!$D$1:$AL$1='Abgleich Kapazität'!E$80)*Capacity_Entsoe_SFS_2017!$D$3:$AK$38)+SUMPRODUCT((Capacity_Entsoe_SFS_2017!$A$3:$A$38='Abgleich Kapazität'!$A103)*(Capacity_Entsoe_SFS_2017!$D$1:$AL$1='Abgleich Kapazität'!E$79)*Capacity_Entsoe_SFS_2017!$D$3:$AK$38)+SUMPRODUCT((Capacity_Entsoe_SFS_2017!$A$3:$A$38='Abgleich Kapazität'!$A103)*(Capacity_Entsoe_SFS_2017!$D$1:$AL$1='Abgleich Kapazität'!E$78)*Capacity_Entsoe_SFS_2017!$D$3:$AK$38))/1000</f>
        <v>#VALUE!</v>
      </c>
      <c r="F103" s="26" t="e">
        <f>(SUMPRODUCT((Capacity_Entsoe_SFS_2017!$A$3:$A$38='Abgleich Kapazität'!$A103)*(Capacity_Entsoe_SFS_2017!$D$1:$AL$1='Abgleich Kapazität'!F$81)*Capacity_Entsoe_SFS_2017!$D$3:$AK$38)+SUMPRODUCT((Capacity_Entsoe_SFS_2017!$A$3:$A$38='Abgleich Kapazität'!$A103)*(Capacity_Entsoe_SFS_2017!$D$1:$AL$1='Abgleich Kapazität'!F$80)*Capacity_Entsoe_SFS_2017!$D$3:$AK$38)+SUMPRODUCT((Capacity_Entsoe_SFS_2017!$A$3:$A$38='Abgleich Kapazität'!$A103)*(Capacity_Entsoe_SFS_2017!$D$1:$AL$1='Abgleich Kapazität'!F$79)*Capacity_Entsoe_SFS_2017!$D$3:$AK$38)+SUMPRODUCT((Capacity_Entsoe_SFS_2017!$A$3:$A$38='Abgleich Kapazität'!$A103)*(Capacity_Entsoe_SFS_2017!$D$1:$AL$1='Abgleich Kapazität'!F$78)*Capacity_Entsoe_SFS_2017!$D$3:$AK$38))/1000</f>
        <v>#VALUE!</v>
      </c>
      <c r="G103" s="26" t="e">
        <f>(SUMPRODUCT((Capacity_Entsoe_SFS_2017!$A$3:$A$38='Abgleich Kapazität'!$A103)*(Capacity_Entsoe_SFS_2017!$D$1:$AL$1='Abgleich Kapazität'!G$81)*Capacity_Entsoe_SFS_2017!$D$3:$AK$38)+SUMPRODUCT((Capacity_Entsoe_SFS_2017!$A$3:$A$38='Abgleich Kapazität'!$A103)*(Capacity_Entsoe_SFS_2017!$D$1:$AL$1='Abgleich Kapazität'!G$80)*Capacity_Entsoe_SFS_2017!$D$3:$AK$38)+SUMPRODUCT((Capacity_Entsoe_SFS_2017!$A$3:$A$38='Abgleich Kapazität'!$A103)*(Capacity_Entsoe_SFS_2017!$D$1:$AL$1='Abgleich Kapazität'!G$79)*Capacity_Entsoe_SFS_2017!$D$3:$AK$38)+SUMPRODUCT((Capacity_Entsoe_SFS_2017!$A$3:$A$38='Abgleich Kapazität'!$A103)*(Capacity_Entsoe_SFS_2017!$D$1:$AL$1='Abgleich Kapazität'!G$78)*Capacity_Entsoe_SFS_2017!$D$3:$AK$38))/1000</f>
        <v>#VALUE!</v>
      </c>
      <c r="H103" s="26" t="e">
        <f>(SUMPRODUCT((Capacity_Entsoe_SFS_2017!$A$3:$A$38='Abgleich Kapazität'!$A103)*(Capacity_Entsoe_SFS_2017!$D$1:$AL$1='Abgleich Kapazität'!H$81)*Capacity_Entsoe_SFS_2017!$D$3:$AK$38)+SUMPRODUCT((Capacity_Entsoe_SFS_2017!$A$3:$A$38='Abgleich Kapazität'!$A103)*(Capacity_Entsoe_SFS_2017!$D$1:$AL$1='Abgleich Kapazität'!H$80)*Capacity_Entsoe_SFS_2017!$D$3:$AK$38)+SUMPRODUCT((Capacity_Entsoe_SFS_2017!$A$3:$A$38='Abgleich Kapazität'!$A103)*(Capacity_Entsoe_SFS_2017!$D$1:$AL$1='Abgleich Kapazität'!H$79)*Capacity_Entsoe_SFS_2017!$D$3:$AK$38)+SUMPRODUCT((Capacity_Entsoe_SFS_2017!$A$3:$A$38='Abgleich Kapazität'!$A103)*(Capacity_Entsoe_SFS_2017!$D$1:$AL$1='Abgleich Kapazität'!H$78)*Capacity_Entsoe_SFS_2017!$D$3:$AK$38))/1000</f>
        <v>#VALUE!</v>
      </c>
      <c r="I103" s="26" t="e">
        <f>(SUMPRODUCT((Capacity_Entsoe_SFS_2017!$A$3:$A$38='Abgleich Kapazität'!$A103)*(Capacity_Entsoe_SFS_2017!$D$1:$AL$1='Abgleich Kapazität'!I$81)*Capacity_Entsoe_SFS_2017!$D$3:$AK$38)+SUMPRODUCT((Capacity_Entsoe_SFS_2017!$A$3:$A$38='Abgleich Kapazität'!$A103)*(Capacity_Entsoe_SFS_2017!$D$1:$AL$1='Abgleich Kapazität'!I$80)*Capacity_Entsoe_SFS_2017!$D$3:$AK$38)+SUMPRODUCT((Capacity_Entsoe_SFS_2017!$A$3:$A$38='Abgleich Kapazität'!$A103)*(Capacity_Entsoe_SFS_2017!$D$1:$AL$1='Abgleich Kapazität'!I$79)*Capacity_Entsoe_SFS_2017!$D$3:$AK$38)+SUMPRODUCT((Capacity_Entsoe_SFS_2017!$A$3:$A$38='Abgleich Kapazität'!$A103)*(Capacity_Entsoe_SFS_2017!$D$1:$AL$1='Abgleich Kapazität'!I$78)*Capacity_Entsoe_SFS_2017!$D$3:$AK$38))/1000</f>
        <v>#VALUE!</v>
      </c>
      <c r="J103" s="26" t="e">
        <f>(SUMPRODUCT((Capacity_Entsoe_SFS_2017!$A$3:$A$38='Abgleich Kapazität'!$A103)*(Capacity_Entsoe_SFS_2017!$D$1:$AL$1='Abgleich Kapazität'!J$81)*Capacity_Entsoe_SFS_2017!$D$3:$AK$38)+SUMPRODUCT((Capacity_Entsoe_SFS_2017!$A$3:$A$38='Abgleich Kapazität'!$A103)*(Capacity_Entsoe_SFS_2017!$D$1:$AL$1='Abgleich Kapazität'!J$80)*Capacity_Entsoe_SFS_2017!$D$3:$AK$38)+SUMPRODUCT((Capacity_Entsoe_SFS_2017!$A$3:$A$38='Abgleich Kapazität'!$A103)*(Capacity_Entsoe_SFS_2017!$D$1:$AL$1='Abgleich Kapazität'!J$79)*Capacity_Entsoe_SFS_2017!$D$3:$AK$38)+SUMPRODUCT((Capacity_Entsoe_SFS_2017!$A$3:$A$38='Abgleich Kapazität'!$A103)*(Capacity_Entsoe_SFS_2017!$D$1:$AL$1='Abgleich Kapazität'!J$78)*Capacity_Entsoe_SFS_2017!$D$3:$AK$38))/1000</f>
        <v>#VALUE!</v>
      </c>
      <c r="K103" s="27" t="e">
        <f t="shared" si="79"/>
        <v>#VALUE!</v>
      </c>
      <c r="L103" s="26" t="e">
        <f>(SUMPRODUCT((Capacity_Entsoe_SFS_2017!$A$3:$A$38='Abgleich Kapazität'!$A103)*(Capacity_Entsoe_SFS_2017!$D$1:$AL$1='Abgleich Kapazität'!L$81)*Capacity_Entsoe_SFS_2017!$D$3:$AK$38)+SUMPRODUCT((Capacity_Entsoe_SFS_2017!$A$3:$A$38='Abgleich Kapazität'!$A103)*(Capacity_Entsoe_SFS_2017!$D$1:$AL$1='Abgleich Kapazität'!L$80)*Capacity_Entsoe_SFS_2017!$D$3:$AK$38)+SUMPRODUCT((Capacity_Entsoe_SFS_2017!$A$3:$A$38='Abgleich Kapazität'!$A103)*(Capacity_Entsoe_SFS_2017!$D$1:$AL$1='Abgleich Kapazität'!L$79)*Capacity_Entsoe_SFS_2017!$D$3:$AK$38)+SUMPRODUCT((Capacity_Entsoe_SFS_2017!$A$3:$A$38='Abgleich Kapazität'!$A103)*(Capacity_Entsoe_SFS_2017!$D$1:$AL$1='Abgleich Kapazität'!L$78)*Capacity_Entsoe_SFS_2017!$D$3:$AK$38)+SUMPRODUCT((Capacity_Entsoe_SFS_2017!$A$3:$A$38='Abgleich Kapazität'!$A103)*(Capacity_Entsoe_SFS_2017!$D$1:$AL$1='Abgleich Kapazität'!L$77)*Capacity_Entsoe_SFS_2017!$D$3:$AK$38)+SUMPRODUCT((Capacity_Entsoe_SFS_2017!$A$3:$A$38='Abgleich Kapazität'!$A103)*(Capacity_Entsoe_SFS_2017!$D$1:$AL$1='Abgleich Kapazität'!L$76)*Capacity_Entsoe_SFS_2017!$D$3:$AK$38))/1000</f>
        <v>#VALUE!</v>
      </c>
      <c r="M103" s="26" t="e">
        <f>(SUMPRODUCT((Capacity_Entsoe_SFS_2017!$A$3:$A$38='Abgleich Kapazität'!$A103)*(Capacity_Entsoe_SFS_2017!$D$1:$AL$1='Abgleich Kapazität'!M$81)*Capacity_Entsoe_SFS_2017!$D$3:$AK$38)+SUMPRODUCT((Capacity_Entsoe_SFS_2017!$A$3:$A$38='Abgleich Kapazität'!$A103)*(Capacity_Entsoe_SFS_2017!$D$1:$AL$1='Abgleich Kapazität'!M$80)*Capacity_Entsoe_SFS_2017!$D$3:$AK$38)+SUMPRODUCT((Capacity_Entsoe_SFS_2017!$A$3:$A$38='Abgleich Kapazität'!$A103)*(Capacity_Entsoe_SFS_2017!$D$1:$AL$1='Abgleich Kapazität'!M$79)*Capacity_Entsoe_SFS_2017!$D$3:$AK$38)+SUMPRODUCT((Capacity_Entsoe_SFS_2017!$A$3:$A$38='Abgleich Kapazität'!$A103)*(Capacity_Entsoe_SFS_2017!$D$1:$AL$1='Abgleich Kapazität'!M$78)*Capacity_Entsoe_SFS_2017!$D$3:$AK$38)+SUMPRODUCT((Capacity_Entsoe_SFS_2017!$A$3:$A$38='Abgleich Kapazität'!$A103)*(Capacity_Entsoe_SFS_2017!$D$1:$AL$1='Abgleich Kapazität'!M$77)*Capacity_Entsoe_SFS_2017!$D$3:$AK$38)+SUMPRODUCT((Capacity_Entsoe_SFS_2017!$A$3:$A$38='Abgleich Kapazität'!$A103)*(Capacity_Entsoe_SFS_2017!$D$1:$AL$1='Abgleich Kapazität'!M$76)*Capacity_Entsoe_SFS_2017!$D$3:$AK$38))/1000</f>
        <v>#VALUE!</v>
      </c>
      <c r="N103" s="26" t="e">
        <f>(SUMPRODUCT((Capacity_Entsoe_SFS_2017!$A$3:$A$38='Abgleich Kapazität'!$A103)*(Capacity_Entsoe_SFS_2017!$D$1:$AL$1='Abgleich Kapazität'!N$81)*Capacity_Entsoe_SFS_2017!$D$3:$AK$38)+SUMPRODUCT((Capacity_Entsoe_SFS_2017!$A$3:$A$38='Abgleich Kapazität'!$A103)*(Capacity_Entsoe_SFS_2017!$D$1:$AL$1='Abgleich Kapazität'!N$80)*Capacity_Entsoe_SFS_2017!$D$3:$AK$38)+SUMPRODUCT((Capacity_Entsoe_SFS_2017!$A$3:$A$38='Abgleich Kapazität'!$A103)*(Capacity_Entsoe_SFS_2017!$D$1:$AL$1='Abgleich Kapazität'!N$79)*Capacity_Entsoe_SFS_2017!$D$3:$AK$38)+SUMPRODUCT((Capacity_Entsoe_SFS_2017!$A$3:$A$38='Abgleich Kapazität'!$A103)*(Capacity_Entsoe_SFS_2017!$D$1:$AL$1='Abgleich Kapazität'!N$78)*Capacity_Entsoe_SFS_2017!$D$3:$AK$38)+SUMPRODUCT((Capacity_Entsoe_SFS_2017!$A$3:$A$38='Abgleich Kapazität'!$A103)*(Capacity_Entsoe_SFS_2017!$D$1:$AL$1='Abgleich Kapazität'!N$77)*Capacity_Entsoe_SFS_2017!$D$3:$AK$38)+SUMPRODUCT((Capacity_Entsoe_SFS_2017!$A$3:$A$38='Abgleich Kapazität'!$A103)*(Capacity_Entsoe_SFS_2017!$D$1:$AL$1='Abgleich Kapazität'!N$76)*Capacity_Entsoe_SFS_2017!$D$3:$AK$38))/1000</f>
        <v>#VALUE!</v>
      </c>
      <c r="O103" s="26" t="e">
        <f>(SUMPRODUCT((Capacity_Entsoe_SFS_2017!$A$3:$A$38='Abgleich Kapazität'!$A103)*(Capacity_Entsoe_SFS_2017!$D$1:$AL$1='Abgleich Kapazität'!O$81)*Capacity_Entsoe_SFS_2017!$D$3:$AK$38)+SUMPRODUCT((Capacity_Entsoe_SFS_2017!$A$3:$A$38='Abgleich Kapazität'!$A103)*(Capacity_Entsoe_SFS_2017!$D$1:$AL$1='Abgleich Kapazität'!O$80)*Capacity_Entsoe_SFS_2017!$D$3:$AK$38)+SUMPRODUCT((Capacity_Entsoe_SFS_2017!$A$3:$A$38='Abgleich Kapazität'!$A103)*(Capacity_Entsoe_SFS_2017!$D$1:$AL$1='Abgleich Kapazität'!O$79)*Capacity_Entsoe_SFS_2017!$D$3:$AK$38)+SUMPRODUCT((Capacity_Entsoe_SFS_2017!$A$3:$A$38='Abgleich Kapazität'!$A103)*(Capacity_Entsoe_SFS_2017!$D$1:$AL$1='Abgleich Kapazität'!O$78)*Capacity_Entsoe_SFS_2017!$D$3:$AK$38)+SUMPRODUCT((Capacity_Entsoe_SFS_2017!$A$3:$A$38='Abgleich Kapazität'!$A103)*(Capacity_Entsoe_SFS_2017!$D$1:$AL$1='Abgleich Kapazität'!O$77)*Capacity_Entsoe_SFS_2017!$D$3:$AK$38)+SUMPRODUCT((Capacity_Entsoe_SFS_2017!$A$3:$A$38='Abgleich Kapazität'!$A103)*(Capacity_Entsoe_SFS_2017!$D$1:$AL$1='Abgleich Kapazität'!O$76)*Capacity_Entsoe_SFS_2017!$D$3:$AK$38))/1000</f>
        <v>#VALUE!</v>
      </c>
      <c r="P103" s="26" t="e">
        <f>(SUMPRODUCT((Capacity_Entsoe_SFS_2017!$A$3:$A$38='Abgleich Kapazität'!$A103)*(Capacity_Entsoe_SFS_2017!$D$1:$AL$1='Abgleich Kapazität'!P$81)*Capacity_Entsoe_SFS_2017!$D$3:$AK$38)+SUMPRODUCT((Capacity_Entsoe_SFS_2017!$A$3:$A$38='Abgleich Kapazität'!$A103)*(Capacity_Entsoe_SFS_2017!$D$1:$AL$1='Abgleich Kapazität'!P$80)*Capacity_Entsoe_SFS_2017!$D$3:$AK$38)+SUMPRODUCT((Capacity_Entsoe_SFS_2017!$A$3:$A$38='Abgleich Kapazität'!$A103)*(Capacity_Entsoe_SFS_2017!$D$1:$AL$1='Abgleich Kapazität'!P$79)*Capacity_Entsoe_SFS_2017!$D$3:$AK$38)+SUMPRODUCT((Capacity_Entsoe_SFS_2017!$A$3:$A$38='Abgleich Kapazität'!$A103)*(Capacity_Entsoe_SFS_2017!$D$1:$AL$1='Abgleich Kapazität'!P$78)*Capacity_Entsoe_SFS_2017!$D$3:$AK$38)+SUMPRODUCT((Capacity_Entsoe_SFS_2017!$A$3:$A$38='Abgleich Kapazität'!$A103)*(Capacity_Entsoe_SFS_2017!$D$1:$AL$1='Abgleich Kapazität'!P$77)*Capacity_Entsoe_SFS_2017!$D$3:$AK$38)+SUMPRODUCT((Capacity_Entsoe_SFS_2017!$A$3:$A$38='Abgleich Kapazität'!$A103)*(Capacity_Entsoe_SFS_2017!$D$1:$AL$1='Abgleich Kapazität'!P$76)*Capacity_Entsoe_SFS_2017!$D$3:$AK$38))/1000</f>
        <v>#VALUE!</v>
      </c>
      <c r="Q103" s="26" t="e">
        <f>(SUMPRODUCT((Capacity_Entsoe_SFS_2017!$A$3:$A$38='Abgleich Kapazität'!$A103)*(Capacity_Entsoe_SFS_2017!$D$1:$AL$1='Abgleich Kapazität'!Q$81)*Capacity_Entsoe_SFS_2017!$D$3:$AK$38)+SUMPRODUCT((Capacity_Entsoe_SFS_2017!$A$3:$A$38='Abgleich Kapazität'!$A103)*(Capacity_Entsoe_SFS_2017!$D$1:$AL$1='Abgleich Kapazität'!Q$80)*Capacity_Entsoe_SFS_2017!$D$3:$AK$38)+SUMPRODUCT((Capacity_Entsoe_SFS_2017!$A$3:$A$38='Abgleich Kapazität'!$A103)*(Capacity_Entsoe_SFS_2017!$D$1:$AL$1='Abgleich Kapazität'!Q$79)*Capacity_Entsoe_SFS_2017!$D$3:$AK$38)+SUMPRODUCT((Capacity_Entsoe_SFS_2017!$A$3:$A$38='Abgleich Kapazität'!$A103)*(Capacity_Entsoe_SFS_2017!$D$1:$AL$1='Abgleich Kapazität'!Q$78)*Capacity_Entsoe_SFS_2017!$D$3:$AK$38)+SUMPRODUCT((Capacity_Entsoe_SFS_2017!$A$3:$A$38='Abgleich Kapazität'!$A103)*(Capacity_Entsoe_SFS_2017!$D$1:$AL$1='Abgleich Kapazität'!Q$77)*Capacity_Entsoe_SFS_2017!$D$3:$AK$38)+SUMPRODUCT((Capacity_Entsoe_SFS_2017!$A$3:$A$38='Abgleich Kapazität'!$A103)*(Capacity_Entsoe_SFS_2017!$D$1:$AL$1='Abgleich Kapazität'!Q$76)*Capacity_Entsoe_SFS_2017!$D$3:$AK$38))/1000</f>
        <v>#VALUE!</v>
      </c>
      <c r="R103" s="26" t="e">
        <f>(SUMPRODUCT((Capacity_Entsoe_SFS_2017!$A$3:$A$38='Abgleich Kapazität'!$A103)*(Capacity_Entsoe_SFS_2017!$D$1:$AL$1='Abgleich Kapazität'!R$81)*Capacity_Entsoe_SFS_2017!$D$3:$AK$38)+SUMPRODUCT((Capacity_Entsoe_SFS_2017!$A$3:$A$38='Abgleich Kapazität'!$A103)*(Capacity_Entsoe_SFS_2017!$D$1:$AL$1='Abgleich Kapazität'!R$80)*Capacity_Entsoe_SFS_2017!$D$3:$AK$38)+SUMPRODUCT((Capacity_Entsoe_SFS_2017!$A$3:$A$38='Abgleich Kapazität'!$A103)*(Capacity_Entsoe_SFS_2017!$D$1:$AL$1='Abgleich Kapazität'!R$79)*Capacity_Entsoe_SFS_2017!$D$3:$AK$38)+SUMPRODUCT((Capacity_Entsoe_SFS_2017!$A$3:$A$38='Abgleich Kapazität'!$A103)*(Capacity_Entsoe_SFS_2017!$D$1:$AL$1='Abgleich Kapazität'!R$78)*Capacity_Entsoe_SFS_2017!$D$3:$AK$38)+SUMPRODUCT((Capacity_Entsoe_SFS_2017!$A$3:$A$38='Abgleich Kapazität'!$A103)*(Capacity_Entsoe_SFS_2017!$D$1:$AL$1='Abgleich Kapazität'!R$77)*Capacity_Entsoe_SFS_2017!$D$3:$AK$38)+SUMPRODUCT((Capacity_Entsoe_SFS_2017!$A$3:$A$38='Abgleich Kapazität'!$A103)*(Capacity_Entsoe_SFS_2017!$D$1:$AL$1='Abgleich Kapazität'!R$76)*Capacity_Entsoe_SFS_2017!$D$3:$AK$38))/1000</f>
        <v>#VALUE!</v>
      </c>
      <c r="S103" s="26" t="e">
        <f>(SUMPRODUCT((Capacity_Entsoe_SFS_2017!$A$3:$A$38='Abgleich Kapazität'!$A103)*(Capacity_Entsoe_SFS_2017!$D$1:$AL$1='Abgleich Kapazität'!S$81)*Capacity_Entsoe_SFS_2017!$D$3:$AK$38)+SUMPRODUCT((Capacity_Entsoe_SFS_2017!$A$3:$A$38='Abgleich Kapazität'!$A103)*(Capacity_Entsoe_SFS_2017!$D$1:$AL$1='Abgleich Kapazität'!S$80)*Capacity_Entsoe_SFS_2017!$D$3:$AK$38)+SUMPRODUCT((Capacity_Entsoe_SFS_2017!$A$3:$A$38='Abgleich Kapazität'!$A103)*(Capacity_Entsoe_SFS_2017!$D$1:$AL$1='Abgleich Kapazität'!S$79)*Capacity_Entsoe_SFS_2017!$D$3:$AK$38)+SUMPRODUCT((Capacity_Entsoe_SFS_2017!$A$3:$A$38='Abgleich Kapazität'!$A103)*(Capacity_Entsoe_SFS_2017!$D$1:$AL$1='Abgleich Kapazität'!S$78)*Capacity_Entsoe_SFS_2017!$D$3:$AK$38)+SUMPRODUCT((Capacity_Entsoe_SFS_2017!$A$3:$A$38='Abgleich Kapazität'!$A103)*(Capacity_Entsoe_SFS_2017!$D$1:$AL$1='Abgleich Kapazität'!S$77)*Capacity_Entsoe_SFS_2017!$D$3:$AK$38)+SUMPRODUCT((Capacity_Entsoe_SFS_2017!$A$3:$A$38='Abgleich Kapazität'!$A103)*(Capacity_Entsoe_SFS_2017!$D$1:$AL$1='Abgleich Kapazität'!S$76)*Capacity_Entsoe_SFS_2017!$D$3:$AK$38))/1000</f>
        <v>#VALUE!</v>
      </c>
      <c r="T103" s="26" t="e">
        <f>(SUMPRODUCT((Capacity_Entsoe_SFS_2017!$A$3:$A$38='Abgleich Kapazität'!$A103)*(Capacity_Entsoe_SFS_2017!$D$1:$AL$1='Abgleich Kapazität'!T$81)*Capacity_Entsoe_SFS_2017!$D$3:$AK$38)+SUMPRODUCT((Capacity_Entsoe_SFS_2017!$A$3:$A$38='Abgleich Kapazität'!$A103)*(Capacity_Entsoe_SFS_2017!$D$1:$AL$1='Abgleich Kapazität'!T$80)*Capacity_Entsoe_SFS_2017!$D$3:$AK$38)+SUMPRODUCT((Capacity_Entsoe_SFS_2017!$A$3:$A$38='Abgleich Kapazität'!$A103)*(Capacity_Entsoe_SFS_2017!$D$1:$AL$1='Abgleich Kapazität'!T$79)*Capacity_Entsoe_SFS_2017!$D$3:$AK$38)+SUMPRODUCT((Capacity_Entsoe_SFS_2017!$A$3:$A$38='Abgleich Kapazität'!$A103)*(Capacity_Entsoe_SFS_2017!$D$1:$AL$1='Abgleich Kapazität'!T$78)*Capacity_Entsoe_SFS_2017!$D$3:$AK$38)+SUMPRODUCT((Capacity_Entsoe_SFS_2017!$A$3:$A$38='Abgleich Kapazität'!$A103)*(Capacity_Entsoe_SFS_2017!$D$1:$AL$1='Abgleich Kapazität'!T$77)*Capacity_Entsoe_SFS_2017!$D$3:$AK$38)+SUMPRODUCT((Capacity_Entsoe_SFS_2017!$A$3:$A$38='Abgleich Kapazität'!$A103)*(Capacity_Entsoe_SFS_2017!$D$1:$AL$1='Abgleich Kapazität'!T$76)*Capacity_Entsoe_SFS_2017!$D$3:$AK$38))/1000</f>
        <v>#VALUE!</v>
      </c>
      <c r="U103" s="26" t="e">
        <f>(SUMPRODUCT((Capacity_Entsoe_SFS_2017!$A$3:$A$38='Abgleich Kapazität'!$A103)*(Capacity_Entsoe_SFS_2017!$D$1:$AL$1='Abgleich Kapazität'!U$81)*Capacity_Entsoe_SFS_2017!$D$3:$AK$38)+SUMPRODUCT((Capacity_Entsoe_SFS_2017!$A$3:$A$38='Abgleich Kapazität'!$A103)*(Capacity_Entsoe_SFS_2017!$D$1:$AL$1='Abgleich Kapazität'!U$80)*Capacity_Entsoe_SFS_2017!$D$3:$AK$38)+SUMPRODUCT((Capacity_Entsoe_SFS_2017!$A$3:$A$38='Abgleich Kapazität'!$A103)*(Capacity_Entsoe_SFS_2017!$D$1:$AL$1='Abgleich Kapazität'!U$79)*Capacity_Entsoe_SFS_2017!$D$3:$AK$38)+SUMPRODUCT((Capacity_Entsoe_SFS_2017!$A$3:$A$38='Abgleich Kapazität'!$A103)*(Capacity_Entsoe_SFS_2017!$D$1:$AL$1='Abgleich Kapazität'!U$78)*Capacity_Entsoe_SFS_2017!$D$3:$AK$38)+SUMPRODUCT((Capacity_Entsoe_SFS_2017!$A$3:$A$38='Abgleich Kapazität'!$A103)*(Capacity_Entsoe_SFS_2017!$D$1:$AL$1='Abgleich Kapazität'!U$77)*Capacity_Entsoe_SFS_2017!$D$3:$AK$38)+SUMPRODUCT((Capacity_Entsoe_SFS_2017!$A$3:$A$38='Abgleich Kapazität'!$A103)*(Capacity_Entsoe_SFS_2017!$D$1:$AL$1='Abgleich Kapazität'!U$76)*Capacity_Entsoe_SFS_2017!$D$3:$AK$38))/1000</f>
        <v>#VALUE!</v>
      </c>
      <c r="V103" s="27" t="e">
        <f t="shared" si="80"/>
        <v>#VALUE!</v>
      </c>
    </row>
    <row r="104" spans="1:22" x14ac:dyDescent="0.25">
      <c r="A104" s="14" t="s">
        <v>30</v>
      </c>
      <c r="B104" s="57" t="e">
        <f t="shared" si="77"/>
        <v>#VALUE!</v>
      </c>
      <c r="C104" s="58" t="e">
        <f>(SUMPRODUCT((Capacity_Entsoe_SFS_2017!$A$3:$A$38='Abgleich Kapazität'!$A104)*(Capacity_Entsoe_SFS_2017!$D$1:$AL$1='Abgleich Kapazität'!C$81)*Capacity_Entsoe_SFS_2017!$D$3:$AK$38)+SUMPRODUCT((Capacity_Entsoe_SFS_2017!$A$3:$A$38='Abgleich Kapazität'!$A104)*(Capacity_Entsoe_SFS_2017!$D$1:$AL$1='Abgleich Kapazität'!C$80)*Capacity_Entsoe_SFS_2017!$D$3:$AK$38)+SUMPRODUCT((Capacity_Entsoe_SFS_2017!$A$3:$A$38='Abgleich Kapazität'!$A104)*(Capacity_Entsoe_SFS_2017!$D$1:$AL$1='Abgleich Kapazität'!C$79)*Capacity_Entsoe_SFS_2017!$D$3:$AK$38)+SUMPRODUCT((Capacity_Entsoe_SFS_2017!$A$3:$A$38='Abgleich Kapazität'!$A104)*(Capacity_Entsoe_SFS_2017!$D$1:$AL$1='Abgleich Kapazität'!C$78)*Capacity_Entsoe_SFS_2017!$D$3:$AK$38))/1000</f>
        <v>#VALUE!</v>
      </c>
      <c r="D104" s="58" t="e">
        <f t="shared" si="78"/>
        <v>#VALUE!</v>
      </c>
      <c r="E104" s="58" t="e">
        <f>(SUMPRODUCT((Capacity_Entsoe_SFS_2017!$A$3:$A$38='Abgleich Kapazität'!$A104)*(Capacity_Entsoe_SFS_2017!$D$1:$AL$1='Abgleich Kapazität'!E$81)*Capacity_Entsoe_SFS_2017!$D$3:$AK$38)+SUMPRODUCT((Capacity_Entsoe_SFS_2017!$A$3:$A$38='Abgleich Kapazität'!$A104)*(Capacity_Entsoe_SFS_2017!$D$1:$AL$1='Abgleich Kapazität'!E$80)*Capacity_Entsoe_SFS_2017!$D$3:$AK$38)+SUMPRODUCT((Capacity_Entsoe_SFS_2017!$A$3:$A$38='Abgleich Kapazität'!$A104)*(Capacity_Entsoe_SFS_2017!$D$1:$AL$1='Abgleich Kapazität'!E$79)*Capacity_Entsoe_SFS_2017!$D$3:$AK$38)+SUMPRODUCT((Capacity_Entsoe_SFS_2017!$A$3:$A$38='Abgleich Kapazität'!$A104)*(Capacity_Entsoe_SFS_2017!$D$1:$AL$1='Abgleich Kapazität'!E$78)*Capacity_Entsoe_SFS_2017!$D$3:$AK$38))/1000</f>
        <v>#VALUE!</v>
      </c>
      <c r="F104" s="58" t="e">
        <f>(SUMPRODUCT((Capacity_Entsoe_SFS_2017!$A$3:$A$38='Abgleich Kapazität'!$A104)*(Capacity_Entsoe_SFS_2017!$D$1:$AL$1='Abgleich Kapazität'!F$81)*Capacity_Entsoe_SFS_2017!$D$3:$AK$38)+SUMPRODUCT((Capacity_Entsoe_SFS_2017!$A$3:$A$38='Abgleich Kapazität'!$A104)*(Capacity_Entsoe_SFS_2017!$D$1:$AL$1='Abgleich Kapazität'!F$80)*Capacity_Entsoe_SFS_2017!$D$3:$AK$38)+SUMPRODUCT((Capacity_Entsoe_SFS_2017!$A$3:$A$38='Abgleich Kapazität'!$A104)*(Capacity_Entsoe_SFS_2017!$D$1:$AL$1='Abgleich Kapazität'!F$79)*Capacity_Entsoe_SFS_2017!$D$3:$AK$38)+SUMPRODUCT((Capacity_Entsoe_SFS_2017!$A$3:$A$38='Abgleich Kapazität'!$A104)*(Capacity_Entsoe_SFS_2017!$D$1:$AL$1='Abgleich Kapazität'!F$78)*Capacity_Entsoe_SFS_2017!$D$3:$AK$38))/1000</f>
        <v>#VALUE!</v>
      </c>
      <c r="G104" s="58" t="e">
        <f>(SUMPRODUCT((Capacity_Entsoe_SFS_2017!$A$3:$A$38='Abgleich Kapazität'!$A104)*(Capacity_Entsoe_SFS_2017!$D$1:$AL$1='Abgleich Kapazität'!G$81)*Capacity_Entsoe_SFS_2017!$D$3:$AK$38)+SUMPRODUCT((Capacity_Entsoe_SFS_2017!$A$3:$A$38='Abgleich Kapazität'!$A104)*(Capacity_Entsoe_SFS_2017!$D$1:$AL$1='Abgleich Kapazität'!G$80)*Capacity_Entsoe_SFS_2017!$D$3:$AK$38)+SUMPRODUCT((Capacity_Entsoe_SFS_2017!$A$3:$A$38='Abgleich Kapazität'!$A104)*(Capacity_Entsoe_SFS_2017!$D$1:$AL$1='Abgleich Kapazität'!G$79)*Capacity_Entsoe_SFS_2017!$D$3:$AK$38)+SUMPRODUCT((Capacity_Entsoe_SFS_2017!$A$3:$A$38='Abgleich Kapazität'!$A104)*(Capacity_Entsoe_SFS_2017!$D$1:$AL$1='Abgleich Kapazität'!G$78)*Capacity_Entsoe_SFS_2017!$D$3:$AK$38))/1000</f>
        <v>#VALUE!</v>
      </c>
      <c r="H104" s="58" t="e">
        <f>(SUMPRODUCT((Capacity_Entsoe_SFS_2017!$A$3:$A$38='Abgleich Kapazität'!$A104)*(Capacity_Entsoe_SFS_2017!$D$1:$AL$1='Abgleich Kapazität'!H$81)*Capacity_Entsoe_SFS_2017!$D$3:$AK$38)+SUMPRODUCT((Capacity_Entsoe_SFS_2017!$A$3:$A$38='Abgleich Kapazität'!$A104)*(Capacity_Entsoe_SFS_2017!$D$1:$AL$1='Abgleich Kapazität'!H$80)*Capacity_Entsoe_SFS_2017!$D$3:$AK$38)+SUMPRODUCT((Capacity_Entsoe_SFS_2017!$A$3:$A$38='Abgleich Kapazität'!$A104)*(Capacity_Entsoe_SFS_2017!$D$1:$AL$1='Abgleich Kapazität'!H$79)*Capacity_Entsoe_SFS_2017!$D$3:$AK$38)+SUMPRODUCT((Capacity_Entsoe_SFS_2017!$A$3:$A$38='Abgleich Kapazität'!$A104)*(Capacity_Entsoe_SFS_2017!$D$1:$AL$1='Abgleich Kapazität'!H$78)*Capacity_Entsoe_SFS_2017!$D$3:$AK$38))/1000</f>
        <v>#VALUE!</v>
      </c>
      <c r="I104" s="58" t="e">
        <f>(SUMPRODUCT((Capacity_Entsoe_SFS_2017!$A$3:$A$38='Abgleich Kapazität'!$A104)*(Capacity_Entsoe_SFS_2017!$D$1:$AL$1='Abgleich Kapazität'!I$81)*Capacity_Entsoe_SFS_2017!$D$3:$AK$38)+SUMPRODUCT((Capacity_Entsoe_SFS_2017!$A$3:$A$38='Abgleich Kapazität'!$A104)*(Capacity_Entsoe_SFS_2017!$D$1:$AL$1='Abgleich Kapazität'!I$80)*Capacity_Entsoe_SFS_2017!$D$3:$AK$38)+SUMPRODUCT((Capacity_Entsoe_SFS_2017!$A$3:$A$38='Abgleich Kapazität'!$A104)*(Capacity_Entsoe_SFS_2017!$D$1:$AL$1='Abgleich Kapazität'!I$79)*Capacity_Entsoe_SFS_2017!$D$3:$AK$38)+SUMPRODUCT((Capacity_Entsoe_SFS_2017!$A$3:$A$38='Abgleich Kapazität'!$A104)*(Capacity_Entsoe_SFS_2017!$D$1:$AL$1='Abgleich Kapazität'!I$78)*Capacity_Entsoe_SFS_2017!$D$3:$AK$38))/1000</f>
        <v>#VALUE!</v>
      </c>
      <c r="J104" s="58" t="e">
        <f>(SUMPRODUCT((Capacity_Entsoe_SFS_2017!$A$3:$A$38='Abgleich Kapazität'!$A104)*(Capacity_Entsoe_SFS_2017!$D$1:$AL$1='Abgleich Kapazität'!J$81)*Capacity_Entsoe_SFS_2017!$D$3:$AK$38)+SUMPRODUCT((Capacity_Entsoe_SFS_2017!$A$3:$A$38='Abgleich Kapazität'!$A104)*(Capacity_Entsoe_SFS_2017!$D$1:$AL$1='Abgleich Kapazität'!J$80)*Capacity_Entsoe_SFS_2017!$D$3:$AK$38)+SUMPRODUCT((Capacity_Entsoe_SFS_2017!$A$3:$A$38='Abgleich Kapazität'!$A104)*(Capacity_Entsoe_SFS_2017!$D$1:$AL$1='Abgleich Kapazität'!J$79)*Capacity_Entsoe_SFS_2017!$D$3:$AK$38)+SUMPRODUCT((Capacity_Entsoe_SFS_2017!$A$3:$A$38='Abgleich Kapazität'!$A104)*(Capacity_Entsoe_SFS_2017!$D$1:$AL$1='Abgleich Kapazität'!J$78)*Capacity_Entsoe_SFS_2017!$D$3:$AK$38))/1000</f>
        <v>#VALUE!</v>
      </c>
      <c r="K104" s="59" t="e">
        <f t="shared" si="79"/>
        <v>#VALUE!</v>
      </c>
      <c r="L104" s="58" t="e">
        <f>(SUMPRODUCT((Capacity_Entsoe_SFS_2017!$A$3:$A$38='Abgleich Kapazität'!$A104)*(Capacity_Entsoe_SFS_2017!$D$1:$AL$1='Abgleich Kapazität'!L$81)*Capacity_Entsoe_SFS_2017!$D$3:$AK$38)+SUMPRODUCT((Capacity_Entsoe_SFS_2017!$A$3:$A$38='Abgleich Kapazität'!$A104)*(Capacity_Entsoe_SFS_2017!$D$1:$AL$1='Abgleich Kapazität'!L$80)*Capacity_Entsoe_SFS_2017!$D$3:$AK$38)+SUMPRODUCT((Capacity_Entsoe_SFS_2017!$A$3:$A$38='Abgleich Kapazität'!$A104)*(Capacity_Entsoe_SFS_2017!$D$1:$AL$1='Abgleich Kapazität'!L$79)*Capacity_Entsoe_SFS_2017!$D$3:$AK$38)+SUMPRODUCT((Capacity_Entsoe_SFS_2017!$A$3:$A$38='Abgleich Kapazität'!$A104)*(Capacity_Entsoe_SFS_2017!$D$1:$AL$1='Abgleich Kapazität'!L$78)*Capacity_Entsoe_SFS_2017!$D$3:$AK$38)+SUMPRODUCT((Capacity_Entsoe_SFS_2017!$A$3:$A$38='Abgleich Kapazität'!$A104)*(Capacity_Entsoe_SFS_2017!$D$1:$AL$1='Abgleich Kapazität'!L$77)*Capacity_Entsoe_SFS_2017!$D$3:$AK$38)+SUMPRODUCT((Capacity_Entsoe_SFS_2017!$A$3:$A$38='Abgleich Kapazität'!$A104)*(Capacity_Entsoe_SFS_2017!$D$1:$AL$1='Abgleich Kapazität'!L$76)*Capacity_Entsoe_SFS_2017!$D$3:$AK$38))/1000</f>
        <v>#VALUE!</v>
      </c>
      <c r="M104" s="58" t="e">
        <f>(SUMPRODUCT((Capacity_Entsoe_SFS_2017!$A$3:$A$38='Abgleich Kapazität'!$A104)*(Capacity_Entsoe_SFS_2017!$D$1:$AL$1='Abgleich Kapazität'!M$81)*Capacity_Entsoe_SFS_2017!$D$3:$AK$38)+SUMPRODUCT((Capacity_Entsoe_SFS_2017!$A$3:$A$38='Abgleich Kapazität'!$A104)*(Capacity_Entsoe_SFS_2017!$D$1:$AL$1='Abgleich Kapazität'!M$80)*Capacity_Entsoe_SFS_2017!$D$3:$AK$38)+SUMPRODUCT((Capacity_Entsoe_SFS_2017!$A$3:$A$38='Abgleich Kapazität'!$A104)*(Capacity_Entsoe_SFS_2017!$D$1:$AL$1='Abgleich Kapazität'!M$79)*Capacity_Entsoe_SFS_2017!$D$3:$AK$38)+SUMPRODUCT((Capacity_Entsoe_SFS_2017!$A$3:$A$38='Abgleich Kapazität'!$A104)*(Capacity_Entsoe_SFS_2017!$D$1:$AL$1='Abgleich Kapazität'!M$78)*Capacity_Entsoe_SFS_2017!$D$3:$AK$38)+SUMPRODUCT((Capacity_Entsoe_SFS_2017!$A$3:$A$38='Abgleich Kapazität'!$A104)*(Capacity_Entsoe_SFS_2017!$D$1:$AL$1='Abgleich Kapazität'!M$77)*Capacity_Entsoe_SFS_2017!$D$3:$AK$38)+SUMPRODUCT((Capacity_Entsoe_SFS_2017!$A$3:$A$38='Abgleich Kapazität'!$A104)*(Capacity_Entsoe_SFS_2017!$D$1:$AL$1='Abgleich Kapazität'!M$76)*Capacity_Entsoe_SFS_2017!$D$3:$AK$38))/1000</f>
        <v>#VALUE!</v>
      </c>
      <c r="N104" s="58" t="e">
        <f>(SUMPRODUCT((Capacity_Entsoe_SFS_2017!$A$3:$A$38='Abgleich Kapazität'!$A104)*(Capacity_Entsoe_SFS_2017!$D$1:$AL$1='Abgleich Kapazität'!N$81)*Capacity_Entsoe_SFS_2017!$D$3:$AK$38)+SUMPRODUCT((Capacity_Entsoe_SFS_2017!$A$3:$A$38='Abgleich Kapazität'!$A104)*(Capacity_Entsoe_SFS_2017!$D$1:$AL$1='Abgleich Kapazität'!N$80)*Capacity_Entsoe_SFS_2017!$D$3:$AK$38)+SUMPRODUCT((Capacity_Entsoe_SFS_2017!$A$3:$A$38='Abgleich Kapazität'!$A104)*(Capacity_Entsoe_SFS_2017!$D$1:$AL$1='Abgleich Kapazität'!N$79)*Capacity_Entsoe_SFS_2017!$D$3:$AK$38)+SUMPRODUCT((Capacity_Entsoe_SFS_2017!$A$3:$A$38='Abgleich Kapazität'!$A104)*(Capacity_Entsoe_SFS_2017!$D$1:$AL$1='Abgleich Kapazität'!N$78)*Capacity_Entsoe_SFS_2017!$D$3:$AK$38)+SUMPRODUCT((Capacity_Entsoe_SFS_2017!$A$3:$A$38='Abgleich Kapazität'!$A104)*(Capacity_Entsoe_SFS_2017!$D$1:$AL$1='Abgleich Kapazität'!N$77)*Capacity_Entsoe_SFS_2017!$D$3:$AK$38)+SUMPRODUCT((Capacity_Entsoe_SFS_2017!$A$3:$A$38='Abgleich Kapazität'!$A104)*(Capacity_Entsoe_SFS_2017!$D$1:$AL$1='Abgleich Kapazität'!N$76)*Capacity_Entsoe_SFS_2017!$D$3:$AK$38))/1000</f>
        <v>#VALUE!</v>
      </c>
      <c r="O104" s="58" t="e">
        <f>(SUMPRODUCT((Capacity_Entsoe_SFS_2017!$A$3:$A$38='Abgleich Kapazität'!$A104)*(Capacity_Entsoe_SFS_2017!$D$1:$AL$1='Abgleich Kapazität'!O$81)*Capacity_Entsoe_SFS_2017!$D$3:$AK$38)+SUMPRODUCT((Capacity_Entsoe_SFS_2017!$A$3:$A$38='Abgleich Kapazität'!$A104)*(Capacity_Entsoe_SFS_2017!$D$1:$AL$1='Abgleich Kapazität'!O$80)*Capacity_Entsoe_SFS_2017!$D$3:$AK$38)+SUMPRODUCT((Capacity_Entsoe_SFS_2017!$A$3:$A$38='Abgleich Kapazität'!$A104)*(Capacity_Entsoe_SFS_2017!$D$1:$AL$1='Abgleich Kapazität'!O$79)*Capacity_Entsoe_SFS_2017!$D$3:$AK$38)+SUMPRODUCT((Capacity_Entsoe_SFS_2017!$A$3:$A$38='Abgleich Kapazität'!$A104)*(Capacity_Entsoe_SFS_2017!$D$1:$AL$1='Abgleich Kapazität'!O$78)*Capacity_Entsoe_SFS_2017!$D$3:$AK$38)+SUMPRODUCT((Capacity_Entsoe_SFS_2017!$A$3:$A$38='Abgleich Kapazität'!$A104)*(Capacity_Entsoe_SFS_2017!$D$1:$AL$1='Abgleich Kapazität'!O$77)*Capacity_Entsoe_SFS_2017!$D$3:$AK$38)+SUMPRODUCT((Capacity_Entsoe_SFS_2017!$A$3:$A$38='Abgleich Kapazität'!$A104)*(Capacity_Entsoe_SFS_2017!$D$1:$AL$1='Abgleich Kapazität'!O$76)*Capacity_Entsoe_SFS_2017!$D$3:$AK$38))/1000</f>
        <v>#VALUE!</v>
      </c>
      <c r="P104" s="58" t="e">
        <f>(SUMPRODUCT((Capacity_Entsoe_SFS_2017!$A$3:$A$38='Abgleich Kapazität'!$A104)*(Capacity_Entsoe_SFS_2017!$D$1:$AL$1='Abgleich Kapazität'!P$81)*Capacity_Entsoe_SFS_2017!$D$3:$AK$38)+SUMPRODUCT((Capacity_Entsoe_SFS_2017!$A$3:$A$38='Abgleich Kapazität'!$A104)*(Capacity_Entsoe_SFS_2017!$D$1:$AL$1='Abgleich Kapazität'!P$80)*Capacity_Entsoe_SFS_2017!$D$3:$AK$38)+SUMPRODUCT((Capacity_Entsoe_SFS_2017!$A$3:$A$38='Abgleich Kapazität'!$A104)*(Capacity_Entsoe_SFS_2017!$D$1:$AL$1='Abgleich Kapazität'!P$79)*Capacity_Entsoe_SFS_2017!$D$3:$AK$38)+SUMPRODUCT((Capacity_Entsoe_SFS_2017!$A$3:$A$38='Abgleich Kapazität'!$A104)*(Capacity_Entsoe_SFS_2017!$D$1:$AL$1='Abgleich Kapazität'!P$78)*Capacity_Entsoe_SFS_2017!$D$3:$AK$38)+SUMPRODUCT((Capacity_Entsoe_SFS_2017!$A$3:$A$38='Abgleich Kapazität'!$A104)*(Capacity_Entsoe_SFS_2017!$D$1:$AL$1='Abgleich Kapazität'!P$77)*Capacity_Entsoe_SFS_2017!$D$3:$AK$38)+SUMPRODUCT((Capacity_Entsoe_SFS_2017!$A$3:$A$38='Abgleich Kapazität'!$A104)*(Capacity_Entsoe_SFS_2017!$D$1:$AL$1='Abgleich Kapazität'!P$76)*Capacity_Entsoe_SFS_2017!$D$3:$AK$38))/1000</f>
        <v>#VALUE!</v>
      </c>
      <c r="Q104" s="58" t="e">
        <f>(SUMPRODUCT((Capacity_Entsoe_SFS_2017!$A$3:$A$38='Abgleich Kapazität'!$A104)*(Capacity_Entsoe_SFS_2017!$D$1:$AL$1='Abgleich Kapazität'!Q$81)*Capacity_Entsoe_SFS_2017!$D$3:$AK$38)+SUMPRODUCT((Capacity_Entsoe_SFS_2017!$A$3:$A$38='Abgleich Kapazität'!$A104)*(Capacity_Entsoe_SFS_2017!$D$1:$AL$1='Abgleich Kapazität'!Q$80)*Capacity_Entsoe_SFS_2017!$D$3:$AK$38)+SUMPRODUCT((Capacity_Entsoe_SFS_2017!$A$3:$A$38='Abgleich Kapazität'!$A104)*(Capacity_Entsoe_SFS_2017!$D$1:$AL$1='Abgleich Kapazität'!Q$79)*Capacity_Entsoe_SFS_2017!$D$3:$AK$38)+SUMPRODUCT((Capacity_Entsoe_SFS_2017!$A$3:$A$38='Abgleich Kapazität'!$A104)*(Capacity_Entsoe_SFS_2017!$D$1:$AL$1='Abgleich Kapazität'!Q$78)*Capacity_Entsoe_SFS_2017!$D$3:$AK$38)+SUMPRODUCT((Capacity_Entsoe_SFS_2017!$A$3:$A$38='Abgleich Kapazität'!$A104)*(Capacity_Entsoe_SFS_2017!$D$1:$AL$1='Abgleich Kapazität'!Q$77)*Capacity_Entsoe_SFS_2017!$D$3:$AK$38)+SUMPRODUCT((Capacity_Entsoe_SFS_2017!$A$3:$A$38='Abgleich Kapazität'!$A104)*(Capacity_Entsoe_SFS_2017!$D$1:$AL$1='Abgleich Kapazität'!Q$76)*Capacity_Entsoe_SFS_2017!$D$3:$AK$38))/1000</f>
        <v>#VALUE!</v>
      </c>
      <c r="R104" s="58" t="e">
        <f>(SUMPRODUCT((Capacity_Entsoe_SFS_2017!$A$3:$A$38='Abgleich Kapazität'!$A104)*(Capacity_Entsoe_SFS_2017!$D$1:$AL$1='Abgleich Kapazität'!R$81)*Capacity_Entsoe_SFS_2017!$D$3:$AK$38)+SUMPRODUCT((Capacity_Entsoe_SFS_2017!$A$3:$A$38='Abgleich Kapazität'!$A104)*(Capacity_Entsoe_SFS_2017!$D$1:$AL$1='Abgleich Kapazität'!R$80)*Capacity_Entsoe_SFS_2017!$D$3:$AK$38)+SUMPRODUCT((Capacity_Entsoe_SFS_2017!$A$3:$A$38='Abgleich Kapazität'!$A104)*(Capacity_Entsoe_SFS_2017!$D$1:$AL$1='Abgleich Kapazität'!R$79)*Capacity_Entsoe_SFS_2017!$D$3:$AK$38)+SUMPRODUCT((Capacity_Entsoe_SFS_2017!$A$3:$A$38='Abgleich Kapazität'!$A104)*(Capacity_Entsoe_SFS_2017!$D$1:$AL$1='Abgleich Kapazität'!R$78)*Capacity_Entsoe_SFS_2017!$D$3:$AK$38)+SUMPRODUCT((Capacity_Entsoe_SFS_2017!$A$3:$A$38='Abgleich Kapazität'!$A104)*(Capacity_Entsoe_SFS_2017!$D$1:$AL$1='Abgleich Kapazität'!R$77)*Capacity_Entsoe_SFS_2017!$D$3:$AK$38)+SUMPRODUCT((Capacity_Entsoe_SFS_2017!$A$3:$A$38='Abgleich Kapazität'!$A104)*(Capacity_Entsoe_SFS_2017!$D$1:$AL$1='Abgleich Kapazität'!R$76)*Capacity_Entsoe_SFS_2017!$D$3:$AK$38))/1000</f>
        <v>#VALUE!</v>
      </c>
      <c r="S104" s="58" t="e">
        <f>(SUMPRODUCT((Capacity_Entsoe_SFS_2017!$A$3:$A$38='Abgleich Kapazität'!$A104)*(Capacity_Entsoe_SFS_2017!$D$1:$AL$1='Abgleich Kapazität'!S$81)*Capacity_Entsoe_SFS_2017!$D$3:$AK$38)+SUMPRODUCT((Capacity_Entsoe_SFS_2017!$A$3:$A$38='Abgleich Kapazität'!$A104)*(Capacity_Entsoe_SFS_2017!$D$1:$AL$1='Abgleich Kapazität'!S$80)*Capacity_Entsoe_SFS_2017!$D$3:$AK$38)+SUMPRODUCT((Capacity_Entsoe_SFS_2017!$A$3:$A$38='Abgleich Kapazität'!$A104)*(Capacity_Entsoe_SFS_2017!$D$1:$AL$1='Abgleich Kapazität'!S$79)*Capacity_Entsoe_SFS_2017!$D$3:$AK$38)+SUMPRODUCT((Capacity_Entsoe_SFS_2017!$A$3:$A$38='Abgleich Kapazität'!$A104)*(Capacity_Entsoe_SFS_2017!$D$1:$AL$1='Abgleich Kapazität'!S$78)*Capacity_Entsoe_SFS_2017!$D$3:$AK$38)+SUMPRODUCT((Capacity_Entsoe_SFS_2017!$A$3:$A$38='Abgleich Kapazität'!$A104)*(Capacity_Entsoe_SFS_2017!$D$1:$AL$1='Abgleich Kapazität'!S$77)*Capacity_Entsoe_SFS_2017!$D$3:$AK$38)+SUMPRODUCT((Capacity_Entsoe_SFS_2017!$A$3:$A$38='Abgleich Kapazität'!$A104)*(Capacity_Entsoe_SFS_2017!$D$1:$AL$1='Abgleich Kapazität'!S$76)*Capacity_Entsoe_SFS_2017!$D$3:$AK$38))/1000</f>
        <v>#VALUE!</v>
      </c>
      <c r="T104" s="58" t="e">
        <f>(SUMPRODUCT((Capacity_Entsoe_SFS_2017!$A$3:$A$38='Abgleich Kapazität'!$A104)*(Capacity_Entsoe_SFS_2017!$D$1:$AL$1='Abgleich Kapazität'!T$81)*Capacity_Entsoe_SFS_2017!$D$3:$AK$38)+SUMPRODUCT((Capacity_Entsoe_SFS_2017!$A$3:$A$38='Abgleich Kapazität'!$A104)*(Capacity_Entsoe_SFS_2017!$D$1:$AL$1='Abgleich Kapazität'!T$80)*Capacity_Entsoe_SFS_2017!$D$3:$AK$38)+SUMPRODUCT((Capacity_Entsoe_SFS_2017!$A$3:$A$38='Abgleich Kapazität'!$A104)*(Capacity_Entsoe_SFS_2017!$D$1:$AL$1='Abgleich Kapazität'!T$79)*Capacity_Entsoe_SFS_2017!$D$3:$AK$38)+SUMPRODUCT((Capacity_Entsoe_SFS_2017!$A$3:$A$38='Abgleich Kapazität'!$A104)*(Capacity_Entsoe_SFS_2017!$D$1:$AL$1='Abgleich Kapazität'!T$78)*Capacity_Entsoe_SFS_2017!$D$3:$AK$38)+SUMPRODUCT((Capacity_Entsoe_SFS_2017!$A$3:$A$38='Abgleich Kapazität'!$A104)*(Capacity_Entsoe_SFS_2017!$D$1:$AL$1='Abgleich Kapazität'!T$77)*Capacity_Entsoe_SFS_2017!$D$3:$AK$38)+SUMPRODUCT((Capacity_Entsoe_SFS_2017!$A$3:$A$38='Abgleich Kapazität'!$A104)*(Capacity_Entsoe_SFS_2017!$D$1:$AL$1='Abgleich Kapazität'!T$76)*Capacity_Entsoe_SFS_2017!$D$3:$AK$38))/1000</f>
        <v>#VALUE!</v>
      </c>
      <c r="U104" s="58" t="e">
        <f>(SUMPRODUCT((Capacity_Entsoe_SFS_2017!$A$3:$A$38='Abgleich Kapazität'!$A104)*(Capacity_Entsoe_SFS_2017!$D$1:$AL$1='Abgleich Kapazität'!U$81)*Capacity_Entsoe_SFS_2017!$D$3:$AK$38)+SUMPRODUCT((Capacity_Entsoe_SFS_2017!$A$3:$A$38='Abgleich Kapazität'!$A104)*(Capacity_Entsoe_SFS_2017!$D$1:$AL$1='Abgleich Kapazität'!U$80)*Capacity_Entsoe_SFS_2017!$D$3:$AK$38)+SUMPRODUCT((Capacity_Entsoe_SFS_2017!$A$3:$A$38='Abgleich Kapazität'!$A104)*(Capacity_Entsoe_SFS_2017!$D$1:$AL$1='Abgleich Kapazität'!U$79)*Capacity_Entsoe_SFS_2017!$D$3:$AK$38)+SUMPRODUCT((Capacity_Entsoe_SFS_2017!$A$3:$A$38='Abgleich Kapazität'!$A104)*(Capacity_Entsoe_SFS_2017!$D$1:$AL$1='Abgleich Kapazität'!U$78)*Capacity_Entsoe_SFS_2017!$D$3:$AK$38)+SUMPRODUCT((Capacity_Entsoe_SFS_2017!$A$3:$A$38='Abgleich Kapazität'!$A104)*(Capacity_Entsoe_SFS_2017!$D$1:$AL$1='Abgleich Kapazität'!U$77)*Capacity_Entsoe_SFS_2017!$D$3:$AK$38)+SUMPRODUCT((Capacity_Entsoe_SFS_2017!$A$3:$A$38='Abgleich Kapazität'!$A104)*(Capacity_Entsoe_SFS_2017!$D$1:$AL$1='Abgleich Kapazität'!U$76)*Capacity_Entsoe_SFS_2017!$D$3:$AK$38))/1000</f>
        <v>#VALUE!</v>
      </c>
      <c r="V104" s="59" t="e">
        <f t="shared" si="80"/>
        <v>#VALUE!</v>
      </c>
    </row>
    <row r="105" spans="1:22" x14ac:dyDescent="0.25">
      <c r="A105" s="14" t="s">
        <v>31</v>
      </c>
      <c r="B105" s="25" t="e">
        <f t="shared" si="77"/>
        <v>#VALUE!</v>
      </c>
      <c r="C105" s="26" t="e">
        <f>(SUMPRODUCT((Capacity_Entsoe_SFS_2017!$A$3:$A$38='Abgleich Kapazität'!$A105)*(Capacity_Entsoe_SFS_2017!$D$1:$AL$1='Abgleich Kapazität'!C$81)*Capacity_Entsoe_SFS_2017!$D$3:$AK$38)+SUMPRODUCT((Capacity_Entsoe_SFS_2017!$A$3:$A$38='Abgleich Kapazität'!$A105)*(Capacity_Entsoe_SFS_2017!$D$1:$AL$1='Abgleich Kapazität'!C$80)*Capacity_Entsoe_SFS_2017!$D$3:$AK$38)+SUMPRODUCT((Capacity_Entsoe_SFS_2017!$A$3:$A$38='Abgleich Kapazität'!$A105)*(Capacity_Entsoe_SFS_2017!$D$1:$AL$1='Abgleich Kapazität'!C$79)*Capacity_Entsoe_SFS_2017!$D$3:$AK$38)+SUMPRODUCT((Capacity_Entsoe_SFS_2017!$A$3:$A$38='Abgleich Kapazität'!$A105)*(Capacity_Entsoe_SFS_2017!$D$1:$AL$1='Abgleich Kapazität'!C$78)*Capacity_Entsoe_SFS_2017!$D$3:$AK$38))/1000</f>
        <v>#VALUE!</v>
      </c>
      <c r="D105" s="26" t="e">
        <f t="shared" si="78"/>
        <v>#VALUE!</v>
      </c>
      <c r="E105" s="26" t="e">
        <f>(SUMPRODUCT((Capacity_Entsoe_SFS_2017!$A$3:$A$38='Abgleich Kapazität'!$A105)*(Capacity_Entsoe_SFS_2017!$D$1:$AL$1='Abgleich Kapazität'!E$81)*Capacity_Entsoe_SFS_2017!$D$3:$AK$38)+SUMPRODUCT((Capacity_Entsoe_SFS_2017!$A$3:$A$38='Abgleich Kapazität'!$A105)*(Capacity_Entsoe_SFS_2017!$D$1:$AL$1='Abgleich Kapazität'!E$80)*Capacity_Entsoe_SFS_2017!$D$3:$AK$38)+SUMPRODUCT((Capacity_Entsoe_SFS_2017!$A$3:$A$38='Abgleich Kapazität'!$A105)*(Capacity_Entsoe_SFS_2017!$D$1:$AL$1='Abgleich Kapazität'!E$79)*Capacity_Entsoe_SFS_2017!$D$3:$AK$38)+SUMPRODUCT((Capacity_Entsoe_SFS_2017!$A$3:$A$38='Abgleich Kapazität'!$A105)*(Capacity_Entsoe_SFS_2017!$D$1:$AL$1='Abgleich Kapazität'!E$78)*Capacity_Entsoe_SFS_2017!$D$3:$AK$38))/1000</f>
        <v>#VALUE!</v>
      </c>
      <c r="F105" s="26" t="e">
        <f>(SUMPRODUCT((Capacity_Entsoe_SFS_2017!$A$3:$A$38='Abgleich Kapazität'!$A105)*(Capacity_Entsoe_SFS_2017!$D$1:$AL$1='Abgleich Kapazität'!F$81)*Capacity_Entsoe_SFS_2017!$D$3:$AK$38)+SUMPRODUCT((Capacity_Entsoe_SFS_2017!$A$3:$A$38='Abgleich Kapazität'!$A105)*(Capacity_Entsoe_SFS_2017!$D$1:$AL$1='Abgleich Kapazität'!F$80)*Capacity_Entsoe_SFS_2017!$D$3:$AK$38)+SUMPRODUCT((Capacity_Entsoe_SFS_2017!$A$3:$A$38='Abgleich Kapazität'!$A105)*(Capacity_Entsoe_SFS_2017!$D$1:$AL$1='Abgleich Kapazität'!F$79)*Capacity_Entsoe_SFS_2017!$D$3:$AK$38)+SUMPRODUCT((Capacity_Entsoe_SFS_2017!$A$3:$A$38='Abgleich Kapazität'!$A105)*(Capacity_Entsoe_SFS_2017!$D$1:$AL$1='Abgleich Kapazität'!F$78)*Capacity_Entsoe_SFS_2017!$D$3:$AK$38))/1000</f>
        <v>#VALUE!</v>
      </c>
      <c r="G105" s="26" t="e">
        <f>(SUMPRODUCT((Capacity_Entsoe_SFS_2017!$A$3:$A$38='Abgleich Kapazität'!$A105)*(Capacity_Entsoe_SFS_2017!$D$1:$AL$1='Abgleich Kapazität'!G$81)*Capacity_Entsoe_SFS_2017!$D$3:$AK$38)+SUMPRODUCT((Capacity_Entsoe_SFS_2017!$A$3:$A$38='Abgleich Kapazität'!$A105)*(Capacity_Entsoe_SFS_2017!$D$1:$AL$1='Abgleich Kapazität'!G$80)*Capacity_Entsoe_SFS_2017!$D$3:$AK$38)+SUMPRODUCT((Capacity_Entsoe_SFS_2017!$A$3:$A$38='Abgleich Kapazität'!$A105)*(Capacity_Entsoe_SFS_2017!$D$1:$AL$1='Abgleich Kapazität'!G$79)*Capacity_Entsoe_SFS_2017!$D$3:$AK$38)+SUMPRODUCT((Capacity_Entsoe_SFS_2017!$A$3:$A$38='Abgleich Kapazität'!$A105)*(Capacity_Entsoe_SFS_2017!$D$1:$AL$1='Abgleich Kapazität'!G$78)*Capacity_Entsoe_SFS_2017!$D$3:$AK$38))/1000</f>
        <v>#VALUE!</v>
      </c>
      <c r="H105" s="26" t="e">
        <f>(SUMPRODUCT((Capacity_Entsoe_SFS_2017!$A$3:$A$38='Abgleich Kapazität'!$A105)*(Capacity_Entsoe_SFS_2017!$D$1:$AL$1='Abgleich Kapazität'!H$81)*Capacity_Entsoe_SFS_2017!$D$3:$AK$38)+SUMPRODUCT((Capacity_Entsoe_SFS_2017!$A$3:$A$38='Abgleich Kapazität'!$A105)*(Capacity_Entsoe_SFS_2017!$D$1:$AL$1='Abgleich Kapazität'!H$80)*Capacity_Entsoe_SFS_2017!$D$3:$AK$38)+SUMPRODUCT((Capacity_Entsoe_SFS_2017!$A$3:$A$38='Abgleich Kapazität'!$A105)*(Capacity_Entsoe_SFS_2017!$D$1:$AL$1='Abgleich Kapazität'!H$79)*Capacity_Entsoe_SFS_2017!$D$3:$AK$38)+SUMPRODUCT((Capacity_Entsoe_SFS_2017!$A$3:$A$38='Abgleich Kapazität'!$A105)*(Capacity_Entsoe_SFS_2017!$D$1:$AL$1='Abgleich Kapazität'!H$78)*Capacity_Entsoe_SFS_2017!$D$3:$AK$38))/1000</f>
        <v>#VALUE!</v>
      </c>
      <c r="I105" s="26" t="e">
        <f>(SUMPRODUCT((Capacity_Entsoe_SFS_2017!$A$3:$A$38='Abgleich Kapazität'!$A105)*(Capacity_Entsoe_SFS_2017!$D$1:$AL$1='Abgleich Kapazität'!I$81)*Capacity_Entsoe_SFS_2017!$D$3:$AK$38)+SUMPRODUCT((Capacity_Entsoe_SFS_2017!$A$3:$A$38='Abgleich Kapazität'!$A105)*(Capacity_Entsoe_SFS_2017!$D$1:$AL$1='Abgleich Kapazität'!I$80)*Capacity_Entsoe_SFS_2017!$D$3:$AK$38)+SUMPRODUCT((Capacity_Entsoe_SFS_2017!$A$3:$A$38='Abgleich Kapazität'!$A105)*(Capacity_Entsoe_SFS_2017!$D$1:$AL$1='Abgleich Kapazität'!I$79)*Capacity_Entsoe_SFS_2017!$D$3:$AK$38)+SUMPRODUCT((Capacity_Entsoe_SFS_2017!$A$3:$A$38='Abgleich Kapazität'!$A105)*(Capacity_Entsoe_SFS_2017!$D$1:$AL$1='Abgleich Kapazität'!I$78)*Capacity_Entsoe_SFS_2017!$D$3:$AK$38))/1000</f>
        <v>#VALUE!</v>
      </c>
      <c r="J105" s="26" t="e">
        <f>(SUMPRODUCT((Capacity_Entsoe_SFS_2017!$A$3:$A$38='Abgleich Kapazität'!$A105)*(Capacity_Entsoe_SFS_2017!$D$1:$AL$1='Abgleich Kapazität'!J$81)*Capacity_Entsoe_SFS_2017!$D$3:$AK$38)+SUMPRODUCT((Capacity_Entsoe_SFS_2017!$A$3:$A$38='Abgleich Kapazität'!$A105)*(Capacity_Entsoe_SFS_2017!$D$1:$AL$1='Abgleich Kapazität'!J$80)*Capacity_Entsoe_SFS_2017!$D$3:$AK$38)+SUMPRODUCT((Capacity_Entsoe_SFS_2017!$A$3:$A$38='Abgleich Kapazität'!$A105)*(Capacity_Entsoe_SFS_2017!$D$1:$AL$1='Abgleich Kapazität'!J$79)*Capacity_Entsoe_SFS_2017!$D$3:$AK$38)+SUMPRODUCT((Capacity_Entsoe_SFS_2017!$A$3:$A$38='Abgleich Kapazität'!$A105)*(Capacity_Entsoe_SFS_2017!$D$1:$AL$1='Abgleich Kapazität'!J$78)*Capacity_Entsoe_SFS_2017!$D$3:$AK$38))/1000</f>
        <v>#VALUE!</v>
      </c>
      <c r="K105" s="27" t="e">
        <f t="shared" si="79"/>
        <v>#VALUE!</v>
      </c>
      <c r="L105" s="26" t="e">
        <f>(SUMPRODUCT((Capacity_Entsoe_SFS_2017!$A$3:$A$38='Abgleich Kapazität'!$A105)*(Capacity_Entsoe_SFS_2017!$D$1:$AL$1='Abgleich Kapazität'!L$81)*Capacity_Entsoe_SFS_2017!$D$3:$AK$38)+SUMPRODUCT((Capacity_Entsoe_SFS_2017!$A$3:$A$38='Abgleich Kapazität'!$A105)*(Capacity_Entsoe_SFS_2017!$D$1:$AL$1='Abgleich Kapazität'!L$80)*Capacity_Entsoe_SFS_2017!$D$3:$AK$38)+SUMPRODUCT((Capacity_Entsoe_SFS_2017!$A$3:$A$38='Abgleich Kapazität'!$A105)*(Capacity_Entsoe_SFS_2017!$D$1:$AL$1='Abgleich Kapazität'!L$79)*Capacity_Entsoe_SFS_2017!$D$3:$AK$38)+SUMPRODUCT((Capacity_Entsoe_SFS_2017!$A$3:$A$38='Abgleich Kapazität'!$A105)*(Capacity_Entsoe_SFS_2017!$D$1:$AL$1='Abgleich Kapazität'!L$78)*Capacity_Entsoe_SFS_2017!$D$3:$AK$38)+SUMPRODUCT((Capacity_Entsoe_SFS_2017!$A$3:$A$38='Abgleich Kapazität'!$A105)*(Capacity_Entsoe_SFS_2017!$D$1:$AL$1='Abgleich Kapazität'!L$77)*Capacity_Entsoe_SFS_2017!$D$3:$AK$38)+SUMPRODUCT((Capacity_Entsoe_SFS_2017!$A$3:$A$38='Abgleich Kapazität'!$A105)*(Capacity_Entsoe_SFS_2017!$D$1:$AL$1='Abgleich Kapazität'!L$76)*Capacity_Entsoe_SFS_2017!$D$3:$AK$38))/1000</f>
        <v>#VALUE!</v>
      </c>
      <c r="M105" s="26" t="e">
        <f>(SUMPRODUCT((Capacity_Entsoe_SFS_2017!$A$3:$A$38='Abgleich Kapazität'!$A105)*(Capacity_Entsoe_SFS_2017!$D$1:$AL$1='Abgleich Kapazität'!M$81)*Capacity_Entsoe_SFS_2017!$D$3:$AK$38)+SUMPRODUCT((Capacity_Entsoe_SFS_2017!$A$3:$A$38='Abgleich Kapazität'!$A105)*(Capacity_Entsoe_SFS_2017!$D$1:$AL$1='Abgleich Kapazität'!M$80)*Capacity_Entsoe_SFS_2017!$D$3:$AK$38)+SUMPRODUCT((Capacity_Entsoe_SFS_2017!$A$3:$A$38='Abgleich Kapazität'!$A105)*(Capacity_Entsoe_SFS_2017!$D$1:$AL$1='Abgleich Kapazität'!M$79)*Capacity_Entsoe_SFS_2017!$D$3:$AK$38)+SUMPRODUCT((Capacity_Entsoe_SFS_2017!$A$3:$A$38='Abgleich Kapazität'!$A105)*(Capacity_Entsoe_SFS_2017!$D$1:$AL$1='Abgleich Kapazität'!M$78)*Capacity_Entsoe_SFS_2017!$D$3:$AK$38)+SUMPRODUCT((Capacity_Entsoe_SFS_2017!$A$3:$A$38='Abgleich Kapazität'!$A105)*(Capacity_Entsoe_SFS_2017!$D$1:$AL$1='Abgleich Kapazität'!M$77)*Capacity_Entsoe_SFS_2017!$D$3:$AK$38)+SUMPRODUCT((Capacity_Entsoe_SFS_2017!$A$3:$A$38='Abgleich Kapazität'!$A105)*(Capacity_Entsoe_SFS_2017!$D$1:$AL$1='Abgleich Kapazität'!M$76)*Capacity_Entsoe_SFS_2017!$D$3:$AK$38))/1000</f>
        <v>#VALUE!</v>
      </c>
      <c r="N105" s="26" t="e">
        <f>(SUMPRODUCT((Capacity_Entsoe_SFS_2017!$A$3:$A$38='Abgleich Kapazität'!$A105)*(Capacity_Entsoe_SFS_2017!$D$1:$AL$1='Abgleich Kapazität'!N$81)*Capacity_Entsoe_SFS_2017!$D$3:$AK$38)+SUMPRODUCT((Capacity_Entsoe_SFS_2017!$A$3:$A$38='Abgleich Kapazität'!$A105)*(Capacity_Entsoe_SFS_2017!$D$1:$AL$1='Abgleich Kapazität'!N$80)*Capacity_Entsoe_SFS_2017!$D$3:$AK$38)+SUMPRODUCT((Capacity_Entsoe_SFS_2017!$A$3:$A$38='Abgleich Kapazität'!$A105)*(Capacity_Entsoe_SFS_2017!$D$1:$AL$1='Abgleich Kapazität'!N$79)*Capacity_Entsoe_SFS_2017!$D$3:$AK$38)+SUMPRODUCT((Capacity_Entsoe_SFS_2017!$A$3:$A$38='Abgleich Kapazität'!$A105)*(Capacity_Entsoe_SFS_2017!$D$1:$AL$1='Abgleich Kapazität'!N$78)*Capacity_Entsoe_SFS_2017!$D$3:$AK$38)+SUMPRODUCT((Capacity_Entsoe_SFS_2017!$A$3:$A$38='Abgleich Kapazität'!$A105)*(Capacity_Entsoe_SFS_2017!$D$1:$AL$1='Abgleich Kapazität'!N$77)*Capacity_Entsoe_SFS_2017!$D$3:$AK$38)+SUMPRODUCT((Capacity_Entsoe_SFS_2017!$A$3:$A$38='Abgleich Kapazität'!$A105)*(Capacity_Entsoe_SFS_2017!$D$1:$AL$1='Abgleich Kapazität'!N$76)*Capacity_Entsoe_SFS_2017!$D$3:$AK$38))/1000</f>
        <v>#VALUE!</v>
      </c>
      <c r="O105" s="26" t="e">
        <f>(SUMPRODUCT((Capacity_Entsoe_SFS_2017!$A$3:$A$38='Abgleich Kapazität'!$A105)*(Capacity_Entsoe_SFS_2017!$D$1:$AL$1='Abgleich Kapazität'!O$81)*Capacity_Entsoe_SFS_2017!$D$3:$AK$38)+SUMPRODUCT((Capacity_Entsoe_SFS_2017!$A$3:$A$38='Abgleich Kapazität'!$A105)*(Capacity_Entsoe_SFS_2017!$D$1:$AL$1='Abgleich Kapazität'!O$80)*Capacity_Entsoe_SFS_2017!$D$3:$AK$38)+SUMPRODUCT((Capacity_Entsoe_SFS_2017!$A$3:$A$38='Abgleich Kapazität'!$A105)*(Capacity_Entsoe_SFS_2017!$D$1:$AL$1='Abgleich Kapazität'!O$79)*Capacity_Entsoe_SFS_2017!$D$3:$AK$38)+SUMPRODUCT((Capacity_Entsoe_SFS_2017!$A$3:$A$38='Abgleich Kapazität'!$A105)*(Capacity_Entsoe_SFS_2017!$D$1:$AL$1='Abgleich Kapazität'!O$78)*Capacity_Entsoe_SFS_2017!$D$3:$AK$38)+SUMPRODUCT((Capacity_Entsoe_SFS_2017!$A$3:$A$38='Abgleich Kapazität'!$A105)*(Capacity_Entsoe_SFS_2017!$D$1:$AL$1='Abgleich Kapazität'!O$77)*Capacity_Entsoe_SFS_2017!$D$3:$AK$38)+SUMPRODUCT((Capacity_Entsoe_SFS_2017!$A$3:$A$38='Abgleich Kapazität'!$A105)*(Capacity_Entsoe_SFS_2017!$D$1:$AL$1='Abgleich Kapazität'!O$76)*Capacity_Entsoe_SFS_2017!$D$3:$AK$38))/1000</f>
        <v>#VALUE!</v>
      </c>
      <c r="P105" s="26" t="e">
        <f>(SUMPRODUCT((Capacity_Entsoe_SFS_2017!$A$3:$A$38='Abgleich Kapazität'!$A105)*(Capacity_Entsoe_SFS_2017!$D$1:$AL$1='Abgleich Kapazität'!P$81)*Capacity_Entsoe_SFS_2017!$D$3:$AK$38)+SUMPRODUCT((Capacity_Entsoe_SFS_2017!$A$3:$A$38='Abgleich Kapazität'!$A105)*(Capacity_Entsoe_SFS_2017!$D$1:$AL$1='Abgleich Kapazität'!P$80)*Capacity_Entsoe_SFS_2017!$D$3:$AK$38)+SUMPRODUCT((Capacity_Entsoe_SFS_2017!$A$3:$A$38='Abgleich Kapazität'!$A105)*(Capacity_Entsoe_SFS_2017!$D$1:$AL$1='Abgleich Kapazität'!P$79)*Capacity_Entsoe_SFS_2017!$D$3:$AK$38)+SUMPRODUCT((Capacity_Entsoe_SFS_2017!$A$3:$A$38='Abgleich Kapazität'!$A105)*(Capacity_Entsoe_SFS_2017!$D$1:$AL$1='Abgleich Kapazität'!P$78)*Capacity_Entsoe_SFS_2017!$D$3:$AK$38)+SUMPRODUCT((Capacity_Entsoe_SFS_2017!$A$3:$A$38='Abgleich Kapazität'!$A105)*(Capacity_Entsoe_SFS_2017!$D$1:$AL$1='Abgleich Kapazität'!P$77)*Capacity_Entsoe_SFS_2017!$D$3:$AK$38)+SUMPRODUCT((Capacity_Entsoe_SFS_2017!$A$3:$A$38='Abgleich Kapazität'!$A105)*(Capacity_Entsoe_SFS_2017!$D$1:$AL$1='Abgleich Kapazität'!P$76)*Capacity_Entsoe_SFS_2017!$D$3:$AK$38))/1000</f>
        <v>#VALUE!</v>
      </c>
      <c r="Q105" s="26" t="e">
        <f>(SUMPRODUCT((Capacity_Entsoe_SFS_2017!$A$3:$A$38='Abgleich Kapazität'!$A105)*(Capacity_Entsoe_SFS_2017!$D$1:$AL$1='Abgleich Kapazität'!Q$81)*Capacity_Entsoe_SFS_2017!$D$3:$AK$38)+SUMPRODUCT((Capacity_Entsoe_SFS_2017!$A$3:$A$38='Abgleich Kapazität'!$A105)*(Capacity_Entsoe_SFS_2017!$D$1:$AL$1='Abgleich Kapazität'!Q$80)*Capacity_Entsoe_SFS_2017!$D$3:$AK$38)+SUMPRODUCT((Capacity_Entsoe_SFS_2017!$A$3:$A$38='Abgleich Kapazität'!$A105)*(Capacity_Entsoe_SFS_2017!$D$1:$AL$1='Abgleich Kapazität'!Q$79)*Capacity_Entsoe_SFS_2017!$D$3:$AK$38)+SUMPRODUCT((Capacity_Entsoe_SFS_2017!$A$3:$A$38='Abgleich Kapazität'!$A105)*(Capacity_Entsoe_SFS_2017!$D$1:$AL$1='Abgleich Kapazität'!Q$78)*Capacity_Entsoe_SFS_2017!$D$3:$AK$38)+SUMPRODUCT((Capacity_Entsoe_SFS_2017!$A$3:$A$38='Abgleich Kapazität'!$A105)*(Capacity_Entsoe_SFS_2017!$D$1:$AL$1='Abgleich Kapazität'!Q$77)*Capacity_Entsoe_SFS_2017!$D$3:$AK$38)+SUMPRODUCT((Capacity_Entsoe_SFS_2017!$A$3:$A$38='Abgleich Kapazität'!$A105)*(Capacity_Entsoe_SFS_2017!$D$1:$AL$1='Abgleich Kapazität'!Q$76)*Capacity_Entsoe_SFS_2017!$D$3:$AK$38))/1000</f>
        <v>#VALUE!</v>
      </c>
      <c r="R105" s="26" t="e">
        <f>(SUMPRODUCT((Capacity_Entsoe_SFS_2017!$A$3:$A$38='Abgleich Kapazität'!$A105)*(Capacity_Entsoe_SFS_2017!$D$1:$AL$1='Abgleich Kapazität'!R$81)*Capacity_Entsoe_SFS_2017!$D$3:$AK$38)+SUMPRODUCT((Capacity_Entsoe_SFS_2017!$A$3:$A$38='Abgleich Kapazität'!$A105)*(Capacity_Entsoe_SFS_2017!$D$1:$AL$1='Abgleich Kapazität'!R$80)*Capacity_Entsoe_SFS_2017!$D$3:$AK$38)+SUMPRODUCT((Capacity_Entsoe_SFS_2017!$A$3:$A$38='Abgleich Kapazität'!$A105)*(Capacity_Entsoe_SFS_2017!$D$1:$AL$1='Abgleich Kapazität'!R$79)*Capacity_Entsoe_SFS_2017!$D$3:$AK$38)+SUMPRODUCT((Capacity_Entsoe_SFS_2017!$A$3:$A$38='Abgleich Kapazität'!$A105)*(Capacity_Entsoe_SFS_2017!$D$1:$AL$1='Abgleich Kapazität'!R$78)*Capacity_Entsoe_SFS_2017!$D$3:$AK$38)+SUMPRODUCT((Capacity_Entsoe_SFS_2017!$A$3:$A$38='Abgleich Kapazität'!$A105)*(Capacity_Entsoe_SFS_2017!$D$1:$AL$1='Abgleich Kapazität'!R$77)*Capacity_Entsoe_SFS_2017!$D$3:$AK$38)+SUMPRODUCT((Capacity_Entsoe_SFS_2017!$A$3:$A$38='Abgleich Kapazität'!$A105)*(Capacity_Entsoe_SFS_2017!$D$1:$AL$1='Abgleich Kapazität'!R$76)*Capacity_Entsoe_SFS_2017!$D$3:$AK$38))/1000</f>
        <v>#VALUE!</v>
      </c>
      <c r="S105" s="26" t="e">
        <f>(SUMPRODUCT((Capacity_Entsoe_SFS_2017!$A$3:$A$38='Abgleich Kapazität'!$A105)*(Capacity_Entsoe_SFS_2017!$D$1:$AL$1='Abgleich Kapazität'!S$81)*Capacity_Entsoe_SFS_2017!$D$3:$AK$38)+SUMPRODUCT((Capacity_Entsoe_SFS_2017!$A$3:$A$38='Abgleich Kapazität'!$A105)*(Capacity_Entsoe_SFS_2017!$D$1:$AL$1='Abgleich Kapazität'!S$80)*Capacity_Entsoe_SFS_2017!$D$3:$AK$38)+SUMPRODUCT((Capacity_Entsoe_SFS_2017!$A$3:$A$38='Abgleich Kapazität'!$A105)*(Capacity_Entsoe_SFS_2017!$D$1:$AL$1='Abgleich Kapazität'!S$79)*Capacity_Entsoe_SFS_2017!$D$3:$AK$38)+SUMPRODUCT((Capacity_Entsoe_SFS_2017!$A$3:$A$38='Abgleich Kapazität'!$A105)*(Capacity_Entsoe_SFS_2017!$D$1:$AL$1='Abgleich Kapazität'!S$78)*Capacity_Entsoe_SFS_2017!$D$3:$AK$38)+SUMPRODUCT((Capacity_Entsoe_SFS_2017!$A$3:$A$38='Abgleich Kapazität'!$A105)*(Capacity_Entsoe_SFS_2017!$D$1:$AL$1='Abgleich Kapazität'!S$77)*Capacity_Entsoe_SFS_2017!$D$3:$AK$38)+SUMPRODUCT((Capacity_Entsoe_SFS_2017!$A$3:$A$38='Abgleich Kapazität'!$A105)*(Capacity_Entsoe_SFS_2017!$D$1:$AL$1='Abgleich Kapazität'!S$76)*Capacity_Entsoe_SFS_2017!$D$3:$AK$38))/1000</f>
        <v>#VALUE!</v>
      </c>
      <c r="T105" s="26" t="e">
        <f>(SUMPRODUCT((Capacity_Entsoe_SFS_2017!$A$3:$A$38='Abgleich Kapazität'!$A105)*(Capacity_Entsoe_SFS_2017!$D$1:$AL$1='Abgleich Kapazität'!T$81)*Capacity_Entsoe_SFS_2017!$D$3:$AK$38)+SUMPRODUCT((Capacity_Entsoe_SFS_2017!$A$3:$A$38='Abgleich Kapazität'!$A105)*(Capacity_Entsoe_SFS_2017!$D$1:$AL$1='Abgleich Kapazität'!T$80)*Capacity_Entsoe_SFS_2017!$D$3:$AK$38)+SUMPRODUCT((Capacity_Entsoe_SFS_2017!$A$3:$A$38='Abgleich Kapazität'!$A105)*(Capacity_Entsoe_SFS_2017!$D$1:$AL$1='Abgleich Kapazität'!T$79)*Capacity_Entsoe_SFS_2017!$D$3:$AK$38)+SUMPRODUCT((Capacity_Entsoe_SFS_2017!$A$3:$A$38='Abgleich Kapazität'!$A105)*(Capacity_Entsoe_SFS_2017!$D$1:$AL$1='Abgleich Kapazität'!T$78)*Capacity_Entsoe_SFS_2017!$D$3:$AK$38)+SUMPRODUCT((Capacity_Entsoe_SFS_2017!$A$3:$A$38='Abgleich Kapazität'!$A105)*(Capacity_Entsoe_SFS_2017!$D$1:$AL$1='Abgleich Kapazität'!T$77)*Capacity_Entsoe_SFS_2017!$D$3:$AK$38)+SUMPRODUCT((Capacity_Entsoe_SFS_2017!$A$3:$A$38='Abgleich Kapazität'!$A105)*(Capacity_Entsoe_SFS_2017!$D$1:$AL$1='Abgleich Kapazität'!T$76)*Capacity_Entsoe_SFS_2017!$D$3:$AK$38))/1000</f>
        <v>#VALUE!</v>
      </c>
      <c r="U105" s="26" t="e">
        <f>(SUMPRODUCT((Capacity_Entsoe_SFS_2017!$A$3:$A$38='Abgleich Kapazität'!$A105)*(Capacity_Entsoe_SFS_2017!$D$1:$AL$1='Abgleich Kapazität'!U$81)*Capacity_Entsoe_SFS_2017!$D$3:$AK$38)+SUMPRODUCT((Capacity_Entsoe_SFS_2017!$A$3:$A$38='Abgleich Kapazität'!$A105)*(Capacity_Entsoe_SFS_2017!$D$1:$AL$1='Abgleich Kapazität'!U$80)*Capacity_Entsoe_SFS_2017!$D$3:$AK$38)+SUMPRODUCT((Capacity_Entsoe_SFS_2017!$A$3:$A$38='Abgleich Kapazität'!$A105)*(Capacity_Entsoe_SFS_2017!$D$1:$AL$1='Abgleich Kapazität'!U$79)*Capacity_Entsoe_SFS_2017!$D$3:$AK$38)+SUMPRODUCT((Capacity_Entsoe_SFS_2017!$A$3:$A$38='Abgleich Kapazität'!$A105)*(Capacity_Entsoe_SFS_2017!$D$1:$AL$1='Abgleich Kapazität'!U$78)*Capacity_Entsoe_SFS_2017!$D$3:$AK$38)+SUMPRODUCT((Capacity_Entsoe_SFS_2017!$A$3:$A$38='Abgleich Kapazität'!$A105)*(Capacity_Entsoe_SFS_2017!$D$1:$AL$1='Abgleich Kapazität'!U$77)*Capacity_Entsoe_SFS_2017!$D$3:$AK$38)+SUMPRODUCT((Capacity_Entsoe_SFS_2017!$A$3:$A$38='Abgleich Kapazität'!$A105)*(Capacity_Entsoe_SFS_2017!$D$1:$AL$1='Abgleich Kapazität'!U$76)*Capacity_Entsoe_SFS_2017!$D$3:$AK$38))/1000</f>
        <v>#VALUE!</v>
      </c>
      <c r="V105" s="27" t="e">
        <f t="shared" si="80"/>
        <v>#VALUE!</v>
      </c>
    </row>
    <row r="106" spans="1:22" x14ac:dyDescent="0.25">
      <c r="A106" s="14" t="s">
        <v>32</v>
      </c>
      <c r="B106" s="57" t="e">
        <f t="shared" si="77"/>
        <v>#VALUE!</v>
      </c>
      <c r="C106" s="58" t="e">
        <f>(SUMPRODUCT((Capacity_Entsoe_SFS_2017!$A$3:$A$38='Abgleich Kapazität'!$A106)*(Capacity_Entsoe_SFS_2017!$D$1:$AL$1='Abgleich Kapazität'!C$81)*Capacity_Entsoe_SFS_2017!$D$3:$AK$38)+SUMPRODUCT((Capacity_Entsoe_SFS_2017!$A$3:$A$38='Abgleich Kapazität'!$A106)*(Capacity_Entsoe_SFS_2017!$D$1:$AL$1='Abgleich Kapazität'!C$80)*Capacity_Entsoe_SFS_2017!$D$3:$AK$38)+SUMPRODUCT((Capacity_Entsoe_SFS_2017!$A$3:$A$38='Abgleich Kapazität'!$A106)*(Capacity_Entsoe_SFS_2017!$D$1:$AL$1='Abgleich Kapazität'!C$79)*Capacity_Entsoe_SFS_2017!$D$3:$AK$38)+SUMPRODUCT((Capacity_Entsoe_SFS_2017!$A$3:$A$38='Abgleich Kapazität'!$A106)*(Capacity_Entsoe_SFS_2017!$D$1:$AL$1='Abgleich Kapazität'!C$78)*Capacity_Entsoe_SFS_2017!$D$3:$AK$38))/1000</f>
        <v>#VALUE!</v>
      </c>
      <c r="D106" s="58" t="e">
        <f t="shared" si="78"/>
        <v>#VALUE!</v>
      </c>
      <c r="E106" s="58" t="e">
        <f>(SUMPRODUCT((Capacity_Entsoe_SFS_2017!$A$3:$A$38='Abgleich Kapazität'!$A106)*(Capacity_Entsoe_SFS_2017!$D$1:$AL$1='Abgleich Kapazität'!E$81)*Capacity_Entsoe_SFS_2017!$D$3:$AK$38)+SUMPRODUCT((Capacity_Entsoe_SFS_2017!$A$3:$A$38='Abgleich Kapazität'!$A106)*(Capacity_Entsoe_SFS_2017!$D$1:$AL$1='Abgleich Kapazität'!E$80)*Capacity_Entsoe_SFS_2017!$D$3:$AK$38)+SUMPRODUCT((Capacity_Entsoe_SFS_2017!$A$3:$A$38='Abgleich Kapazität'!$A106)*(Capacity_Entsoe_SFS_2017!$D$1:$AL$1='Abgleich Kapazität'!E$79)*Capacity_Entsoe_SFS_2017!$D$3:$AK$38)+SUMPRODUCT((Capacity_Entsoe_SFS_2017!$A$3:$A$38='Abgleich Kapazität'!$A106)*(Capacity_Entsoe_SFS_2017!$D$1:$AL$1='Abgleich Kapazität'!E$78)*Capacity_Entsoe_SFS_2017!$D$3:$AK$38))/1000</f>
        <v>#VALUE!</v>
      </c>
      <c r="F106" s="58" t="e">
        <f>(SUMPRODUCT((Capacity_Entsoe_SFS_2017!$A$3:$A$38='Abgleich Kapazität'!$A106)*(Capacity_Entsoe_SFS_2017!$D$1:$AL$1='Abgleich Kapazität'!F$81)*Capacity_Entsoe_SFS_2017!$D$3:$AK$38)+SUMPRODUCT((Capacity_Entsoe_SFS_2017!$A$3:$A$38='Abgleich Kapazität'!$A106)*(Capacity_Entsoe_SFS_2017!$D$1:$AL$1='Abgleich Kapazität'!F$80)*Capacity_Entsoe_SFS_2017!$D$3:$AK$38)+SUMPRODUCT((Capacity_Entsoe_SFS_2017!$A$3:$A$38='Abgleich Kapazität'!$A106)*(Capacity_Entsoe_SFS_2017!$D$1:$AL$1='Abgleich Kapazität'!F$79)*Capacity_Entsoe_SFS_2017!$D$3:$AK$38)+SUMPRODUCT((Capacity_Entsoe_SFS_2017!$A$3:$A$38='Abgleich Kapazität'!$A106)*(Capacity_Entsoe_SFS_2017!$D$1:$AL$1='Abgleich Kapazität'!F$78)*Capacity_Entsoe_SFS_2017!$D$3:$AK$38))/1000</f>
        <v>#VALUE!</v>
      </c>
      <c r="G106" s="58" t="e">
        <f>(SUMPRODUCT((Capacity_Entsoe_SFS_2017!$A$3:$A$38='Abgleich Kapazität'!$A106)*(Capacity_Entsoe_SFS_2017!$D$1:$AL$1='Abgleich Kapazität'!G$81)*Capacity_Entsoe_SFS_2017!$D$3:$AK$38)+SUMPRODUCT((Capacity_Entsoe_SFS_2017!$A$3:$A$38='Abgleich Kapazität'!$A106)*(Capacity_Entsoe_SFS_2017!$D$1:$AL$1='Abgleich Kapazität'!G$80)*Capacity_Entsoe_SFS_2017!$D$3:$AK$38)+SUMPRODUCT((Capacity_Entsoe_SFS_2017!$A$3:$A$38='Abgleich Kapazität'!$A106)*(Capacity_Entsoe_SFS_2017!$D$1:$AL$1='Abgleich Kapazität'!G$79)*Capacity_Entsoe_SFS_2017!$D$3:$AK$38)+SUMPRODUCT((Capacity_Entsoe_SFS_2017!$A$3:$A$38='Abgleich Kapazität'!$A106)*(Capacity_Entsoe_SFS_2017!$D$1:$AL$1='Abgleich Kapazität'!G$78)*Capacity_Entsoe_SFS_2017!$D$3:$AK$38))/1000</f>
        <v>#VALUE!</v>
      </c>
      <c r="H106" s="58" t="e">
        <f>(SUMPRODUCT((Capacity_Entsoe_SFS_2017!$A$3:$A$38='Abgleich Kapazität'!$A106)*(Capacity_Entsoe_SFS_2017!$D$1:$AL$1='Abgleich Kapazität'!H$81)*Capacity_Entsoe_SFS_2017!$D$3:$AK$38)+SUMPRODUCT((Capacity_Entsoe_SFS_2017!$A$3:$A$38='Abgleich Kapazität'!$A106)*(Capacity_Entsoe_SFS_2017!$D$1:$AL$1='Abgleich Kapazität'!H$80)*Capacity_Entsoe_SFS_2017!$D$3:$AK$38)+SUMPRODUCT((Capacity_Entsoe_SFS_2017!$A$3:$A$38='Abgleich Kapazität'!$A106)*(Capacity_Entsoe_SFS_2017!$D$1:$AL$1='Abgleich Kapazität'!H$79)*Capacity_Entsoe_SFS_2017!$D$3:$AK$38)+SUMPRODUCT((Capacity_Entsoe_SFS_2017!$A$3:$A$38='Abgleich Kapazität'!$A106)*(Capacity_Entsoe_SFS_2017!$D$1:$AL$1='Abgleich Kapazität'!H$78)*Capacity_Entsoe_SFS_2017!$D$3:$AK$38))/1000</f>
        <v>#VALUE!</v>
      </c>
      <c r="I106" s="58" t="e">
        <f>(SUMPRODUCT((Capacity_Entsoe_SFS_2017!$A$3:$A$38='Abgleich Kapazität'!$A106)*(Capacity_Entsoe_SFS_2017!$D$1:$AL$1='Abgleich Kapazität'!I$81)*Capacity_Entsoe_SFS_2017!$D$3:$AK$38)+SUMPRODUCT((Capacity_Entsoe_SFS_2017!$A$3:$A$38='Abgleich Kapazität'!$A106)*(Capacity_Entsoe_SFS_2017!$D$1:$AL$1='Abgleich Kapazität'!I$80)*Capacity_Entsoe_SFS_2017!$D$3:$AK$38)+SUMPRODUCT((Capacity_Entsoe_SFS_2017!$A$3:$A$38='Abgleich Kapazität'!$A106)*(Capacity_Entsoe_SFS_2017!$D$1:$AL$1='Abgleich Kapazität'!I$79)*Capacity_Entsoe_SFS_2017!$D$3:$AK$38)+SUMPRODUCT((Capacity_Entsoe_SFS_2017!$A$3:$A$38='Abgleich Kapazität'!$A106)*(Capacity_Entsoe_SFS_2017!$D$1:$AL$1='Abgleich Kapazität'!I$78)*Capacity_Entsoe_SFS_2017!$D$3:$AK$38))/1000</f>
        <v>#VALUE!</v>
      </c>
      <c r="J106" s="58" t="e">
        <f>(SUMPRODUCT((Capacity_Entsoe_SFS_2017!$A$3:$A$38='Abgleich Kapazität'!$A106)*(Capacity_Entsoe_SFS_2017!$D$1:$AL$1='Abgleich Kapazität'!J$81)*Capacity_Entsoe_SFS_2017!$D$3:$AK$38)+SUMPRODUCT((Capacity_Entsoe_SFS_2017!$A$3:$A$38='Abgleich Kapazität'!$A106)*(Capacity_Entsoe_SFS_2017!$D$1:$AL$1='Abgleich Kapazität'!J$80)*Capacity_Entsoe_SFS_2017!$D$3:$AK$38)+SUMPRODUCT((Capacity_Entsoe_SFS_2017!$A$3:$A$38='Abgleich Kapazität'!$A106)*(Capacity_Entsoe_SFS_2017!$D$1:$AL$1='Abgleich Kapazität'!J$79)*Capacity_Entsoe_SFS_2017!$D$3:$AK$38)+SUMPRODUCT((Capacity_Entsoe_SFS_2017!$A$3:$A$38='Abgleich Kapazität'!$A106)*(Capacity_Entsoe_SFS_2017!$D$1:$AL$1='Abgleich Kapazität'!J$78)*Capacity_Entsoe_SFS_2017!$D$3:$AK$38))/1000</f>
        <v>#VALUE!</v>
      </c>
      <c r="K106" s="59" t="e">
        <f t="shared" si="79"/>
        <v>#VALUE!</v>
      </c>
      <c r="L106" s="58" t="e">
        <f>(SUMPRODUCT((Capacity_Entsoe_SFS_2017!$A$3:$A$38='Abgleich Kapazität'!$A106)*(Capacity_Entsoe_SFS_2017!$D$1:$AL$1='Abgleich Kapazität'!L$81)*Capacity_Entsoe_SFS_2017!$D$3:$AK$38)+SUMPRODUCT((Capacity_Entsoe_SFS_2017!$A$3:$A$38='Abgleich Kapazität'!$A106)*(Capacity_Entsoe_SFS_2017!$D$1:$AL$1='Abgleich Kapazität'!L$80)*Capacity_Entsoe_SFS_2017!$D$3:$AK$38)+SUMPRODUCT((Capacity_Entsoe_SFS_2017!$A$3:$A$38='Abgleich Kapazität'!$A106)*(Capacity_Entsoe_SFS_2017!$D$1:$AL$1='Abgleich Kapazität'!L$79)*Capacity_Entsoe_SFS_2017!$D$3:$AK$38)+SUMPRODUCT((Capacity_Entsoe_SFS_2017!$A$3:$A$38='Abgleich Kapazität'!$A106)*(Capacity_Entsoe_SFS_2017!$D$1:$AL$1='Abgleich Kapazität'!L$78)*Capacity_Entsoe_SFS_2017!$D$3:$AK$38)+SUMPRODUCT((Capacity_Entsoe_SFS_2017!$A$3:$A$38='Abgleich Kapazität'!$A106)*(Capacity_Entsoe_SFS_2017!$D$1:$AL$1='Abgleich Kapazität'!L$77)*Capacity_Entsoe_SFS_2017!$D$3:$AK$38)+SUMPRODUCT((Capacity_Entsoe_SFS_2017!$A$3:$A$38='Abgleich Kapazität'!$A106)*(Capacity_Entsoe_SFS_2017!$D$1:$AL$1='Abgleich Kapazität'!L$76)*Capacity_Entsoe_SFS_2017!$D$3:$AK$38))/1000</f>
        <v>#VALUE!</v>
      </c>
      <c r="M106" s="58" t="e">
        <f>(SUMPRODUCT((Capacity_Entsoe_SFS_2017!$A$3:$A$38='Abgleich Kapazität'!$A106)*(Capacity_Entsoe_SFS_2017!$D$1:$AL$1='Abgleich Kapazität'!M$81)*Capacity_Entsoe_SFS_2017!$D$3:$AK$38)+SUMPRODUCT((Capacity_Entsoe_SFS_2017!$A$3:$A$38='Abgleich Kapazität'!$A106)*(Capacity_Entsoe_SFS_2017!$D$1:$AL$1='Abgleich Kapazität'!M$80)*Capacity_Entsoe_SFS_2017!$D$3:$AK$38)+SUMPRODUCT((Capacity_Entsoe_SFS_2017!$A$3:$A$38='Abgleich Kapazität'!$A106)*(Capacity_Entsoe_SFS_2017!$D$1:$AL$1='Abgleich Kapazität'!M$79)*Capacity_Entsoe_SFS_2017!$D$3:$AK$38)+SUMPRODUCT((Capacity_Entsoe_SFS_2017!$A$3:$A$38='Abgleich Kapazität'!$A106)*(Capacity_Entsoe_SFS_2017!$D$1:$AL$1='Abgleich Kapazität'!M$78)*Capacity_Entsoe_SFS_2017!$D$3:$AK$38)+SUMPRODUCT((Capacity_Entsoe_SFS_2017!$A$3:$A$38='Abgleich Kapazität'!$A106)*(Capacity_Entsoe_SFS_2017!$D$1:$AL$1='Abgleich Kapazität'!M$77)*Capacity_Entsoe_SFS_2017!$D$3:$AK$38)+SUMPRODUCT((Capacity_Entsoe_SFS_2017!$A$3:$A$38='Abgleich Kapazität'!$A106)*(Capacity_Entsoe_SFS_2017!$D$1:$AL$1='Abgleich Kapazität'!M$76)*Capacity_Entsoe_SFS_2017!$D$3:$AK$38))/1000</f>
        <v>#VALUE!</v>
      </c>
      <c r="N106" s="58" t="e">
        <f>(SUMPRODUCT((Capacity_Entsoe_SFS_2017!$A$3:$A$38='Abgleich Kapazität'!$A106)*(Capacity_Entsoe_SFS_2017!$D$1:$AL$1='Abgleich Kapazität'!N$81)*Capacity_Entsoe_SFS_2017!$D$3:$AK$38)+SUMPRODUCT((Capacity_Entsoe_SFS_2017!$A$3:$A$38='Abgleich Kapazität'!$A106)*(Capacity_Entsoe_SFS_2017!$D$1:$AL$1='Abgleich Kapazität'!N$80)*Capacity_Entsoe_SFS_2017!$D$3:$AK$38)+SUMPRODUCT((Capacity_Entsoe_SFS_2017!$A$3:$A$38='Abgleich Kapazität'!$A106)*(Capacity_Entsoe_SFS_2017!$D$1:$AL$1='Abgleich Kapazität'!N$79)*Capacity_Entsoe_SFS_2017!$D$3:$AK$38)+SUMPRODUCT((Capacity_Entsoe_SFS_2017!$A$3:$A$38='Abgleich Kapazität'!$A106)*(Capacity_Entsoe_SFS_2017!$D$1:$AL$1='Abgleich Kapazität'!N$78)*Capacity_Entsoe_SFS_2017!$D$3:$AK$38)+SUMPRODUCT((Capacity_Entsoe_SFS_2017!$A$3:$A$38='Abgleich Kapazität'!$A106)*(Capacity_Entsoe_SFS_2017!$D$1:$AL$1='Abgleich Kapazität'!N$77)*Capacity_Entsoe_SFS_2017!$D$3:$AK$38)+SUMPRODUCT((Capacity_Entsoe_SFS_2017!$A$3:$A$38='Abgleich Kapazität'!$A106)*(Capacity_Entsoe_SFS_2017!$D$1:$AL$1='Abgleich Kapazität'!N$76)*Capacity_Entsoe_SFS_2017!$D$3:$AK$38))/1000</f>
        <v>#VALUE!</v>
      </c>
      <c r="O106" s="58" t="e">
        <f>(SUMPRODUCT((Capacity_Entsoe_SFS_2017!$A$3:$A$38='Abgleich Kapazität'!$A106)*(Capacity_Entsoe_SFS_2017!$D$1:$AL$1='Abgleich Kapazität'!O$81)*Capacity_Entsoe_SFS_2017!$D$3:$AK$38)+SUMPRODUCT((Capacity_Entsoe_SFS_2017!$A$3:$A$38='Abgleich Kapazität'!$A106)*(Capacity_Entsoe_SFS_2017!$D$1:$AL$1='Abgleich Kapazität'!O$80)*Capacity_Entsoe_SFS_2017!$D$3:$AK$38)+SUMPRODUCT((Capacity_Entsoe_SFS_2017!$A$3:$A$38='Abgleich Kapazität'!$A106)*(Capacity_Entsoe_SFS_2017!$D$1:$AL$1='Abgleich Kapazität'!O$79)*Capacity_Entsoe_SFS_2017!$D$3:$AK$38)+SUMPRODUCT((Capacity_Entsoe_SFS_2017!$A$3:$A$38='Abgleich Kapazität'!$A106)*(Capacity_Entsoe_SFS_2017!$D$1:$AL$1='Abgleich Kapazität'!O$78)*Capacity_Entsoe_SFS_2017!$D$3:$AK$38)+SUMPRODUCT((Capacity_Entsoe_SFS_2017!$A$3:$A$38='Abgleich Kapazität'!$A106)*(Capacity_Entsoe_SFS_2017!$D$1:$AL$1='Abgleich Kapazität'!O$77)*Capacity_Entsoe_SFS_2017!$D$3:$AK$38)+SUMPRODUCT((Capacity_Entsoe_SFS_2017!$A$3:$A$38='Abgleich Kapazität'!$A106)*(Capacity_Entsoe_SFS_2017!$D$1:$AL$1='Abgleich Kapazität'!O$76)*Capacity_Entsoe_SFS_2017!$D$3:$AK$38))/1000</f>
        <v>#VALUE!</v>
      </c>
      <c r="P106" s="58" t="e">
        <f>(SUMPRODUCT((Capacity_Entsoe_SFS_2017!$A$3:$A$38='Abgleich Kapazität'!$A106)*(Capacity_Entsoe_SFS_2017!$D$1:$AL$1='Abgleich Kapazität'!P$81)*Capacity_Entsoe_SFS_2017!$D$3:$AK$38)+SUMPRODUCT((Capacity_Entsoe_SFS_2017!$A$3:$A$38='Abgleich Kapazität'!$A106)*(Capacity_Entsoe_SFS_2017!$D$1:$AL$1='Abgleich Kapazität'!P$80)*Capacity_Entsoe_SFS_2017!$D$3:$AK$38)+SUMPRODUCT((Capacity_Entsoe_SFS_2017!$A$3:$A$38='Abgleich Kapazität'!$A106)*(Capacity_Entsoe_SFS_2017!$D$1:$AL$1='Abgleich Kapazität'!P$79)*Capacity_Entsoe_SFS_2017!$D$3:$AK$38)+SUMPRODUCT((Capacity_Entsoe_SFS_2017!$A$3:$A$38='Abgleich Kapazität'!$A106)*(Capacity_Entsoe_SFS_2017!$D$1:$AL$1='Abgleich Kapazität'!P$78)*Capacity_Entsoe_SFS_2017!$D$3:$AK$38)+SUMPRODUCT((Capacity_Entsoe_SFS_2017!$A$3:$A$38='Abgleich Kapazität'!$A106)*(Capacity_Entsoe_SFS_2017!$D$1:$AL$1='Abgleich Kapazität'!P$77)*Capacity_Entsoe_SFS_2017!$D$3:$AK$38)+SUMPRODUCT((Capacity_Entsoe_SFS_2017!$A$3:$A$38='Abgleich Kapazität'!$A106)*(Capacity_Entsoe_SFS_2017!$D$1:$AL$1='Abgleich Kapazität'!P$76)*Capacity_Entsoe_SFS_2017!$D$3:$AK$38))/1000</f>
        <v>#VALUE!</v>
      </c>
      <c r="Q106" s="58" t="e">
        <f>(SUMPRODUCT((Capacity_Entsoe_SFS_2017!$A$3:$A$38='Abgleich Kapazität'!$A106)*(Capacity_Entsoe_SFS_2017!$D$1:$AL$1='Abgleich Kapazität'!Q$81)*Capacity_Entsoe_SFS_2017!$D$3:$AK$38)+SUMPRODUCT((Capacity_Entsoe_SFS_2017!$A$3:$A$38='Abgleich Kapazität'!$A106)*(Capacity_Entsoe_SFS_2017!$D$1:$AL$1='Abgleich Kapazität'!Q$80)*Capacity_Entsoe_SFS_2017!$D$3:$AK$38)+SUMPRODUCT((Capacity_Entsoe_SFS_2017!$A$3:$A$38='Abgleich Kapazität'!$A106)*(Capacity_Entsoe_SFS_2017!$D$1:$AL$1='Abgleich Kapazität'!Q$79)*Capacity_Entsoe_SFS_2017!$D$3:$AK$38)+SUMPRODUCT((Capacity_Entsoe_SFS_2017!$A$3:$A$38='Abgleich Kapazität'!$A106)*(Capacity_Entsoe_SFS_2017!$D$1:$AL$1='Abgleich Kapazität'!Q$78)*Capacity_Entsoe_SFS_2017!$D$3:$AK$38)+SUMPRODUCT((Capacity_Entsoe_SFS_2017!$A$3:$A$38='Abgleich Kapazität'!$A106)*(Capacity_Entsoe_SFS_2017!$D$1:$AL$1='Abgleich Kapazität'!Q$77)*Capacity_Entsoe_SFS_2017!$D$3:$AK$38)+SUMPRODUCT((Capacity_Entsoe_SFS_2017!$A$3:$A$38='Abgleich Kapazität'!$A106)*(Capacity_Entsoe_SFS_2017!$D$1:$AL$1='Abgleich Kapazität'!Q$76)*Capacity_Entsoe_SFS_2017!$D$3:$AK$38))/1000</f>
        <v>#VALUE!</v>
      </c>
      <c r="R106" s="58" t="e">
        <f>(SUMPRODUCT((Capacity_Entsoe_SFS_2017!$A$3:$A$38='Abgleich Kapazität'!$A106)*(Capacity_Entsoe_SFS_2017!$D$1:$AL$1='Abgleich Kapazität'!R$81)*Capacity_Entsoe_SFS_2017!$D$3:$AK$38)+SUMPRODUCT((Capacity_Entsoe_SFS_2017!$A$3:$A$38='Abgleich Kapazität'!$A106)*(Capacity_Entsoe_SFS_2017!$D$1:$AL$1='Abgleich Kapazität'!R$80)*Capacity_Entsoe_SFS_2017!$D$3:$AK$38)+SUMPRODUCT((Capacity_Entsoe_SFS_2017!$A$3:$A$38='Abgleich Kapazität'!$A106)*(Capacity_Entsoe_SFS_2017!$D$1:$AL$1='Abgleich Kapazität'!R$79)*Capacity_Entsoe_SFS_2017!$D$3:$AK$38)+SUMPRODUCT((Capacity_Entsoe_SFS_2017!$A$3:$A$38='Abgleich Kapazität'!$A106)*(Capacity_Entsoe_SFS_2017!$D$1:$AL$1='Abgleich Kapazität'!R$78)*Capacity_Entsoe_SFS_2017!$D$3:$AK$38)+SUMPRODUCT((Capacity_Entsoe_SFS_2017!$A$3:$A$38='Abgleich Kapazität'!$A106)*(Capacity_Entsoe_SFS_2017!$D$1:$AL$1='Abgleich Kapazität'!R$77)*Capacity_Entsoe_SFS_2017!$D$3:$AK$38)+SUMPRODUCT((Capacity_Entsoe_SFS_2017!$A$3:$A$38='Abgleich Kapazität'!$A106)*(Capacity_Entsoe_SFS_2017!$D$1:$AL$1='Abgleich Kapazität'!R$76)*Capacity_Entsoe_SFS_2017!$D$3:$AK$38))/1000</f>
        <v>#VALUE!</v>
      </c>
      <c r="S106" s="58" t="e">
        <f>(SUMPRODUCT((Capacity_Entsoe_SFS_2017!$A$3:$A$38='Abgleich Kapazität'!$A106)*(Capacity_Entsoe_SFS_2017!$D$1:$AL$1='Abgleich Kapazität'!S$81)*Capacity_Entsoe_SFS_2017!$D$3:$AK$38)+SUMPRODUCT((Capacity_Entsoe_SFS_2017!$A$3:$A$38='Abgleich Kapazität'!$A106)*(Capacity_Entsoe_SFS_2017!$D$1:$AL$1='Abgleich Kapazität'!S$80)*Capacity_Entsoe_SFS_2017!$D$3:$AK$38)+SUMPRODUCT((Capacity_Entsoe_SFS_2017!$A$3:$A$38='Abgleich Kapazität'!$A106)*(Capacity_Entsoe_SFS_2017!$D$1:$AL$1='Abgleich Kapazität'!S$79)*Capacity_Entsoe_SFS_2017!$D$3:$AK$38)+SUMPRODUCT((Capacity_Entsoe_SFS_2017!$A$3:$A$38='Abgleich Kapazität'!$A106)*(Capacity_Entsoe_SFS_2017!$D$1:$AL$1='Abgleich Kapazität'!S$78)*Capacity_Entsoe_SFS_2017!$D$3:$AK$38)+SUMPRODUCT((Capacity_Entsoe_SFS_2017!$A$3:$A$38='Abgleich Kapazität'!$A106)*(Capacity_Entsoe_SFS_2017!$D$1:$AL$1='Abgleich Kapazität'!S$77)*Capacity_Entsoe_SFS_2017!$D$3:$AK$38)+SUMPRODUCT((Capacity_Entsoe_SFS_2017!$A$3:$A$38='Abgleich Kapazität'!$A106)*(Capacity_Entsoe_SFS_2017!$D$1:$AL$1='Abgleich Kapazität'!S$76)*Capacity_Entsoe_SFS_2017!$D$3:$AK$38))/1000</f>
        <v>#VALUE!</v>
      </c>
      <c r="T106" s="58" t="e">
        <f>(SUMPRODUCT((Capacity_Entsoe_SFS_2017!$A$3:$A$38='Abgleich Kapazität'!$A106)*(Capacity_Entsoe_SFS_2017!$D$1:$AL$1='Abgleich Kapazität'!T$81)*Capacity_Entsoe_SFS_2017!$D$3:$AK$38)+SUMPRODUCT((Capacity_Entsoe_SFS_2017!$A$3:$A$38='Abgleich Kapazität'!$A106)*(Capacity_Entsoe_SFS_2017!$D$1:$AL$1='Abgleich Kapazität'!T$80)*Capacity_Entsoe_SFS_2017!$D$3:$AK$38)+SUMPRODUCT((Capacity_Entsoe_SFS_2017!$A$3:$A$38='Abgleich Kapazität'!$A106)*(Capacity_Entsoe_SFS_2017!$D$1:$AL$1='Abgleich Kapazität'!T$79)*Capacity_Entsoe_SFS_2017!$D$3:$AK$38)+SUMPRODUCT((Capacity_Entsoe_SFS_2017!$A$3:$A$38='Abgleich Kapazität'!$A106)*(Capacity_Entsoe_SFS_2017!$D$1:$AL$1='Abgleich Kapazität'!T$78)*Capacity_Entsoe_SFS_2017!$D$3:$AK$38)+SUMPRODUCT((Capacity_Entsoe_SFS_2017!$A$3:$A$38='Abgleich Kapazität'!$A106)*(Capacity_Entsoe_SFS_2017!$D$1:$AL$1='Abgleich Kapazität'!T$77)*Capacity_Entsoe_SFS_2017!$D$3:$AK$38)+SUMPRODUCT((Capacity_Entsoe_SFS_2017!$A$3:$A$38='Abgleich Kapazität'!$A106)*(Capacity_Entsoe_SFS_2017!$D$1:$AL$1='Abgleich Kapazität'!T$76)*Capacity_Entsoe_SFS_2017!$D$3:$AK$38))/1000</f>
        <v>#VALUE!</v>
      </c>
      <c r="U106" s="58" t="e">
        <f>(SUMPRODUCT((Capacity_Entsoe_SFS_2017!$A$3:$A$38='Abgleich Kapazität'!$A106)*(Capacity_Entsoe_SFS_2017!$D$1:$AL$1='Abgleich Kapazität'!U$81)*Capacity_Entsoe_SFS_2017!$D$3:$AK$38)+SUMPRODUCT((Capacity_Entsoe_SFS_2017!$A$3:$A$38='Abgleich Kapazität'!$A106)*(Capacity_Entsoe_SFS_2017!$D$1:$AL$1='Abgleich Kapazität'!U$80)*Capacity_Entsoe_SFS_2017!$D$3:$AK$38)+SUMPRODUCT((Capacity_Entsoe_SFS_2017!$A$3:$A$38='Abgleich Kapazität'!$A106)*(Capacity_Entsoe_SFS_2017!$D$1:$AL$1='Abgleich Kapazität'!U$79)*Capacity_Entsoe_SFS_2017!$D$3:$AK$38)+SUMPRODUCT((Capacity_Entsoe_SFS_2017!$A$3:$A$38='Abgleich Kapazität'!$A106)*(Capacity_Entsoe_SFS_2017!$D$1:$AL$1='Abgleich Kapazität'!U$78)*Capacity_Entsoe_SFS_2017!$D$3:$AK$38)+SUMPRODUCT((Capacity_Entsoe_SFS_2017!$A$3:$A$38='Abgleich Kapazität'!$A106)*(Capacity_Entsoe_SFS_2017!$D$1:$AL$1='Abgleich Kapazität'!U$77)*Capacity_Entsoe_SFS_2017!$D$3:$AK$38)+SUMPRODUCT((Capacity_Entsoe_SFS_2017!$A$3:$A$38='Abgleich Kapazität'!$A106)*(Capacity_Entsoe_SFS_2017!$D$1:$AL$1='Abgleich Kapazität'!U$76)*Capacity_Entsoe_SFS_2017!$D$3:$AK$38))/1000</f>
        <v>#VALUE!</v>
      </c>
      <c r="V106" s="59" t="e">
        <f t="shared" si="80"/>
        <v>#VALUE!</v>
      </c>
    </row>
    <row r="107" spans="1:22" x14ac:dyDescent="0.25">
      <c r="A107" s="14" t="s">
        <v>33</v>
      </c>
      <c r="B107" s="25" t="e">
        <f t="shared" si="77"/>
        <v>#VALUE!</v>
      </c>
      <c r="C107" s="26" t="e">
        <f>(SUMPRODUCT((Capacity_Entsoe_SFS_2017!$A$3:$A$38='Abgleich Kapazität'!$A107)*(Capacity_Entsoe_SFS_2017!$D$1:$AL$1='Abgleich Kapazität'!C$81)*Capacity_Entsoe_SFS_2017!$D$3:$AK$38)+SUMPRODUCT((Capacity_Entsoe_SFS_2017!$A$3:$A$38='Abgleich Kapazität'!$A107)*(Capacity_Entsoe_SFS_2017!$D$1:$AL$1='Abgleich Kapazität'!C$80)*Capacity_Entsoe_SFS_2017!$D$3:$AK$38)+SUMPRODUCT((Capacity_Entsoe_SFS_2017!$A$3:$A$38='Abgleich Kapazität'!$A107)*(Capacity_Entsoe_SFS_2017!$D$1:$AL$1='Abgleich Kapazität'!C$79)*Capacity_Entsoe_SFS_2017!$D$3:$AK$38)+SUMPRODUCT((Capacity_Entsoe_SFS_2017!$A$3:$A$38='Abgleich Kapazität'!$A107)*(Capacity_Entsoe_SFS_2017!$D$1:$AL$1='Abgleich Kapazität'!C$78)*Capacity_Entsoe_SFS_2017!$D$3:$AK$38))/1000</f>
        <v>#VALUE!</v>
      </c>
      <c r="D107" s="26" t="e">
        <f t="shared" si="78"/>
        <v>#VALUE!</v>
      </c>
      <c r="E107" s="26" t="e">
        <f>(SUMPRODUCT((Capacity_Entsoe_SFS_2017!$A$3:$A$38='Abgleich Kapazität'!$A107)*(Capacity_Entsoe_SFS_2017!$D$1:$AL$1='Abgleich Kapazität'!E$81)*Capacity_Entsoe_SFS_2017!$D$3:$AK$38)+SUMPRODUCT((Capacity_Entsoe_SFS_2017!$A$3:$A$38='Abgleich Kapazität'!$A107)*(Capacity_Entsoe_SFS_2017!$D$1:$AL$1='Abgleich Kapazität'!E$80)*Capacity_Entsoe_SFS_2017!$D$3:$AK$38)+SUMPRODUCT((Capacity_Entsoe_SFS_2017!$A$3:$A$38='Abgleich Kapazität'!$A107)*(Capacity_Entsoe_SFS_2017!$D$1:$AL$1='Abgleich Kapazität'!E$79)*Capacity_Entsoe_SFS_2017!$D$3:$AK$38)+SUMPRODUCT((Capacity_Entsoe_SFS_2017!$A$3:$A$38='Abgleich Kapazität'!$A107)*(Capacity_Entsoe_SFS_2017!$D$1:$AL$1='Abgleich Kapazität'!E$78)*Capacity_Entsoe_SFS_2017!$D$3:$AK$38))/1000</f>
        <v>#VALUE!</v>
      </c>
      <c r="F107" s="26" t="e">
        <f>(SUMPRODUCT((Capacity_Entsoe_SFS_2017!$A$3:$A$38='Abgleich Kapazität'!$A107)*(Capacity_Entsoe_SFS_2017!$D$1:$AL$1='Abgleich Kapazität'!F$81)*Capacity_Entsoe_SFS_2017!$D$3:$AK$38)+SUMPRODUCT((Capacity_Entsoe_SFS_2017!$A$3:$A$38='Abgleich Kapazität'!$A107)*(Capacity_Entsoe_SFS_2017!$D$1:$AL$1='Abgleich Kapazität'!F$80)*Capacity_Entsoe_SFS_2017!$D$3:$AK$38)+SUMPRODUCT((Capacity_Entsoe_SFS_2017!$A$3:$A$38='Abgleich Kapazität'!$A107)*(Capacity_Entsoe_SFS_2017!$D$1:$AL$1='Abgleich Kapazität'!F$79)*Capacity_Entsoe_SFS_2017!$D$3:$AK$38)+SUMPRODUCT((Capacity_Entsoe_SFS_2017!$A$3:$A$38='Abgleich Kapazität'!$A107)*(Capacity_Entsoe_SFS_2017!$D$1:$AL$1='Abgleich Kapazität'!F$78)*Capacity_Entsoe_SFS_2017!$D$3:$AK$38))/1000</f>
        <v>#VALUE!</v>
      </c>
      <c r="G107" s="26" t="e">
        <f>(SUMPRODUCT((Capacity_Entsoe_SFS_2017!$A$3:$A$38='Abgleich Kapazität'!$A107)*(Capacity_Entsoe_SFS_2017!$D$1:$AL$1='Abgleich Kapazität'!G$81)*Capacity_Entsoe_SFS_2017!$D$3:$AK$38)+SUMPRODUCT((Capacity_Entsoe_SFS_2017!$A$3:$A$38='Abgleich Kapazität'!$A107)*(Capacity_Entsoe_SFS_2017!$D$1:$AL$1='Abgleich Kapazität'!G$80)*Capacity_Entsoe_SFS_2017!$D$3:$AK$38)+SUMPRODUCT((Capacity_Entsoe_SFS_2017!$A$3:$A$38='Abgleich Kapazität'!$A107)*(Capacity_Entsoe_SFS_2017!$D$1:$AL$1='Abgleich Kapazität'!G$79)*Capacity_Entsoe_SFS_2017!$D$3:$AK$38)+SUMPRODUCT((Capacity_Entsoe_SFS_2017!$A$3:$A$38='Abgleich Kapazität'!$A107)*(Capacity_Entsoe_SFS_2017!$D$1:$AL$1='Abgleich Kapazität'!G$78)*Capacity_Entsoe_SFS_2017!$D$3:$AK$38))/1000</f>
        <v>#VALUE!</v>
      </c>
      <c r="H107" s="26" t="e">
        <f>(SUMPRODUCT((Capacity_Entsoe_SFS_2017!$A$3:$A$38='Abgleich Kapazität'!$A107)*(Capacity_Entsoe_SFS_2017!$D$1:$AL$1='Abgleich Kapazität'!H$81)*Capacity_Entsoe_SFS_2017!$D$3:$AK$38)+SUMPRODUCT((Capacity_Entsoe_SFS_2017!$A$3:$A$38='Abgleich Kapazität'!$A107)*(Capacity_Entsoe_SFS_2017!$D$1:$AL$1='Abgleich Kapazität'!H$80)*Capacity_Entsoe_SFS_2017!$D$3:$AK$38)+SUMPRODUCT((Capacity_Entsoe_SFS_2017!$A$3:$A$38='Abgleich Kapazität'!$A107)*(Capacity_Entsoe_SFS_2017!$D$1:$AL$1='Abgleich Kapazität'!H$79)*Capacity_Entsoe_SFS_2017!$D$3:$AK$38)+SUMPRODUCT((Capacity_Entsoe_SFS_2017!$A$3:$A$38='Abgleich Kapazität'!$A107)*(Capacity_Entsoe_SFS_2017!$D$1:$AL$1='Abgleich Kapazität'!H$78)*Capacity_Entsoe_SFS_2017!$D$3:$AK$38))/1000</f>
        <v>#VALUE!</v>
      </c>
      <c r="I107" s="26" t="e">
        <f>(SUMPRODUCT((Capacity_Entsoe_SFS_2017!$A$3:$A$38='Abgleich Kapazität'!$A107)*(Capacity_Entsoe_SFS_2017!$D$1:$AL$1='Abgleich Kapazität'!I$81)*Capacity_Entsoe_SFS_2017!$D$3:$AK$38)+SUMPRODUCT((Capacity_Entsoe_SFS_2017!$A$3:$A$38='Abgleich Kapazität'!$A107)*(Capacity_Entsoe_SFS_2017!$D$1:$AL$1='Abgleich Kapazität'!I$80)*Capacity_Entsoe_SFS_2017!$D$3:$AK$38)+SUMPRODUCT((Capacity_Entsoe_SFS_2017!$A$3:$A$38='Abgleich Kapazität'!$A107)*(Capacity_Entsoe_SFS_2017!$D$1:$AL$1='Abgleich Kapazität'!I$79)*Capacity_Entsoe_SFS_2017!$D$3:$AK$38)+SUMPRODUCT((Capacity_Entsoe_SFS_2017!$A$3:$A$38='Abgleich Kapazität'!$A107)*(Capacity_Entsoe_SFS_2017!$D$1:$AL$1='Abgleich Kapazität'!I$78)*Capacity_Entsoe_SFS_2017!$D$3:$AK$38))/1000</f>
        <v>#VALUE!</v>
      </c>
      <c r="J107" s="26" t="e">
        <f>(SUMPRODUCT((Capacity_Entsoe_SFS_2017!$A$3:$A$38='Abgleich Kapazität'!$A107)*(Capacity_Entsoe_SFS_2017!$D$1:$AL$1='Abgleich Kapazität'!J$81)*Capacity_Entsoe_SFS_2017!$D$3:$AK$38)+SUMPRODUCT((Capacity_Entsoe_SFS_2017!$A$3:$A$38='Abgleich Kapazität'!$A107)*(Capacity_Entsoe_SFS_2017!$D$1:$AL$1='Abgleich Kapazität'!J$80)*Capacity_Entsoe_SFS_2017!$D$3:$AK$38)+SUMPRODUCT((Capacity_Entsoe_SFS_2017!$A$3:$A$38='Abgleich Kapazität'!$A107)*(Capacity_Entsoe_SFS_2017!$D$1:$AL$1='Abgleich Kapazität'!J$79)*Capacity_Entsoe_SFS_2017!$D$3:$AK$38)+SUMPRODUCT((Capacity_Entsoe_SFS_2017!$A$3:$A$38='Abgleich Kapazität'!$A107)*(Capacity_Entsoe_SFS_2017!$D$1:$AL$1='Abgleich Kapazität'!J$78)*Capacity_Entsoe_SFS_2017!$D$3:$AK$38))/1000</f>
        <v>#VALUE!</v>
      </c>
      <c r="K107" s="27" t="e">
        <f t="shared" si="79"/>
        <v>#VALUE!</v>
      </c>
      <c r="L107" s="26" t="e">
        <f>(SUMPRODUCT((Capacity_Entsoe_SFS_2017!$A$3:$A$38='Abgleich Kapazität'!$A107)*(Capacity_Entsoe_SFS_2017!$D$1:$AL$1='Abgleich Kapazität'!L$81)*Capacity_Entsoe_SFS_2017!$D$3:$AK$38)+SUMPRODUCT((Capacity_Entsoe_SFS_2017!$A$3:$A$38='Abgleich Kapazität'!$A107)*(Capacity_Entsoe_SFS_2017!$D$1:$AL$1='Abgleich Kapazität'!L$80)*Capacity_Entsoe_SFS_2017!$D$3:$AK$38)+SUMPRODUCT((Capacity_Entsoe_SFS_2017!$A$3:$A$38='Abgleich Kapazität'!$A107)*(Capacity_Entsoe_SFS_2017!$D$1:$AL$1='Abgleich Kapazität'!L$79)*Capacity_Entsoe_SFS_2017!$D$3:$AK$38)+SUMPRODUCT((Capacity_Entsoe_SFS_2017!$A$3:$A$38='Abgleich Kapazität'!$A107)*(Capacity_Entsoe_SFS_2017!$D$1:$AL$1='Abgleich Kapazität'!L$78)*Capacity_Entsoe_SFS_2017!$D$3:$AK$38)+SUMPRODUCT((Capacity_Entsoe_SFS_2017!$A$3:$A$38='Abgleich Kapazität'!$A107)*(Capacity_Entsoe_SFS_2017!$D$1:$AL$1='Abgleich Kapazität'!L$77)*Capacity_Entsoe_SFS_2017!$D$3:$AK$38)+SUMPRODUCT((Capacity_Entsoe_SFS_2017!$A$3:$A$38='Abgleich Kapazität'!$A107)*(Capacity_Entsoe_SFS_2017!$D$1:$AL$1='Abgleich Kapazität'!L$76)*Capacity_Entsoe_SFS_2017!$D$3:$AK$38))/1000</f>
        <v>#VALUE!</v>
      </c>
      <c r="M107" s="26" t="e">
        <f>(SUMPRODUCT((Capacity_Entsoe_SFS_2017!$A$3:$A$38='Abgleich Kapazität'!$A107)*(Capacity_Entsoe_SFS_2017!$D$1:$AL$1='Abgleich Kapazität'!M$81)*Capacity_Entsoe_SFS_2017!$D$3:$AK$38)+SUMPRODUCT((Capacity_Entsoe_SFS_2017!$A$3:$A$38='Abgleich Kapazität'!$A107)*(Capacity_Entsoe_SFS_2017!$D$1:$AL$1='Abgleich Kapazität'!M$80)*Capacity_Entsoe_SFS_2017!$D$3:$AK$38)+SUMPRODUCT((Capacity_Entsoe_SFS_2017!$A$3:$A$38='Abgleich Kapazität'!$A107)*(Capacity_Entsoe_SFS_2017!$D$1:$AL$1='Abgleich Kapazität'!M$79)*Capacity_Entsoe_SFS_2017!$D$3:$AK$38)+SUMPRODUCT((Capacity_Entsoe_SFS_2017!$A$3:$A$38='Abgleich Kapazität'!$A107)*(Capacity_Entsoe_SFS_2017!$D$1:$AL$1='Abgleich Kapazität'!M$78)*Capacity_Entsoe_SFS_2017!$D$3:$AK$38)+SUMPRODUCT((Capacity_Entsoe_SFS_2017!$A$3:$A$38='Abgleich Kapazität'!$A107)*(Capacity_Entsoe_SFS_2017!$D$1:$AL$1='Abgleich Kapazität'!M$77)*Capacity_Entsoe_SFS_2017!$D$3:$AK$38)+SUMPRODUCT((Capacity_Entsoe_SFS_2017!$A$3:$A$38='Abgleich Kapazität'!$A107)*(Capacity_Entsoe_SFS_2017!$D$1:$AL$1='Abgleich Kapazität'!M$76)*Capacity_Entsoe_SFS_2017!$D$3:$AK$38))/1000</f>
        <v>#VALUE!</v>
      </c>
      <c r="N107" s="26" t="e">
        <f>(SUMPRODUCT((Capacity_Entsoe_SFS_2017!$A$3:$A$38='Abgleich Kapazität'!$A107)*(Capacity_Entsoe_SFS_2017!$D$1:$AL$1='Abgleich Kapazität'!N$81)*Capacity_Entsoe_SFS_2017!$D$3:$AK$38)+SUMPRODUCT((Capacity_Entsoe_SFS_2017!$A$3:$A$38='Abgleich Kapazität'!$A107)*(Capacity_Entsoe_SFS_2017!$D$1:$AL$1='Abgleich Kapazität'!N$80)*Capacity_Entsoe_SFS_2017!$D$3:$AK$38)+SUMPRODUCT((Capacity_Entsoe_SFS_2017!$A$3:$A$38='Abgleich Kapazität'!$A107)*(Capacity_Entsoe_SFS_2017!$D$1:$AL$1='Abgleich Kapazität'!N$79)*Capacity_Entsoe_SFS_2017!$D$3:$AK$38)+SUMPRODUCT((Capacity_Entsoe_SFS_2017!$A$3:$A$38='Abgleich Kapazität'!$A107)*(Capacity_Entsoe_SFS_2017!$D$1:$AL$1='Abgleich Kapazität'!N$78)*Capacity_Entsoe_SFS_2017!$D$3:$AK$38)+SUMPRODUCT((Capacity_Entsoe_SFS_2017!$A$3:$A$38='Abgleich Kapazität'!$A107)*(Capacity_Entsoe_SFS_2017!$D$1:$AL$1='Abgleich Kapazität'!N$77)*Capacity_Entsoe_SFS_2017!$D$3:$AK$38)+SUMPRODUCT((Capacity_Entsoe_SFS_2017!$A$3:$A$38='Abgleich Kapazität'!$A107)*(Capacity_Entsoe_SFS_2017!$D$1:$AL$1='Abgleich Kapazität'!N$76)*Capacity_Entsoe_SFS_2017!$D$3:$AK$38))/1000</f>
        <v>#VALUE!</v>
      </c>
      <c r="O107" s="26" t="e">
        <f>(SUMPRODUCT((Capacity_Entsoe_SFS_2017!$A$3:$A$38='Abgleich Kapazität'!$A107)*(Capacity_Entsoe_SFS_2017!$D$1:$AL$1='Abgleich Kapazität'!O$81)*Capacity_Entsoe_SFS_2017!$D$3:$AK$38)+SUMPRODUCT((Capacity_Entsoe_SFS_2017!$A$3:$A$38='Abgleich Kapazität'!$A107)*(Capacity_Entsoe_SFS_2017!$D$1:$AL$1='Abgleich Kapazität'!O$80)*Capacity_Entsoe_SFS_2017!$D$3:$AK$38)+SUMPRODUCT((Capacity_Entsoe_SFS_2017!$A$3:$A$38='Abgleich Kapazität'!$A107)*(Capacity_Entsoe_SFS_2017!$D$1:$AL$1='Abgleich Kapazität'!O$79)*Capacity_Entsoe_SFS_2017!$D$3:$AK$38)+SUMPRODUCT((Capacity_Entsoe_SFS_2017!$A$3:$A$38='Abgleich Kapazität'!$A107)*(Capacity_Entsoe_SFS_2017!$D$1:$AL$1='Abgleich Kapazität'!O$78)*Capacity_Entsoe_SFS_2017!$D$3:$AK$38)+SUMPRODUCT((Capacity_Entsoe_SFS_2017!$A$3:$A$38='Abgleich Kapazität'!$A107)*(Capacity_Entsoe_SFS_2017!$D$1:$AL$1='Abgleich Kapazität'!O$77)*Capacity_Entsoe_SFS_2017!$D$3:$AK$38)+SUMPRODUCT((Capacity_Entsoe_SFS_2017!$A$3:$A$38='Abgleich Kapazität'!$A107)*(Capacity_Entsoe_SFS_2017!$D$1:$AL$1='Abgleich Kapazität'!O$76)*Capacity_Entsoe_SFS_2017!$D$3:$AK$38))/1000</f>
        <v>#VALUE!</v>
      </c>
      <c r="P107" s="26" t="e">
        <f>(SUMPRODUCT((Capacity_Entsoe_SFS_2017!$A$3:$A$38='Abgleich Kapazität'!$A107)*(Capacity_Entsoe_SFS_2017!$D$1:$AL$1='Abgleich Kapazität'!P$81)*Capacity_Entsoe_SFS_2017!$D$3:$AK$38)+SUMPRODUCT((Capacity_Entsoe_SFS_2017!$A$3:$A$38='Abgleich Kapazität'!$A107)*(Capacity_Entsoe_SFS_2017!$D$1:$AL$1='Abgleich Kapazität'!P$80)*Capacity_Entsoe_SFS_2017!$D$3:$AK$38)+SUMPRODUCT((Capacity_Entsoe_SFS_2017!$A$3:$A$38='Abgleich Kapazität'!$A107)*(Capacity_Entsoe_SFS_2017!$D$1:$AL$1='Abgleich Kapazität'!P$79)*Capacity_Entsoe_SFS_2017!$D$3:$AK$38)+SUMPRODUCT((Capacity_Entsoe_SFS_2017!$A$3:$A$38='Abgleich Kapazität'!$A107)*(Capacity_Entsoe_SFS_2017!$D$1:$AL$1='Abgleich Kapazität'!P$78)*Capacity_Entsoe_SFS_2017!$D$3:$AK$38)+SUMPRODUCT((Capacity_Entsoe_SFS_2017!$A$3:$A$38='Abgleich Kapazität'!$A107)*(Capacity_Entsoe_SFS_2017!$D$1:$AL$1='Abgleich Kapazität'!P$77)*Capacity_Entsoe_SFS_2017!$D$3:$AK$38)+SUMPRODUCT((Capacity_Entsoe_SFS_2017!$A$3:$A$38='Abgleich Kapazität'!$A107)*(Capacity_Entsoe_SFS_2017!$D$1:$AL$1='Abgleich Kapazität'!P$76)*Capacity_Entsoe_SFS_2017!$D$3:$AK$38))/1000</f>
        <v>#VALUE!</v>
      </c>
      <c r="Q107" s="26" t="e">
        <f>(SUMPRODUCT((Capacity_Entsoe_SFS_2017!$A$3:$A$38='Abgleich Kapazität'!$A107)*(Capacity_Entsoe_SFS_2017!$D$1:$AL$1='Abgleich Kapazität'!Q$81)*Capacity_Entsoe_SFS_2017!$D$3:$AK$38)+SUMPRODUCT((Capacity_Entsoe_SFS_2017!$A$3:$A$38='Abgleich Kapazität'!$A107)*(Capacity_Entsoe_SFS_2017!$D$1:$AL$1='Abgleich Kapazität'!Q$80)*Capacity_Entsoe_SFS_2017!$D$3:$AK$38)+SUMPRODUCT((Capacity_Entsoe_SFS_2017!$A$3:$A$38='Abgleich Kapazität'!$A107)*(Capacity_Entsoe_SFS_2017!$D$1:$AL$1='Abgleich Kapazität'!Q$79)*Capacity_Entsoe_SFS_2017!$D$3:$AK$38)+SUMPRODUCT((Capacity_Entsoe_SFS_2017!$A$3:$A$38='Abgleich Kapazität'!$A107)*(Capacity_Entsoe_SFS_2017!$D$1:$AL$1='Abgleich Kapazität'!Q$78)*Capacity_Entsoe_SFS_2017!$D$3:$AK$38)+SUMPRODUCT((Capacity_Entsoe_SFS_2017!$A$3:$A$38='Abgleich Kapazität'!$A107)*(Capacity_Entsoe_SFS_2017!$D$1:$AL$1='Abgleich Kapazität'!Q$77)*Capacity_Entsoe_SFS_2017!$D$3:$AK$38)+SUMPRODUCT((Capacity_Entsoe_SFS_2017!$A$3:$A$38='Abgleich Kapazität'!$A107)*(Capacity_Entsoe_SFS_2017!$D$1:$AL$1='Abgleich Kapazität'!Q$76)*Capacity_Entsoe_SFS_2017!$D$3:$AK$38))/1000</f>
        <v>#VALUE!</v>
      </c>
      <c r="R107" s="26" t="e">
        <f>(SUMPRODUCT((Capacity_Entsoe_SFS_2017!$A$3:$A$38='Abgleich Kapazität'!$A107)*(Capacity_Entsoe_SFS_2017!$D$1:$AL$1='Abgleich Kapazität'!R$81)*Capacity_Entsoe_SFS_2017!$D$3:$AK$38)+SUMPRODUCT((Capacity_Entsoe_SFS_2017!$A$3:$A$38='Abgleich Kapazität'!$A107)*(Capacity_Entsoe_SFS_2017!$D$1:$AL$1='Abgleich Kapazität'!R$80)*Capacity_Entsoe_SFS_2017!$D$3:$AK$38)+SUMPRODUCT((Capacity_Entsoe_SFS_2017!$A$3:$A$38='Abgleich Kapazität'!$A107)*(Capacity_Entsoe_SFS_2017!$D$1:$AL$1='Abgleich Kapazität'!R$79)*Capacity_Entsoe_SFS_2017!$D$3:$AK$38)+SUMPRODUCT((Capacity_Entsoe_SFS_2017!$A$3:$A$38='Abgleich Kapazität'!$A107)*(Capacity_Entsoe_SFS_2017!$D$1:$AL$1='Abgleich Kapazität'!R$78)*Capacity_Entsoe_SFS_2017!$D$3:$AK$38)+SUMPRODUCT((Capacity_Entsoe_SFS_2017!$A$3:$A$38='Abgleich Kapazität'!$A107)*(Capacity_Entsoe_SFS_2017!$D$1:$AL$1='Abgleich Kapazität'!R$77)*Capacity_Entsoe_SFS_2017!$D$3:$AK$38)+SUMPRODUCT((Capacity_Entsoe_SFS_2017!$A$3:$A$38='Abgleich Kapazität'!$A107)*(Capacity_Entsoe_SFS_2017!$D$1:$AL$1='Abgleich Kapazität'!R$76)*Capacity_Entsoe_SFS_2017!$D$3:$AK$38))/1000</f>
        <v>#VALUE!</v>
      </c>
      <c r="S107" s="26" t="e">
        <f>(SUMPRODUCT((Capacity_Entsoe_SFS_2017!$A$3:$A$38='Abgleich Kapazität'!$A107)*(Capacity_Entsoe_SFS_2017!$D$1:$AL$1='Abgleich Kapazität'!S$81)*Capacity_Entsoe_SFS_2017!$D$3:$AK$38)+SUMPRODUCT((Capacity_Entsoe_SFS_2017!$A$3:$A$38='Abgleich Kapazität'!$A107)*(Capacity_Entsoe_SFS_2017!$D$1:$AL$1='Abgleich Kapazität'!S$80)*Capacity_Entsoe_SFS_2017!$D$3:$AK$38)+SUMPRODUCT((Capacity_Entsoe_SFS_2017!$A$3:$A$38='Abgleich Kapazität'!$A107)*(Capacity_Entsoe_SFS_2017!$D$1:$AL$1='Abgleich Kapazität'!S$79)*Capacity_Entsoe_SFS_2017!$D$3:$AK$38)+SUMPRODUCT((Capacity_Entsoe_SFS_2017!$A$3:$A$38='Abgleich Kapazität'!$A107)*(Capacity_Entsoe_SFS_2017!$D$1:$AL$1='Abgleich Kapazität'!S$78)*Capacity_Entsoe_SFS_2017!$D$3:$AK$38)+SUMPRODUCT((Capacity_Entsoe_SFS_2017!$A$3:$A$38='Abgleich Kapazität'!$A107)*(Capacity_Entsoe_SFS_2017!$D$1:$AL$1='Abgleich Kapazität'!S$77)*Capacity_Entsoe_SFS_2017!$D$3:$AK$38)+SUMPRODUCT((Capacity_Entsoe_SFS_2017!$A$3:$A$38='Abgleich Kapazität'!$A107)*(Capacity_Entsoe_SFS_2017!$D$1:$AL$1='Abgleich Kapazität'!S$76)*Capacity_Entsoe_SFS_2017!$D$3:$AK$38))/1000</f>
        <v>#VALUE!</v>
      </c>
      <c r="T107" s="26" t="e">
        <f>(SUMPRODUCT((Capacity_Entsoe_SFS_2017!$A$3:$A$38='Abgleich Kapazität'!$A107)*(Capacity_Entsoe_SFS_2017!$D$1:$AL$1='Abgleich Kapazität'!T$81)*Capacity_Entsoe_SFS_2017!$D$3:$AK$38)+SUMPRODUCT((Capacity_Entsoe_SFS_2017!$A$3:$A$38='Abgleich Kapazität'!$A107)*(Capacity_Entsoe_SFS_2017!$D$1:$AL$1='Abgleich Kapazität'!T$80)*Capacity_Entsoe_SFS_2017!$D$3:$AK$38)+SUMPRODUCT((Capacity_Entsoe_SFS_2017!$A$3:$A$38='Abgleich Kapazität'!$A107)*(Capacity_Entsoe_SFS_2017!$D$1:$AL$1='Abgleich Kapazität'!T$79)*Capacity_Entsoe_SFS_2017!$D$3:$AK$38)+SUMPRODUCT((Capacity_Entsoe_SFS_2017!$A$3:$A$38='Abgleich Kapazität'!$A107)*(Capacity_Entsoe_SFS_2017!$D$1:$AL$1='Abgleich Kapazität'!T$78)*Capacity_Entsoe_SFS_2017!$D$3:$AK$38)+SUMPRODUCT((Capacity_Entsoe_SFS_2017!$A$3:$A$38='Abgleich Kapazität'!$A107)*(Capacity_Entsoe_SFS_2017!$D$1:$AL$1='Abgleich Kapazität'!T$77)*Capacity_Entsoe_SFS_2017!$D$3:$AK$38)+SUMPRODUCT((Capacity_Entsoe_SFS_2017!$A$3:$A$38='Abgleich Kapazität'!$A107)*(Capacity_Entsoe_SFS_2017!$D$1:$AL$1='Abgleich Kapazität'!T$76)*Capacity_Entsoe_SFS_2017!$D$3:$AK$38))/1000</f>
        <v>#VALUE!</v>
      </c>
      <c r="U107" s="26" t="e">
        <f>(SUMPRODUCT((Capacity_Entsoe_SFS_2017!$A$3:$A$38='Abgleich Kapazität'!$A107)*(Capacity_Entsoe_SFS_2017!$D$1:$AL$1='Abgleich Kapazität'!U$81)*Capacity_Entsoe_SFS_2017!$D$3:$AK$38)+SUMPRODUCT((Capacity_Entsoe_SFS_2017!$A$3:$A$38='Abgleich Kapazität'!$A107)*(Capacity_Entsoe_SFS_2017!$D$1:$AL$1='Abgleich Kapazität'!U$80)*Capacity_Entsoe_SFS_2017!$D$3:$AK$38)+SUMPRODUCT((Capacity_Entsoe_SFS_2017!$A$3:$A$38='Abgleich Kapazität'!$A107)*(Capacity_Entsoe_SFS_2017!$D$1:$AL$1='Abgleich Kapazität'!U$79)*Capacity_Entsoe_SFS_2017!$D$3:$AK$38)+SUMPRODUCT((Capacity_Entsoe_SFS_2017!$A$3:$A$38='Abgleich Kapazität'!$A107)*(Capacity_Entsoe_SFS_2017!$D$1:$AL$1='Abgleich Kapazität'!U$78)*Capacity_Entsoe_SFS_2017!$D$3:$AK$38)+SUMPRODUCT((Capacity_Entsoe_SFS_2017!$A$3:$A$38='Abgleich Kapazität'!$A107)*(Capacity_Entsoe_SFS_2017!$D$1:$AL$1='Abgleich Kapazität'!U$77)*Capacity_Entsoe_SFS_2017!$D$3:$AK$38)+SUMPRODUCT((Capacity_Entsoe_SFS_2017!$A$3:$A$38='Abgleich Kapazität'!$A107)*(Capacity_Entsoe_SFS_2017!$D$1:$AL$1='Abgleich Kapazität'!U$76)*Capacity_Entsoe_SFS_2017!$D$3:$AK$38))/1000</f>
        <v>#VALUE!</v>
      </c>
      <c r="V107" s="27" t="e">
        <f t="shared" si="80"/>
        <v>#VALUE!</v>
      </c>
    </row>
    <row r="108" spans="1:22" x14ac:dyDescent="0.25">
      <c r="A108" s="14" t="s">
        <v>34</v>
      </c>
      <c r="B108" s="57" t="e">
        <f t="shared" si="77"/>
        <v>#VALUE!</v>
      </c>
      <c r="C108" s="58" t="e">
        <f>(SUMPRODUCT((Capacity_Entsoe_SFS_2017!$A$3:$A$38='Abgleich Kapazität'!$A108)*(Capacity_Entsoe_SFS_2017!$D$1:$AL$1='Abgleich Kapazität'!C$81)*Capacity_Entsoe_SFS_2017!$D$3:$AK$38)+SUMPRODUCT((Capacity_Entsoe_SFS_2017!$A$3:$A$38='Abgleich Kapazität'!$A108)*(Capacity_Entsoe_SFS_2017!$D$1:$AL$1='Abgleich Kapazität'!C$80)*Capacity_Entsoe_SFS_2017!$D$3:$AK$38)+SUMPRODUCT((Capacity_Entsoe_SFS_2017!$A$3:$A$38='Abgleich Kapazität'!$A108)*(Capacity_Entsoe_SFS_2017!$D$1:$AL$1='Abgleich Kapazität'!C$79)*Capacity_Entsoe_SFS_2017!$D$3:$AK$38)+SUMPRODUCT((Capacity_Entsoe_SFS_2017!$A$3:$A$38='Abgleich Kapazität'!$A108)*(Capacity_Entsoe_SFS_2017!$D$1:$AL$1='Abgleich Kapazität'!C$78)*Capacity_Entsoe_SFS_2017!$D$3:$AK$38))/1000</f>
        <v>#VALUE!</v>
      </c>
      <c r="D108" s="58" t="e">
        <f t="shared" si="78"/>
        <v>#VALUE!</v>
      </c>
      <c r="E108" s="58" t="e">
        <f>(SUMPRODUCT((Capacity_Entsoe_SFS_2017!$A$3:$A$38='Abgleich Kapazität'!$A108)*(Capacity_Entsoe_SFS_2017!$D$1:$AL$1='Abgleich Kapazität'!E$81)*Capacity_Entsoe_SFS_2017!$D$3:$AK$38)+SUMPRODUCT((Capacity_Entsoe_SFS_2017!$A$3:$A$38='Abgleich Kapazität'!$A108)*(Capacity_Entsoe_SFS_2017!$D$1:$AL$1='Abgleich Kapazität'!E$80)*Capacity_Entsoe_SFS_2017!$D$3:$AK$38)+SUMPRODUCT((Capacity_Entsoe_SFS_2017!$A$3:$A$38='Abgleich Kapazität'!$A108)*(Capacity_Entsoe_SFS_2017!$D$1:$AL$1='Abgleich Kapazität'!E$79)*Capacity_Entsoe_SFS_2017!$D$3:$AK$38)+SUMPRODUCT((Capacity_Entsoe_SFS_2017!$A$3:$A$38='Abgleich Kapazität'!$A108)*(Capacity_Entsoe_SFS_2017!$D$1:$AL$1='Abgleich Kapazität'!E$78)*Capacity_Entsoe_SFS_2017!$D$3:$AK$38))/1000</f>
        <v>#VALUE!</v>
      </c>
      <c r="F108" s="58" t="e">
        <f>(SUMPRODUCT((Capacity_Entsoe_SFS_2017!$A$3:$A$38='Abgleich Kapazität'!$A108)*(Capacity_Entsoe_SFS_2017!$D$1:$AL$1='Abgleich Kapazität'!F$81)*Capacity_Entsoe_SFS_2017!$D$3:$AK$38)+SUMPRODUCT((Capacity_Entsoe_SFS_2017!$A$3:$A$38='Abgleich Kapazität'!$A108)*(Capacity_Entsoe_SFS_2017!$D$1:$AL$1='Abgleich Kapazität'!F$80)*Capacity_Entsoe_SFS_2017!$D$3:$AK$38)+SUMPRODUCT((Capacity_Entsoe_SFS_2017!$A$3:$A$38='Abgleich Kapazität'!$A108)*(Capacity_Entsoe_SFS_2017!$D$1:$AL$1='Abgleich Kapazität'!F$79)*Capacity_Entsoe_SFS_2017!$D$3:$AK$38)+SUMPRODUCT((Capacity_Entsoe_SFS_2017!$A$3:$A$38='Abgleich Kapazität'!$A108)*(Capacity_Entsoe_SFS_2017!$D$1:$AL$1='Abgleich Kapazität'!F$78)*Capacity_Entsoe_SFS_2017!$D$3:$AK$38))/1000</f>
        <v>#VALUE!</v>
      </c>
      <c r="G108" s="58" t="e">
        <f>(SUMPRODUCT((Capacity_Entsoe_SFS_2017!$A$3:$A$38='Abgleich Kapazität'!$A108)*(Capacity_Entsoe_SFS_2017!$D$1:$AL$1='Abgleich Kapazität'!G$81)*Capacity_Entsoe_SFS_2017!$D$3:$AK$38)+SUMPRODUCT((Capacity_Entsoe_SFS_2017!$A$3:$A$38='Abgleich Kapazität'!$A108)*(Capacity_Entsoe_SFS_2017!$D$1:$AL$1='Abgleich Kapazität'!G$80)*Capacity_Entsoe_SFS_2017!$D$3:$AK$38)+SUMPRODUCT((Capacity_Entsoe_SFS_2017!$A$3:$A$38='Abgleich Kapazität'!$A108)*(Capacity_Entsoe_SFS_2017!$D$1:$AL$1='Abgleich Kapazität'!G$79)*Capacity_Entsoe_SFS_2017!$D$3:$AK$38)+SUMPRODUCT((Capacity_Entsoe_SFS_2017!$A$3:$A$38='Abgleich Kapazität'!$A108)*(Capacity_Entsoe_SFS_2017!$D$1:$AL$1='Abgleich Kapazität'!G$78)*Capacity_Entsoe_SFS_2017!$D$3:$AK$38))/1000</f>
        <v>#VALUE!</v>
      </c>
      <c r="H108" s="58" t="e">
        <f>(SUMPRODUCT((Capacity_Entsoe_SFS_2017!$A$3:$A$38='Abgleich Kapazität'!$A108)*(Capacity_Entsoe_SFS_2017!$D$1:$AL$1='Abgleich Kapazität'!H$81)*Capacity_Entsoe_SFS_2017!$D$3:$AK$38)+SUMPRODUCT((Capacity_Entsoe_SFS_2017!$A$3:$A$38='Abgleich Kapazität'!$A108)*(Capacity_Entsoe_SFS_2017!$D$1:$AL$1='Abgleich Kapazität'!H$80)*Capacity_Entsoe_SFS_2017!$D$3:$AK$38)+SUMPRODUCT((Capacity_Entsoe_SFS_2017!$A$3:$A$38='Abgleich Kapazität'!$A108)*(Capacity_Entsoe_SFS_2017!$D$1:$AL$1='Abgleich Kapazität'!H$79)*Capacity_Entsoe_SFS_2017!$D$3:$AK$38)+SUMPRODUCT((Capacity_Entsoe_SFS_2017!$A$3:$A$38='Abgleich Kapazität'!$A108)*(Capacity_Entsoe_SFS_2017!$D$1:$AL$1='Abgleich Kapazität'!H$78)*Capacity_Entsoe_SFS_2017!$D$3:$AK$38))/1000</f>
        <v>#VALUE!</v>
      </c>
      <c r="I108" s="58" t="e">
        <f>(SUMPRODUCT((Capacity_Entsoe_SFS_2017!$A$3:$A$38='Abgleich Kapazität'!$A108)*(Capacity_Entsoe_SFS_2017!$D$1:$AL$1='Abgleich Kapazität'!I$81)*Capacity_Entsoe_SFS_2017!$D$3:$AK$38)+SUMPRODUCT((Capacity_Entsoe_SFS_2017!$A$3:$A$38='Abgleich Kapazität'!$A108)*(Capacity_Entsoe_SFS_2017!$D$1:$AL$1='Abgleich Kapazität'!I$80)*Capacity_Entsoe_SFS_2017!$D$3:$AK$38)+SUMPRODUCT((Capacity_Entsoe_SFS_2017!$A$3:$A$38='Abgleich Kapazität'!$A108)*(Capacity_Entsoe_SFS_2017!$D$1:$AL$1='Abgleich Kapazität'!I$79)*Capacity_Entsoe_SFS_2017!$D$3:$AK$38)+SUMPRODUCT((Capacity_Entsoe_SFS_2017!$A$3:$A$38='Abgleich Kapazität'!$A108)*(Capacity_Entsoe_SFS_2017!$D$1:$AL$1='Abgleich Kapazität'!I$78)*Capacity_Entsoe_SFS_2017!$D$3:$AK$38))/1000</f>
        <v>#VALUE!</v>
      </c>
      <c r="J108" s="58" t="e">
        <f>(SUMPRODUCT((Capacity_Entsoe_SFS_2017!$A$3:$A$38='Abgleich Kapazität'!$A108)*(Capacity_Entsoe_SFS_2017!$D$1:$AL$1='Abgleich Kapazität'!J$81)*Capacity_Entsoe_SFS_2017!$D$3:$AK$38)+SUMPRODUCT((Capacity_Entsoe_SFS_2017!$A$3:$A$38='Abgleich Kapazität'!$A108)*(Capacity_Entsoe_SFS_2017!$D$1:$AL$1='Abgleich Kapazität'!J$80)*Capacity_Entsoe_SFS_2017!$D$3:$AK$38)+SUMPRODUCT((Capacity_Entsoe_SFS_2017!$A$3:$A$38='Abgleich Kapazität'!$A108)*(Capacity_Entsoe_SFS_2017!$D$1:$AL$1='Abgleich Kapazität'!J$79)*Capacity_Entsoe_SFS_2017!$D$3:$AK$38)+SUMPRODUCT((Capacity_Entsoe_SFS_2017!$A$3:$A$38='Abgleich Kapazität'!$A108)*(Capacity_Entsoe_SFS_2017!$D$1:$AL$1='Abgleich Kapazität'!J$78)*Capacity_Entsoe_SFS_2017!$D$3:$AK$38))/1000</f>
        <v>#VALUE!</v>
      </c>
      <c r="K108" s="59" t="e">
        <f t="shared" si="79"/>
        <v>#VALUE!</v>
      </c>
      <c r="L108" s="58" t="e">
        <f>(SUMPRODUCT((Capacity_Entsoe_SFS_2017!$A$3:$A$38='Abgleich Kapazität'!$A108)*(Capacity_Entsoe_SFS_2017!$D$1:$AL$1='Abgleich Kapazität'!L$81)*Capacity_Entsoe_SFS_2017!$D$3:$AK$38)+SUMPRODUCT((Capacity_Entsoe_SFS_2017!$A$3:$A$38='Abgleich Kapazität'!$A108)*(Capacity_Entsoe_SFS_2017!$D$1:$AL$1='Abgleich Kapazität'!L$80)*Capacity_Entsoe_SFS_2017!$D$3:$AK$38)+SUMPRODUCT((Capacity_Entsoe_SFS_2017!$A$3:$A$38='Abgleich Kapazität'!$A108)*(Capacity_Entsoe_SFS_2017!$D$1:$AL$1='Abgleich Kapazität'!L$79)*Capacity_Entsoe_SFS_2017!$D$3:$AK$38)+SUMPRODUCT((Capacity_Entsoe_SFS_2017!$A$3:$A$38='Abgleich Kapazität'!$A108)*(Capacity_Entsoe_SFS_2017!$D$1:$AL$1='Abgleich Kapazität'!L$78)*Capacity_Entsoe_SFS_2017!$D$3:$AK$38)+SUMPRODUCT((Capacity_Entsoe_SFS_2017!$A$3:$A$38='Abgleich Kapazität'!$A108)*(Capacity_Entsoe_SFS_2017!$D$1:$AL$1='Abgleich Kapazität'!L$77)*Capacity_Entsoe_SFS_2017!$D$3:$AK$38)+SUMPRODUCT((Capacity_Entsoe_SFS_2017!$A$3:$A$38='Abgleich Kapazität'!$A108)*(Capacity_Entsoe_SFS_2017!$D$1:$AL$1='Abgleich Kapazität'!L$76)*Capacity_Entsoe_SFS_2017!$D$3:$AK$38))/1000</f>
        <v>#VALUE!</v>
      </c>
      <c r="M108" s="58" t="e">
        <f>(SUMPRODUCT((Capacity_Entsoe_SFS_2017!$A$3:$A$38='Abgleich Kapazität'!$A108)*(Capacity_Entsoe_SFS_2017!$D$1:$AL$1='Abgleich Kapazität'!M$81)*Capacity_Entsoe_SFS_2017!$D$3:$AK$38)+SUMPRODUCT((Capacity_Entsoe_SFS_2017!$A$3:$A$38='Abgleich Kapazität'!$A108)*(Capacity_Entsoe_SFS_2017!$D$1:$AL$1='Abgleich Kapazität'!M$80)*Capacity_Entsoe_SFS_2017!$D$3:$AK$38)+SUMPRODUCT((Capacity_Entsoe_SFS_2017!$A$3:$A$38='Abgleich Kapazität'!$A108)*(Capacity_Entsoe_SFS_2017!$D$1:$AL$1='Abgleich Kapazität'!M$79)*Capacity_Entsoe_SFS_2017!$D$3:$AK$38)+SUMPRODUCT((Capacity_Entsoe_SFS_2017!$A$3:$A$38='Abgleich Kapazität'!$A108)*(Capacity_Entsoe_SFS_2017!$D$1:$AL$1='Abgleich Kapazität'!M$78)*Capacity_Entsoe_SFS_2017!$D$3:$AK$38)+SUMPRODUCT((Capacity_Entsoe_SFS_2017!$A$3:$A$38='Abgleich Kapazität'!$A108)*(Capacity_Entsoe_SFS_2017!$D$1:$AL$1='Abgleich Kapazität'!M$77)*Capacity_Entsoe_SFS_2017!$D$3:$AK$38)+SUMPRODUCT((Capacity_Entsoe_SFS_2017!$A$3:$A$38='Abgleich Kapazität'!$A108)*(Capacity_Entsoe_SFS_2017!$D$1:$AL$1='Abgleich Kapazität'!M$76)*Capacity_Entsoe_SFS_2017!$D$3:$AK$38))/1000</f>
        <v>#VALUE!</v>
      </c>
      <c r="N108" s="58" t="e">
        <f>(SUMPRODUCT((Capacity_Entsoe_SFS_2017!$A$3:$A$38='Abgleich Kapazität'!$A108)*(Capacity_Entsoe_SFS_2017!$D$1:$AL$1='Abgleich Kapazität'!N$81)*Capacity_Entsoe_SFS_2017!$D$3:$AK$38)+SUMPRODUCT((Capacity_Entsoe_SFS_2017!$A$3:$A$38='Abgleich Kapazität'!$A108)*(Capacity_Entsoe_SFS_2017!$D$1:$AL$1='Abgleich Kapazität'!N$80)*Capacity_Entsoe_SFS_2017!$D$3:$AK$38)+SUMPRODUCT((Capacity_Entsoe_SFS_2017!$A$3:$A$38='Abgleich Kapazität'!$A108)*(Capacity_Entsoe_SFS_2017!$D$1:$AL$1='Abgleich Kapazität'!N$79)*Capacity_Entsoe_SFS_2017!$D$3:$AK$38)+SUMPRODUCT((Capacity_Entsoe_SFS_2017!$A$3:$A$38='Abgleich Kapazität'!$A108)*(Capacity_Entsoe_SFS_2017!$D$1:$AL$1='Abgleich Kapazität'!N$78)*Capacity_Entsoe_SFS_2017!$D$3:$AK$38)+SUMPRODUCT((Capacity_Entsoe_SFS_2017!$A$3:$A$38='Abgleich Kapazität'!$A108)*(Capacity_Entsoe_SFS_2017!$D$1:$AL$1='Abgleich Kapazität'!N$77)*Capacity_Entsoe_SFS_2017!$D$3:$AK$38)+SUMPRODUCT((Capacity_Entsoe_SFS_2017!$A$3:$A$38='Abgleich Kapazität'!$A108)*(Capacity_Entsoe_SFS_2017!$D$1:$AL$1='Abgleich Kapazität'!N$76)*Capacity_Entsoe_SFS_2017!$D$3:$AK$38))/1000</f>
        <v>#VALUE!</v>
      </c>
      <c r="O108" s="58" t="e">
        <f>(SUMPRODUCT((Capacity_Entsoe_SFS_2017!$A$3:$A$38='Abgleich Kapazität'!$A108)*(Capacity_Entsoe_SFS_2017!$D$1:$AL$1='Abgleich Kapazität'!O$81)*Capacity_Entsoe_SFS_2017!$D$3:$AK$38)+SUMPRODUCT((Capacity_Entsoe_SFS_2017!$A$3:$A$38='Abgleich Kapazität'!$A108)*(Capacity_Entsoe_SFS_2017!$D$1:$AL$1='Abgleich Kapazität'!O$80)*Capacity_Entsoe_SFS_2017!$D$3:$AK$38)+SUMPRODUCT((Capacity_Entsoe_SFS_2017!$A$3:$A$38='Abgleich Kapazität'!$A108)*(Capacity_Entsoe_SFS_2017!$D$1:$AL$1='Abgleich Kapazität'!O$79)*Capacity_Entsoe_SFS_2017!$D$3:$AK$38)+SUMPRODUCT((Capacity_Entsoe_SFS_2017!$A$3:$A$38='Abgleich Kapazität'!$A108)*(Capacity_Entsoe_SFS_2017!$D$1:$AL$1='Abgleich Kapazität'!O$78)*Capacity_Entsoe_SFS_2017!$D$3:$AK$38)+SUMPRODUCT((Capacity_Entsoe_SFS_2017!$A$3:$A$38='Abgleich Kapazität'!$A108)*(Capacity_Entsoe_SFS_2017!$D$1:$AL$1='Abgleich Kapazität'!O$77)*Capacity_Entsoe_SFS_2017!$D$3:$AK$38)+SUMPRODUCT((Capacity_Entsoe_SFS_2017!$A$3:$A$38='Abgleich Kapazität'!$A108)*(Capacity_Entsoe_SFS_2017!$D$1:$AL$1='Abgleich Kapazität'!O$76)*Capacity_Entsoe_SFS_2017!$D$3:$AK$38))/1000</f>
        <v>#VALUE!</v>
      </c>
      <c r="P108" s="58" t="e">
        <f>(SUMPRODUCT((Capacity_Entsoe_SFS_2017!$A$3:$A$38='Abgleich Kapazität'!$A108)*(Capacity_Entsoe_SFS_2017!$D$1:$AL$1='Abgleich Kapazität'!P$81)*Capacity_Entsoe_SFS_2017!$D$3:$AK$38)+SUMPRODUCT((Capacity_Entsoe_SFS_2017!$A$3:$A$38='Abgleich Kapazität'!$A108)*(Capacity_Entsoe_SFS_2017!$D$1:$AL$1='Abgleich Kapazität'!P$80)*Capacity_Entsoe_SFS_2017!$D$3:$AK$38)+SUMPRODUCT((Capacity_Entsoe_SFS_2017!$A$3:$A$38='Abgleich Kapazität'!$A108)*(Capacity_Entsoe_SFS_2017!$D$1:$AL$1='Abgleich Kapazität'!P$79)*Capacity_Entsoe_SFS_2017!$D$3:$AK$38)+SUMPRODUCT((Capacity_Entsoe_SFS_2017!$A$3:$A$38='Abgleich Kapazität'!$A108)*(Capacity_Entsoe_SFS_2017!$D$1:$AL$1='Abgleich Kapazität'!P$78)*Capacity_Entsoe_SFS_2017!$D$3:$AK$38)+SUMPRODUCT((Capacity_Entsoe_SFS_2017!$A$3:$A$38='Abgleich Kapazität'!$A108)*(Capacity_Entsoe_SFS_2017!$D$1:$AL$1='Abgleich Kapazität'!P$77)*Capacity_Entsoe_SFS_2017!$D$3:$AK$38)+SUMPRODUCT((Capacity_Entsoe_SFS_2017!$A$3:$A$38='Abgleich Kapazität'!$A108)*(Capacity_Entsoe_SFS_2017!$D$1:$AL$1='Abgleich Kapazität'!P$76)*Capacity_Entsoe_SFS_2017!$D$3:$AK$38))/1000</f>
        <v>#VALUE!</v>
      </c>
      <c r="Q108" s="58" t="e">
        <f>(SUMPRODUCT((Capacity_Entsoe_SFS_2017!$A$3:$A$38='Abgleich Kapazität'!$A108)*(Capacity_Entsoe_SFS_2017!$D$1:$AL$1='Abgleich Kapazität'!Q$81)*Capacity_Entsoe_SFS_2017!$D$3:$AK$38)+SUMPRODUCT((Capacity_Entsoe_SFS_2017!$A$3:$A$38='Abgleich Kapazität'!$A108)*(Capacity_Entsoe_SFS_2017!$D$1:$AL$1='Abgleich Kapazität'!Q$80)*Capacity_Entsoe_SFS_2017!$D$3:$AK$38)+SUMPRODUCT((Capacity_Entsoe_SFS_2017!$A$3:$A$38='Abgleich Kapazität'!$A108)*(Capacity_Entsoe_SFS_2017!$D$1:$AL$1='Abgleich Kapazität'!Q$79)*Capacity_Entsoe_SFS_2017!$D$3:$AK$38)+SUMPRODUCT((Capacity_Entsoe_SFS_2017!$A$3:$A$38='Abgleich Kapazität'!$A108)*(Capacity_Entsoe_SFS_2017!$D$1:$AL$1='Abgleich Kapazität'!Q$78)*Capacity_Entsoe_SFS_2017!$D$3:$AK$38)+SUMPRODUCT((Capacity_Entsoe_SFS_2017!$A$3:$A$38='Abgleich Kapazität'!$A108)*(Capacity_Entsoe_SFS_2017!$D$1:$AL$1='Abgleich Kapazität'!Q$77)*Capacity_Entsoe_SFS_2017!$D$3:$AK$38)+SUMPRODUCT((Capacity_Entsoe_SFS_2017!$A$3:$A$38='Abgleich Kapazität'!$A108)*(Capacity_Entsoe_SFS_2017!$D$1:$AL$1='Abgleich Kapazität'!Q$76)*Capacity_Entsoe_SFS_2017!$D$3:$AK$38))/1000</f>
        <v>#VALUE!</v>
      </c>
      <c r="R108" s="58" t="e">
        <f>(SUMPRODUCT((Capacity_Entsoe_SFS_2017!$A$3:$A$38='Abgleich Kapazität'!$A108)*(Capacity_Entsoe_SFS_2017!$D$1:$AL$1='Abgleich Kapazität'!R$81)*Capacity_Entsoe_SFS_2017!$D$3:$AK$38)+SUMPRODUCT((Capacity_Entsoe_SFS_2017!$A$3:$A$38='Abgleich Kapazität'!$A108)*(Capacity_Entsoe_SFS_2017!$D$1:$AL$1='Abgleich Kapazität'!R$80)*Capacity_Entsoe_SFS_2017!$D$3:$AK$38)+SUMPRODUCT((Capacity_Entsoe_SFS_2017!$A$3:$A$38='Abgleich Kapazität'!$A108)*(Capacity_Entsoe_SFS_2017!$D$1:$AL$1='Abgleich Kapazität'!R$79)*Capacity_Entsoe_SFS_2017!$D$3:$AK$38)+SUMPRODUCT((Capacity_Entsoe_SFS_2017!$A$3:$A$38='Abgleich Kapazität'!$A108)*(Capacity_Entsoe_SFS_2017!$D$1:$AL$1='Abgleich Kapazität'!R$78)*Capacity_Entsoe_SFS_2017!$D$3:$AK$38)+SUMPRODUCT((Capacity_Entsoe_SFS_2017!$A$3:$A$38='Abgleich Kapazität'!$A108)*(Capacity_Entsoe_SFS_2017!$D$1:$AL$1='Abgleich Kapazität'!R$77)*Capacity_Entsoe_SFS_2017!$D$3:$AK$38)+SUMPRODUCT((Capacity_Entsoe_SFS_2017!$A$3:$A$38='Abgleich Kapazität'!$A108)*(Capacity_Entsoe_SFS_2017!$D$1:$AL$1='Abgleich Kapazität'!R$76)*Capacity_Entsoe_SFS_2017!$D$3:$AK$38))/1000</f>
        <v>#VALUE!</v>
      </c>
      <c r="S108" s="58" t="e">
        <f>(SUMPRODUCT((Capacity_Entsoe_SFS_2017!$A$3:$A$38='Abgleich Kapazität'!$A108)*(Capacity_Entsoe_SFS_2017!$D$1:$AL$1='Abgleich Kapazität'!S$81)*Capacity_Entsoe_SFS_2017!$D$3:$AK$38)+SUMPRODUCT((Capacity_Entsoe_SFS_2017!$A$3:$A$38='Abgleich Kapazität'!$A108)*(Capacity_Entsoe_SFS_2017!$D$1:$AL$1='Abgleich Kapazität'!S$80)*Capacity_Entsoe_SFS_2017!$D$3:$AK$38)+SUMPRODUCT((Capacity_Entsoe_SFS_2017!$A$3:$A$38='Abgleich Kapazität'!$A108)*(Capacity_Entsoe_SFS_2017!$D$1:$AL$1='Abgleich Kapazität'!S$79)*Capacity_Entsoe_SFS_2017!$D$3:$AK$38)+SUMPRODUCT((Capacity_Entsoe_SFS_2017!$A$3:$A$38='Abgleich Kapazität'!$A108)*(Capacity_Entsoe_SFS_2017!$D$1:$AL$1='Abgleich Kapazität'!S$78)*Capacity_Entsoe_SFS_2017!$D$3:$AK$38)+SUMPRODUCT((Capacity_Entsoe_SFS_2017!$A$3:$A$38='Abgleich Kapazität'!$A108)*(Capacity_Entsoe_SFS_2017!$D$1:$AL$1='Abgleich Kapazität'!S$77)*Capacity_Entsoe_SFS_2017!$D$3:$AK$38)+SUMPRODUCT((Capacity_Entsoe_SFS_2017!$A$3:$A$38='Abgleich Kapazität'!$A108)*(Capacity_Entsoe_SFS_2017!$D$1:$AL$1='Abgleich Kapazität'!S$76)*Capacity_Entsoe_SFS_2017!$D$3:$AK$38))/1000</f>
        <v>#VALUE!</v>
      </c>
      <c r="T108" s="58" t="e">
        <f>(SUMPRODUCT((Capacity_Entsoe_SFS_2017!$A$3:$A$38='Abgleich Kapazität'!$A108)*(Capacity_Entsoe_SFS_2017!$D$1:$AL$1='Abgleich Kapazität'!T$81)*Capacity_Entsoe_SFS_2017!$D$3:$AK$38)+SUMPRODUCT((Capacity_Entsoe_SFS_2017!$A$3:$A$38='Abgleich Kapazität'!$A108)*(Capacity_Entsoe_SFS_2017!$D$1:$AL$1='Abgleich Kapazität'!T$80)*Capacity_Entsoe_SFS_2017!$D$3:$AK$38)+SUMPRODUCT((Capacity_Entsoe_SFS_2017!$A$3:$A$38='Abgleich Kapazität'!$A108)*(Capacity_Entsoe_SFS_2017!$D$1:$AL$1='Abgleich Kapazität'!T$79)*Capacity_Entsoe_SFS_2017!$D$3:$AK$38)+SUMPRODUCT((Capacity_Entsoe_SFS_2017!$A$3:$A$38='Abgleich Kapazität'!$A108)*(Capacity_Entsoe_SFS_2017!$D$1:$AL$1='Abgleich Kapazität'!T$78)*Capacity_Entsoe_SFS_2017!$D$3:$AK$38)+SUMPRODUCT((Capacity_Entsoe_SFS_2017!$A$3:$A$38='Abgleich Kapazität'!$A108)*(Capacity_Entsoe_SFS_2017!$D$1:$AL$1='Abgleich Kapazität'!T$77)*Capacity_Entsoe_SFS_2017!$D$3:$AK$38)+SUMPRODUCT((Capacity_Entsoe_SFS_2017!$A$3:$A$38='Abgleich Kapazität'!$A108)*(Capacity_Entsoe_SFS_2017!$D$1:$AL$1='Abgleich Kapazität'!T$76)*Capacity_Entsoe_SFS_2017!$D$3:$AK$38))/1000</f>
        <v>#VALUE!</v>
      </c>
      <c r="U108" s="58" t="e">
        <f>(SUMPRODUCT((Capacity_Entsoe_SFS_2017!$A$3:$A$38='Abgleich Kapazität'!$A108)*(Capacity_Entsoe_SFS_2017!$D$1:$AL$1='Abgleich Kapazität'!U$81)*Capacity_Entsoe_SFS_2017!$D$3:$AK$38)+SUMPRODUCT((Capacity_Entsoe_SFS_2017!$A$3:$A$38='Abgleich Kapazität'!$A108)*(Capacity_Entsoe_SFS_2017!$D$1:$AL$1='Abgleich Kapazität'!U$80)*Capacity_Entsoe_SFS_2017!$D$3:$AK$38)+SUMPRODUCT((Capacity_Entsoe_SFS_2017!$A$3:$A$38='Abgleich Kapazität'!$A108)*(Capacity_Entsoe_SFS_2017!$D$1:$AL$1='Abgleich Kapazität'!U$79)*Capacity_Entsoe_SFS_2017!$D$3:$AK$38)+SUMPRODUCT((Capacity_Entsoe_SFS_2017!$A$3:$A$38='Abgleich Kapazität'!$A108)*(Capacity_Entsoe_SFS_2017!$D$1:$AL$1='Abgleich Kapazität'!U$78)*Capacity_Entsoe_SFS_2017!$D$3:$AK$38)+SUMPRODUCT((Capacity_Entsoe_SFS_2017!$A$3:$A$38='Abgleich Kapazität'!$A108)*(Capacity_Entsoe_SFS_2017!$D$1:$AL$1='Abgleich Kapazität'!U$77)*Capacity_Entsoe_SFS_2017!$D$3:$AK$38)+SUMPRODUCT((Capacity_Entsoe_SFS_2017!$A$3:$A$38='Abgleich Kapazität'!$A108)*(Capacity_Entsoe_SFS_2017!$D$1:$AL$1='Abgleich Kapazität'!U$76)*Capacity_Entsoe_SFS_2017!$D$3:$AK$38))/1000</f>
        <v>#VALUE!</v>
      </c>
      <c r="V108" s="59" t="e">
        <f t="shared" si="80"/>
        <v>#VALUE!</v>
      </c>
    </row>
    <row r="109" spans="1:22" x14ac:dyDescent="0.25">
      <c r="A109" s="14" t="s">
        <v>35</v>
      </c>
      <c r="B109" s="25" t="e">
        <f t="shared" si="77"/>
        <v>#VALUE!</v>
      </c>
      <c r="C109" s="26" t="e">
        <f>(SUMPRODUCT((Capacity_Entsoe_SFS_2017!$A$3:$A$38='Abgleich Kapazität'!$A109)*(Capacity_Entsoe_SFS_2017!$D$1:$AL$1='Abgleich Kapazität'!C$81)*Capacity_Entsoe_SFS_2017!$D$3:$AK$38)+SUMPRODUCT((Capacity_Entsoe_SFS_2017!$A$3:$A$38='Abgleich Kapazität'!$A109)*(Capacity_Entsoe_SFS_2017!$D$1:$AL$1='Abgleich Kapazität'!C$80)*Capacity_Entsoe_SFS_2017!$D$3:$AK$38)+SUMPRODUCT((Capacity_Entsoe_SFS_2017!$A$3:$A$38='Abgleich Kapazität'!$A109)*(Capacity_Entsoe_SFS_2017!$D$1:$AL$1='Abgleich Kapazität'!C$79)*Capacity_Entsoe_SFS_2017!$D$3:$AK$38)+SUMPRODUCT((Capacity_Entsoe_SFS_2017!$A$3:$A$38='Abgleich Kapazität'!$A109)*(Capacity_Entsoe_SFS_2017!$D$1:$AL$1='Abgleich Kapazität'!C$78)*Capacity_Entsoe_SFS_2017!$D$3:$AK$38))/1000</f>
        <v>#VALUE!</v>
      </c>
      <c r="D109" s="26" t="e">
        <f t="shared" si="78"/>
        <v>#VALUE!</v>
      </c>
      <c r="E109" s="26" t="e">
        <f>(SUMPRODUCT((Capacity_Entsoe_SFS_2017!$A$3:$A$38='Abgleich Kapazität'!$A109)*(Capacity_Entsoe_SFS_2017!$D$1:$AL$1='Abgleich Kapazität'!E$81)*Capacity_Entsoe_SFS_2017!$D$3:$AK$38)+SUMPRODUCT((Capacity_Entsoe_SFS_2017!$A$3:$A$38='Abgleich Kapazität'!$A109)*(Capacity_Entsoe_SFS_2017!$D$1:$AL$1='Abgleich Kapazität'!E$80)*Capacity_Entsoe_SFS_2017!$D$3:$AK$38)+SUMPRODUCT((Capacity_Entsoe_SFS_2017!$A$3:$A$38='Abgleich Kapazität'!$A109)*(Capacity_Entsoe_SFS_2017!$D$1:$AL$1='Abgleich Kapazität'!E$79)*Capacity_Entsoe_SFS_2017!$D$3:$AK$38)+SUMPRODUCT((Capacity_Entsoe_SFS_2017!$A$3:$A$38='Abgleich Kapazität'!$A109)*(Capacity_Entsoe_SFS_2017!$D$1:$AL$1='Abgleich Kapazität'!E$78)*Capacity_Entsoe_SFS_2017!$D$3:$AK$38))/1000</f>
        <v>#VALUE!</v>
      </c>
      <c r="F109" s="26" t="e">
        <f>(SUMPRODUCT((Capacity_Entsoe_SFS_2017!$A$3:$A$38='Abgleich Kapazität'!$A109)*(Capacity_Entsoe_SFS_2017!$D$1:$AL$1='Abgleich Kapazität'!F$81)*Capacity_Entsoe_SFS_2017!$D$3:$AK$38)+SUMPRODUCT((Capacity_Entsoe_SFS_2017!$A$3:$A$38='Abgleich Kapazität'!$A109)*(Capacity_Entsoe_SFS_2017!$D$1:$AL$1='Abgleich Kapazität'!F$80)*Capacity_Entsoe_SFS_2017!$D$3:$AK$38)+SUMPRODUCT((Capacity_Entsoe_SFS_2017!$A$3:$A$38='Abgleich Kapazität'!$A109)*(Capacity_Entsoe_SFS_2017!$D$1:$AL$1='Abgleich Kapazität'!F$79)*Capacity_Entsoe_SFS_2017!$D$3:$AK$38)+SUMPRODUCT((Capacity_Entsoe_SFS_2017!$A$3:$A$38='Abgleich Kapazität'!$A109)*(Capacity_Entsoe_SFS_2017!$D$1:$AL$1='Abgleich Kapazität'!F$78)*Capacity_Entsoe_SFS_2017!$D$3:$AK$38))/1000</f>
        <v>#VALUE!</v>
      </c>
      <c r="G109" s="26" t="e">
        <f>(SUMPRODUCT((Capacity_Entsoe_SFS_2017!$A$3:$A$38='Abgleich Kapazität'!$A109)*(Capacity_Entsoe_SFS_2017!$D$1:$AL$1='Abgleich Kapazität'!G$81)*Capacity_Entsoe_SFS_2017!$D$3:$AK$38)+SUMPRODUCT((Capacity_Entsoe_SFS_2017!$A$3:$A$38='Abgleich Kapazität'!$A109)*(Capacity_Entsoe_SFS_2017!$D$1:$AL$1='Abgleich Kapazität'!G$80)*Capacity_Entsoe_SFS_2017!$D$3:$AK$38)+SUMPRODUCT((Capacity_Entsoe_SFS_2017!$A$3:$A$38='Abgleich Kapazität'!$A109)*(Capacity_Entsoe_SFS_2017!$D$1:$AL$1='Abgleich Kapazität'!G$79)*Capacity_Entsoe_SFS_2017!$D$3:$AK$38)+SUMPRODUCT((Capacity_Entsoe_SFS_2017!$A$3:$A$38='Abgleich Kapazität'!$A109)*(Capacity_Entsoe_SFS_2017!$D$1:$AL$1='Abgleich Kapazität'!G$78)*Capacity_Entsoe_SFS_2017!$D$3:$AK$38))/1000</f>
        <v>#VALUE!</v>
      </c>
      <c r="H109" s="26" t="e">
        <f>(SUMPRODUCT((Capacity_Entsoe_SFS_2017!$A$3:$A$38='Abgleich Kapazität'!$A109)*(Capacity_Entsoe_SFS_2017!$D$1:$AL$1='Abgleich Kapazität'!H$81)*Capacity_Entsoe_SFS_2017!$D$3:$AK$38)+SUMPRODUCT((Capacity_Entsoe_SFS_2017!$A$3:$A$38='Abgleich Kapazität'!$A109)*(Capacity_Entsoe_SFS_2017!$D$1:$AL$1='Abgleich Kapazität'!H$80)*Capacity_Entsoe_SFS_2017!$D$3:$AK$38)+SUMPRODUCT((Capacity_Entsoe_SFS_2017!$A$3:$A$38='Abgleich Kapazität'!$A109)*(Capacity_Entsoe_SFS_2017!$D$1:$AL$1='Abgleich Kapazität'!H$79)*Capacity_Entsoe_SFS_2017!$D$3:$AK$38)+SUMPRODUCT((Capacity_Entsoe_SFS_2017!$A$3:$A$38='Abgleich Kapazität'!$A109)*(Capacity_Entsoe_SFS_2017!$D$1:$AL$1='Abgleich Kapazität'!H$78)*Capacity_Entsoe_SFS_2017!$D$3:$AK$38))/1000</f>
        <v>#VALUE!</v>
      </c>
      <c r="I109" s="26" t="e">
        <f>(SUMPRODUCT((Capacity_Entsoe_SFS_2017!$A$3:$A$38='Abgleich Kapazität'!$A109)*(Capacity_Entsoe_SFS_2017!$D$1:$AL$1='Abgleich Kapazität'!I$81)*Capacity_Entsoe_SFS_2017!$D$3:$AK$38)+SUMPRODUCT((Capacity_Entsoe_SFS_2017!$A$3:$A$38='Abgleich Kapazität'!$A109)*(Capacity_Entsoe_SFS_2017!$D$1:$AL$1='Abgleich Kapazität'!I$80)*Capacity_Entsoe_SFS_2017!$D$3:$AK$38)+SUMPRODUCT((Capacity_Entsoe_SFS_2017!$A$3:$A$38='Abgleich Kapazität'!$A109)*(Capacity_Entsoe_SFS_2017!$D$1:$AL$1='Abgleich Kapazität'!I$79)*Capacity_Entsoe_SFS_2017!$D$3:$AK$38)+SUMPRODUCT((Capacity_Entsoe_SFS_2017!$A$3:$A$38='Abgleich Kapazität'!$A109)*(Capacity_Entsoe_SFS_2017!$D$1:$AL$1='Abgleich Kapazität'!I$78)*Capacity_Entsoe_SFS_2017!$D$3:$AK$38))/1000</f>
        <v>#VALUE!</v>
      </c>
      <c r="J109" s="26" t="e">
        <f>(SUMPRODUCT((Capacity_Entsoe_SFS_2017!$A$3:$A$38='Abgleich Kapazität'!$A109)*(Capacity_Entsoe_SFS_2017!$D$1:$AL$1='Abgleich Kapazität'!J$81)*Capacity_Entsoe_SFS_2017!$D$3:$AK$38)+SUMPRODUCT((Capacity_Entsoe_SFS_2017!$A$3:$A$38='Abgleich Kapazität'!$A109)*(Capacity_Entsoe_SFS_2017!$D$1:$AL$1='Abgleich Kapazität'!J$80)*Capacity_Entsoe_SFS_2017!$D$3:$AK$38)+SUMPRODUCT((Capacity_Entsoe_SFS_2017!$A$3:$A$38='Abgleich Kapazität'!$A109)*(Capacity_Entsoe_SFS_2017!$D$1:$AL$1='Abgleich Kapazität'!J$79)*Capacity_Entsoe_SFS_2017!$D$3:$AK$38)+SUMPRODUCT((Capacity_Entsoe_SFS_2017!$A$3:$A$38='Abgleich Kapazität'!$A109)*(Capacity_Entsoe_SFS_2017!$D$1:$AL$1='Abgleich Kapazität'!J$78)*Capacity_Entsoe_SFS_2017!$D$3:$AK$38))/1000</f>
        <v>#VALUE!</v>
      </c>
      <c r="K109" s="27" t="e">
        <f t="shared" si="79"/>
        <v>#VALUE!</v>
      </c>
      <c r="L109" s="26" t="e">
        <f>(SUMPRODUCT((Capacity_Entsoe_SFS_2017!$A$3:$A$38='Abgleich Kapazität'!$A109)*(Capacity_Entsoe_SFS_2017!$D$1:$AL$1='Abgleich Kapazität'!L$81)*Capacity_Entsoe_SFS_2017!$D$3:$AK$38)+SUMPRODUCT((Capacity_Entsoe_SFS_2017!$A$3:$A$38='Abgleich Kapazität'!$A109)*(Capacity_Entsoe_SFS_2017!$D$1:$AL$1='Abgleich Kapazität'!L$80)*Capacity_Entsoe_SFS_2017!$D$3:$AK$38)+SUMPRODUCT((Capacity_Entsoe_SFS_2017!$A$3:$A$38='Abgleich Kapazität'!$A109)*(Capacity_Entsoe_SFS_2017!$D$1:$AL$1='Abgleich Kapazität'!L$79)*Capacity_Entsoe_SFS_2017!$D$3:$AK$38)+SUMPRODUCT((Capacity_Entsoe_SFS_2017!$A$3:$A$38='Abgleich Kapazität'!$A109)*(Capacity_Entsoe_SFS_2017!$D$1:$AL$1='Abgleich Kapazität'!L$78)*Capacity_Entsoe_SFS_2017!$D$3:$AK$38)+SUMPRODUCT((Capacity_Entsoe_SFS_2017!$A$3:$A$38='Abgleich Kapazität'!$A109)*(Capacity_Entsoe_SFS_2017!$D$1:$AL$1='Abgleich Kapazität'!L$77)*Capacity_Entsoe_SFS_2017!$D$3:$AK$38)+SUMPRODUCT((Capacity_Entsoe_SFS_2017!$A$3:$A$38='Abgleich Kapazität'!$A109)*(Capacity_Entsoe_SFS_2017!$D$1:$AL$1='Abgleich Kapazität'!L$76)*Capacity_Entsoe_SFS_2017!$D$3:$AK$38))/1000</f>
        <v>#VALUE!</v>
      </c>
      <c r="M109" s="26" t="e">
        <f>(SUMPRODUCT((Capacity_Entsoe_SFS_2017!$A$3:$A$38='Abgleich Kapazität'!$A109)*(Capacity_Entsoe_SFS_2017!$D$1:$AL$1='Abgleich Kapazität'!M$81)*Capacity_Entsoe_SFS_2017!$D$3:$AK$38)+SUMPRODUCT((Capacity_Entsoe_SFS_2017!$A$3:$A$38='Abgleich Kapazität'!$A109)*(Capacity_Entsoe_SFS_2017!$D$1:$AL$1='Abgleich Kapazität'!M$80)*Capacity_Entsoe_SFS_2017!$D$3:$AK$38)+SUMPRODUCT((Capacity_Entsoe_SFS_2017!$A$3:$A$38='Abgleich Kapazität'!$A109)*(Capacity_Entsoe_SFS_2017!$D$1:$AL$1='Abgleich Kapazität'!M$79)*Capacity_Entsoe_SFS_2017!$D$3:$AK$38)+SUMPRODUCT((Capacity_Entsoe_SFS_2017!$A$3:$A$38='Abgleich Kapazität'!$A109)*(Capacity_Entsoe_SFS_2017!$D$1:$AL$1='Abgleich Kapazität'!M$78)*Capacity_Entsoe_SFS_2017!$D$3:$AK$38)+SUMPRODUCT((Capacity_Entsoe_SFS_2017!$A$3:$A$38='Abgleich Kapazität'!$A109)*(Capacity_Entsoe_SFS_2017!$D$1:$AL$1='Abgleich Kapazität'!M$77)*Capacity_Entsoe_SFS_2017!$D$3:$AK$38)+SUMPRODUCT((Capacity_Entsoe_SFS_2017!$A$3:$A$38='Abgleich Kapazität'!$A109)*(Capacity_Entsoe_SFS_2017!$D$1:$AL$1='Abgleich Kapazität'!M$76)*Capacity_Entsoe_SFS_2017!$D$3:$AK$38))/1000</f>
        <v>#VALUE!</v>
      </c>
      <c r="N109" s="26" t="e">
        <f>(SUMPRODUCT((Capacity_Entsoe_SFS_2017!$A$3:$A$38='Abgleich Kapazität'!$A109)*(Capacity_Entsoe_SFS_2017!$D$1:$AL$1='Abgleich Kapazität'!N$81)*Capacity_Entsoe_SFS_2017!$D$3:$AK$38)+SUMPRODUCT((Capacity_Entsoe_SFS_2017!$A$3:$A$38='Abgleich Kapazität'!$A109)*(Capacity_Entsoe_SFS_2017!$D$1:$AL$1='Abgleich Kapazität'!N$80)*Capacity_Entsoe_SFS_2017!$D$3:$AK$38)+SUMPRODUCT((Capacity_Entsoe_SFS_2017!$A$3:$A$38='Abgleich Kapazität'!$A109)*(Capacity_Entsoe_SFS_2017!$D$1:$AL$1='Abgleich Kapazität'!N$79)*Capacity_Entsoe_SFS_2017!$D$3:$AK$38)+SUMPRODUCT((Capacity_Entsoe_SFS_2017!$A$3:$A$38='Abgleich Kapazität'!$A109)*(Capacity_Entsoe_SFS_2017!$D$1:$AL$1='Abgleich Kapazität'!N$78)*Capacity_Entsoe_SFS_2017!$D$3:$AK$38)+SUMPRODUCT((Capacity_Entsoe_SFS_2017!$A$3:$A$38='Abgleich Kapazität'!$A109)*(Capacity_Entsoe_SFS_2017!$D$1:$AL$1='Abgleich Kapazität'!N$77)*Capacity_Entsoe_SFS_2017!$D$3:$AK$38)+SUMPRODUCT((Capacity_Entsoe_SFS_2017!$A$3:$A$38='Abgleich Kapazität'!$A109)*(Capacity_Entsoe_SFS_2017!$D$1:$AL$1='Abgleich Kapazität'!N$76)*Capacity_Entsoe_SFS_2017!$D$3:$AK$38))/1000</f>
        <v>#VALUE!</v>
      </c>
      <c r="O109" s="26" t="e">
        <f>(SUMPRODUCT((Capacity_Entsoe_SFS_2017!$A$3:$A$38='Abgleich Kapazität'!$A109)*(Capacity_Entsoe_SFS_2017!$D$1:$AL$1='Abgleich Kapazität'!O$81)*Capacity_Entsoe_SFS_2017!$D$3:$AK$38)+SUMPRODUCT((Capacity_Entsoe_SFS_2017!$A$3:$A$38='Abgleich Kapazität'!$A109)*(Capacity_Entsoe_SFS_2017!$D$1:$AL$1='Abgleich Kapazität'!O$80)*Capacity_Entsoe_SFS_2017!$D$3:$AK$38)+SUMPRODUCT((Capacity_Entsoe_SFS_2017!$A$3:$A$38='Abgleich Kapazität'!$A109)*(Capacity_Entsoe_SFS_2017!$D$1:$AL$1='Abgleich Kapazität'!O$79)*Capacity_Entsoe_SFS_2017!$D$3:$AK$38)+SUMPRODUCT((Capacity_Entsoe_SFS_2017!$A$3:$A$38='Abgleich Kapazität'!$A109)*(Capacity_Entsoe_SFS_2017!$D$1:$AL$1='Abgleich Kapazität'!O$78)*Capacity_Entsoe_SFS_2017!$D$3:$AK$38)+SUMPRODUCT((Capacity_Entsoe_SFS_2017!$A$3:$A$38='Abgleich Kapazität'!$A109)*(Capacity_Entsoe_SFS_2017!$D$1:$AL$1='Abgleich Kapazität'!O$77)*Capacity_Entsoe_SFS_2017!$D$3:$AK$38)+SUMPRODUCT((Capacity_Entsoe_SFS_2017!$A$3:$A$38='Abgleich Kapazität'!$A109)*(Capacity_Entsoe_SFS_2017!$D$1:$AL$1='Abgleich Kapazität'!O$76)*Capacity_Entsoe_SFS_2017!$D$3:$AK$38))/1000</f>
        <v>#VALUE!</v>
      </c>
      <c r="P109" s="26" t="e">
        <f>(SUMPRODUCT((Capacity_Entsoe_SFS_2017!$A$3:$A$38='Abgleich Kapazität'!$A109)*(Capacity_Entsoe_SFS_2017!$D$1:$AL$1='Abgleich Kapazität'!P$81)*Capacity_Entsoe_SFS_2017!$D$3:$AK$38)+SUMPRODUCT((Capacity_Entsoe_SFS_2017!$A$3:$A$38='Abgleich Kapazität'!$A109)*(Capacity_Entsoe_SFS_2017!$D$1:$AL$1='Abgleich Kapazität'!P$80)*Capacity_Entsoe_SFS_2017!$D$3:$AK$38)+SUMPRODUCT((Capacity_Entsoe_SFS_2017!$A$3:$A$38='Abgleich Kapazität'!$A109)*(Capacity_Entsoe_SFS_2017!$D$1:$AL$1='Abgleich Kapazität'!P$79)*Capacity_Entsoe_SFS_2017!$D$3:$AK$38)+SUMPRODUCT((Capacity_Entsoe_SFS_2017!$A$3:$A$38='Abgleich Kapazität'!$A109)*(Capacity_Entsoe_SFS_2017!$D$1:$AL$1='Abgleich Kapazität'!P$78)*Capacity_Entsoe_SFS_2017!$D$3:$AK$38)+SUMPRODUCT((Capacity_Entsoe_SFS_2017!$A$3:$A$38='Abgleich Kapazität'!$A109)*(Capacity_Entsoe_SFS_2017!$D$1:$AL$1='Abgleich Kapazität'!P$77)*Capacity_Entsoe_SFS_2017!$D$3:$AK$38)+SUMPRODUCT((Capacity_Entsoe_SFS_2017!$A$3:$A$38='Abgleich Kapazität'!$A109)*(Capacity_Entsoe_SFS_2017!$D$1:$AL$1='Abgleich Kapazität'!P$76)*Capacity_Entsoe_SFS_2017!$D$3:$AK$38))/1000</f>
        <v>#VALUE!</v>
      </c>
      <c r="Q109" s="26" t="e">
        <f>(SUMPRODUCT((Capacity_Entsoe_SFS_2017!$A$3:$A$38='Abgleich Kapazität'!$A109)*(Capacity_Entsoe_SFS_2017!$D$1:$AL$1='Abgleich Kapazität'!Q$81)*Capacity_Entsoe_SFS_2017!$D$3:$AK$38)+SUMPRODUCT((Capacity_Entsoe_SFS_2017!$A$3:$A$38='Abgleich Kapazität'!$A109)*(Capacity_Entsoe_SFS_2017!$D$1:$AL$1='Abgleich Kapazität'!Q$80)*Capacity_Entsoe_SFS_2017!$D$3:$AK$38)+SUMPRODUCT((Capacity_Entsoe_SFS_2017!$A$3:$A$38='Abgleich Kapazität'!$A109)*(Capacity_Entsoe_SFS_2017!$D$1:$AL$1='Abgleich Kapazität'!Q$79)*Capacity_Entsoe_SFS_2017!$D$3:$AK$38)+SUMPRODUCT((Capacity_Entsoe_SFS_2017!$A$3:$A$38='Abgleich Kapazität'!$A109)*(Capacity_Entsoe_SFS_2017!$D$1:$AL$1='Abgleich Kapazität'!Q$78)*Capacity_Entsoe_SFS_2017!$D$3:$AK$38)+SUMPRODUCT((Capacity_Entsoe_SFS_2017!$A$3:$A$38='Abgleich Kapazität'!$A109)*(Capacity_Entsoe_SFS_2017!$D$1:$AL$1='Abgleich Kapazität'!Q$77)*Capacity_Entsoe_SFS_2017!$D$3:$AK$38)+SUMPRODUCT((Capacity_Entsoe_SFS_2017!$A$3:$A$38='Abgleich Kapazität'!$A109)*(Capacity_Entsoe_SFS_2017!$D$1:$AL$1='Abgleich Kapazität'!Q$76)*Capacity_Entsoe_SFS_2017!$D$3:$AK$38))/1000</f>
        <v>#VALUE!</v>
      </c>
      <c r="R109" s="26" t="e">
        <f>(SUMPRODUCT((Capacity_Entsoe_SFS_2017!$A$3:$A$38='Abgleich Kapazität'!$A109)*(Capacity_Entsoe_SFS_2017!$D$1:$AL$1='Abgleich Kapazität'!R$81)*Capacity_Entsoe_SFS_2017!$D$3:$AK$38)+SUMPRODUCT((Capacity_Entsoe_SFS_2017!$A$3:$A$38='Abgleich Kapazität'!$A109)*(Capacity_Entsoe_SFS_2017!$D$1:$AL$1='Abgleich Kapazität'!R$80)*Capacity_Entsoe_SFS_2017!$D$3:$AK$38)+SUMPRODUCT((Capacity_Entsoe_SFS_2017!$A$3:$A$38='Abgleich Kapazität'!$A109)*(Capacity_Entsoe_SFS_2017!$D$1:$AL$1='Abgleich Kapazität'!R$79)*Capacity_Entsoe_SFS_2017!$D$3:$AK$38)+SUMPRODUCT((Capacity_Entsoe_SFS_2017!$A$3:$A$38='Abgleich Kapazität'!$A109)*(Capacity_Entsoe_SFS_2017!$D$1:$AL$1='Abgleich Kapazität'!R$78)*Capacity_Entsoe_SFS_2017!$D$3:$AK$38)+SUMPRODUCT((Capacity_Entsoe_SFS_2017!$A$3:$A$38='Abgleich Kapazität'!$A109)*(Capacity_Entsoe_SFS_2017!$D$1:$AL$1='Abgleich Kapazität'!R$77)*Capacity_Entsoe_SFS_2017!$D$3:$AK$38)+SUMPRODUCT((Capacity_Entsoe_SFS_2017!$A$3:$A$38='Abgleich Kapazität'!$A109)*(Capacity_Entsoe_SFS_2017!$D$1:$AL$1='Abgleich Kapazität'!R$76)*Capacity_Entsoe_SFS_2017!$D$3:$AK$38))/1000</f>
        <v>#VALUE!</v>
      </c>
      <c r="S109" s="26" t="e">
        <f>(SUMPRODUCT((Capacity_Entsoe_SFS_2017!$A$3:$A$38='Abgleich Kapazität'!$A109)*(Capacity_Entsoe_SFS_2017!$D$1:$AL$1='Abgleich Kapazität'!S$81)*Capacity_Entsoe_SFS_2017!$D$3:$AK$38)+SUMPRODUCT((Capacity_Entsoe_SFS_2017!$A$3:$A$38='Abgleich Kapazität'!$A109)*(Capacity_Entsoe_SFS_2017!$D$1:$AL$1='Abgleich Kapazität'!S$80)*Capacity_Entsoe_SFS_2017!$D$3:$AK$38)+SUMPRODUCT((Capacity_Entsoe_SFS_2017!$A$3:$A$38='Abgleich Kapazität'!$A109)*(Capacity_Entsoe_SFS_2017!$D$1:$AL$1='Abgleich Kapazität'!S$79)*Capacity_Entsoe_SFS_2017!$D$3:$AK$38)+SUMPRODUCT((Capacity_Entsoe_SFS_2017!$A$3:$A$38='Abgleich Kapazität'!$A109)*(Capacity_Entsoe_SFS_2017!$D$1:$AL$1='Abgleich Kapazität'!S$78)*Capacity_Entsoe_SFS_2017!$D$3:$AK$38)+SUMPRODUCT((Capacity_Entsoe_SFS_2017!$A$3:$A$38='Abgleich Kapazität'!$A109)*(Capacity_Entsoe_SFS_2017!$D$1:$AL$1='Abgleich Kapazität'!S$77)*Capacity_Entsoe_SFS_2017!$D$3:$AK$38)+SUMPRODUCT((Capacity_Entsoe_SFS_2017!$A$3:$A$38='Abgleich Kapazität'!$A109)*(Capacity_Entsoe_SFS_2017!$D$1:$AL$1='Abgleich Kapazität'!S$76)*Capacity_Entsoe_SFS_2017!$D$3:$AK$38))/1000</f>
        <v>#VALUE!</v>
      </c>
      <c r="T109" s="26" t="e">
        <f>(SUMPRODUCT((Capacity_Entsoe_SFS_2017!$A$3:$A$38='Abgleich Kapazität'!$A109)*(Capacity_Entsoe_SFS_2017!$D$1:$AL$1='Abgleich Kapazität'!T$81)*Capacity_Entsoe_SFS_2017!$D$3:$AK$38)+SUMPRODUCT((Capacity_Entsoe_SFS_2017!$A$3:$A$38='Abgleich Kapazität'!$A109)*(Capacity_Entsoe_SFS_2017!$D$1:$AL$1='Abgleich Kapazität'!T$80)*Capacity_Entsoe_SFS_2017!$D$3:$AK$38)+SUMPRODUCT((Capacity_Entsoe_SFS_2017!$A$3:$A$38='Abgleich Kapazität'!$A109)*(Capacity_Entsoe_SFS_2017!$D$1:$AL$1='Abgleich Kapazität'!T$79)*Capacity_Entsoe_SFS_2017!$D$3:$AK$38)+SUMPRODUCT((Capacity_Entsoe_SFS_2017!$A$3:$A$38='Abgleich Kapazität'!$A109)*(Capacity_Entsoe_SFS_2017!$D$1:$AL$1='Abgleich Kapazität'!T$78)*Capacity_Entsoe_SFS_2017!$D$3:$AK$38)+SUMPRODUCT((Capacity_Entsoe_SFS_2017!$A$3:$A$38='Abgleich Kapazität'!$A109)*(Capacity_Entsoe_SFS_2017!$D$1:$AL$1='Abgleich Kapazität'!T$77)*Capacity_Entsoe_SFS_2017!$D$3:$AK$38)+SUMPRODUCT((Capacity_Entsoe_SFS_2017!$A$3:$A$38='Abgleich Kapazität'!$A109)*(Capacity_Entsoe_SFS_2017!$D$1:$AL$1='Abgleich Kapazität'!T$76)*Capacity_Entsoe_SFS_2017!$D$3:$AK$38))/1000</f>
        <v>#VALUE!</v>
      </c>
      <c r="U109" s="26" t="e">
        <f>(SUMPRODUCT((Capacity_Entsoe_SFS_2017!$A$3:$A$38='Abgleich Kapazität'!$A109)*(Capacity_Entsoe_SFS_2017!$D$1:$AL$1='Abgleich Kapazität'!U$81)*Capacity_Entsoe_SFS_2017!$D$3:$AK$38)+SUMPRODUCT((Capacity_Entsoe_SFS_2017!$A$3:$A$38='Abgleich Kapazität'!$A109)*(Capacity_Entsoe_SFS_2017!$D$1:$AL$1='Abgleich Kapazität'!U$80)*Capacity_Entsoe_SFS_2017!$D$3:$AK$38)+SUMPRODUCT((Capacity_Entsoe_SFS_2017!$A$3:$A$38='Abgleich Kapazität'!$A109)*(Capacity_Entsoe_SFS_2017!$D$1:$AL$1='Abgleich Kapazität'!U$79)*Capacity_Entsoe_SFS_2017!$D$3:$AK$38)+SUMPRODUCT((Capacity_Entsoe_SFS_2017!$A$3:$A$38='Abgleich Kapazität'!$A109)*(Capacity_Entsoe_SFS_2017!$D$1:$AL$1='Abgleich Kapazität'!U$78)*Capacity_Entsoe_SFS_2017!$D$3:$AK$38)+SUMPRODUCT((Capacity_Entsoe_SFS_2017!$A$3:$A$38='Abgleich Kapazität'!$A109)*(Capacity_Entsoe_SFS_2017!$D$1:$AL$1='Abgleich Kapazität'!U$77)*Capacity_Entsoe_SFS_2017!$D$3:$AK$38)+SUMPRODUCT((Capacity_Entsoe_SFS_2017!$A$3:$A$38='Abgleich Kapazität'!$A109)*(Capacity_Entsoe_SFS_2017!$D$1:$AL$1='Abgleich Kapazität'!U$76)*Capacity_Entsoe_SFS_2017!$D$3:$AK$38))/1000</f>
        <v>#VALUE!</v>
      </c>
      <c r="V109" s="27" t="e">
        <f t="shared" si="80"/>
        <v>#VALUE!</v>
      </c>
    </row>
    <row r="110" spans="1:22" x14ac:dyDescent="0.25">
      <c r="A110" s="14" t="s">
        <v>36</v>
      </c>
      <c r="B110" s="57" t="e">
        <f t="shared" si="77"/>
        <v>#VALUE!</v>
      </c>
      <c r="C110" s="58" t="e">
        <f>(SUMPRODUCT((Capacity_Entsoe_SFS_2017!$A$3:$A$38='Abgleich Kapazität'!$A110)*(Capacity_Entsoe_SFS_2017!$D$1:$AL$1='Abgleich Kapazität'!C$81)*Capacity_Entsoe_SFS_2017!$D$3:$AK$38)+SUMPRODUCT((Capacity_Entsoe_SFS_2017!$A$3:$A$38='Abgleich Kapazität'!$A110)*(Capacity_Entsoe_SFS_2017!$D$1:$AL$1='Abgleich Kapazität'!C$80)*Capacity_Entsoe_SFS_2017!$D$3:$AK$38)+SUMPRODUCT((Capacity_Entsoe_SFS_2017!$A$3:$A$38='Abgleich Kapazität'!$A110)*(Capacity_Entsoe_SFS_2017!$D$1:$AL$1='Abgleich Kapazität'!C$79)*Capacity_Entsoe_SFS_2017!$D$3:$AK$38)+SUMPRODUCT((Capacity_Entsoe_SFS_2017!$A$3:$A$38='Abgleich Kapazität'!$A110)*(Capacity_Entsoe_SFS_2017!$D$1:$AL$1='Abgleich Kapazität'!C$78)*Capacity_Entsoe_SFS_2017!$D$3:$AK$38))/1000</f>
        <v>#VALUE!</v>
      </c>
      <c r="D110" s="58" t="e">
        <f t="shared" si="78"/>
        <v>#VALUE!</v>
      </c>
      <c r="E110" s="58" t="e">
        <f>(SUMPRODUCT((Capacity_Entsoe_SFS_2017!$A$3:$A$38='Abgleich Kapazität'!$A110)*(Capacity_Entsoe_SFS_2017!$D$1:$AL$1='Abgleich Kapazität'!E$81)*Capacity_Entsoe_SFS_2017!$D$3:$AK$38)+SUMPRODUCT((Capacity_Entsoe_SFS_2017!$A$3:$A$38='Abgleich Kapazität'!$A110)*(Capacity_Entsoe_SFS_2017!$D$1:$AL$1='Abgleich Kapazität'!E$80)*Capacity_Entsoe_SFS_2017!$D$3:$AK$38)+SUMPRODUCT((Capacity_Entsoe_SFS_2017!$A$3:$A$38='Abgleich Kapazität'!$A110)*(Capacity_Entsoe_SFS_2017!$D$1:$AL$1='Abgleich Kapazität'!E$79)*Capacity_Entsoe_SFS_2017!$D$3:$AK$38)+SUMPRODUCT((Capacity_Entsoe_SFS_2017!$A$3:$A$38='Abgleich Kapazität'!$A110)*(Capacity_Entsoe_SFS_2017!$D$1:$AL$1='Abgleich Kapazität'!E$78)*Capacity_Entsoe_SFS_2017!$D$3:$AK$38))/1000</f>
        <v>#VALUE!</v>
      </c>
      <c r="F110" s="58" t="e">
        <f>(SUMPRODUCT((Capacity_Entsoe_SFS_2017!$A$3:$A$38='Abgleich Kapazität'!$A110)*(Capacity_Entsoe_SFS_2017!$D$1:$AL$1='Abgleich Kapazität'!F$81)*Capacity_Entsoe_SFS_2017!$D$3:$AK$38)+SUMPRODUCT((Capacity_Entsoe_SFS_2017!$A$3:$A$38='Abgleich Kapazität'!$A110)*(Capacity_Entsoe_SFS_2017!$D$1:$AL$1='Abgleich Kapazität'!F$80)*Capacity_Entsoe_SFS_2017!$D$3:$AK$38)+SUMPRODUCT((Capacity_Entsoe_SFS_2017!$A$3:$A$38='Abgleich Kapazität'!$A110)*(Capacity_Entsoe_SFS_2017!$D$1:$AL$1='Abgleich Kapazität'!F$79)*Capacity_Entsoe_SFS_2017!$D$3:$AK$38)+SUMPRODUCT((Capacity_Entsoe_SFS_2017!$A$3:$A$38='Abgleich Kapazität'!$A110)*(Capacity_Entsoe_SFS_2017!$D$1:$AL$1='Abgleich Kapazität'!F$78)*Capacity_Entsoe_SFS_2017!$D$3:$AK$38))/1000</f>
        <v>#VALUE!</v>
      </c>
      <c r="G110" s="58" t="e">
        <f>(SUMPRODUCT((Capacity_Entsoe_SFS_2017!$A$3:$A$38='Abgleich Kapazität'!$A110)*(Capacity_Entsoe_SFS_2017!$D$1:$AL$1='Abgleich Kapazität'!G$81)*Capacity_Entsoe_SFS_2017!$D$3:$AK$38)+SUMPRODUCT((Capacity_Entsoe_SFS_2017!$A$3:$A$38='Abgleich Kapazität'!$A110)*(Capacity_Entsoe_SFS_2017!$D$1:$AL$1='Abgleich Kapazität'!G$80)*Capacity_Entsoe_SFS_2017!$D$3:$AK$38)+SUMPRODUCT((Capacity_Entsoe_SFS_2017!$A$3:$A$38='Abgleich Kapazität'!$A110)*(Capacity_Entsoe_SFS_2017!$D$1:$AL$1='Abgleich Kapazität'!G$79)*Capacity_Entsoe_SFS_2017!$D$3:$AK$38)+SUMPRODUCT((Capacity_Entsoe_SFS_2017!$A$3:$A$38='Abgleich Kapazität'!$A110)*(Capacity_Entsoe_SFS_2017!$D$1:$AL$1='Abgleich Kapazität'!G$78)*Capacity_Entsoe_SFS_2017!$D$3:$AK$38))/1000</f>
        <v>#VALUE!</v>
      </c>
      <c r="H110" s="58" t="e">
        <f>(SUMPRODUCT((Capacity_Entsoe_SFS_2017!$A$3:$A$38='Abgleich Kapazität'!$A110)*(Capacity_Entsoe_SFS_2017!$D$1:$AL$1='Abgleich Kapazität'!H$81)*Capacity_Entsoe_SFS_2017!$D$3:$AK$38)+SUMPRODUCT((Capacity_Entsoe_SFS_2017!$A$3:$A$38='Abgleich Kapazität'!$A110)*(Capacity_Entsoe_SFS_2017!$D$1:$AL$1='Abgleich Kapazität'!H$80)*Capacity_Entsoe_SFS_2017!$D$3:$AK$38)+SUMPRODUCT((Capacity_Entsoe_SFS_2017!$A$3:$A$38='Abgleich Kapazität'!$A110)*(Capacity_Entsoe_SFS_2017!$D$1:$AL$1='Abgleich Kapazität'!H$79)*Capacity_Entsoe_SFS_2017!$D$3:$AK$38)+SUMPRODUCT((Capacity_Entsoe_SFS_2017!$A$3:$A$38='Abgleich Kapazität'!$A110)*(Capacity_Entsoe_SFS_2017!$D$1:$AL$1='Abgleich Kapazität'!H$78)*Capacity_Entsoe_SFS_2017!$D$3:$AK$38))/1000</f>
        <v>#VALUE!</v>
      </c>
      <c r="I110" s="58" t="e">
        <f>(SUMPRODUCT((Capacity_Entsoe_SFS_2017!$A$3:$A$38='Abgleich Kapazität'!$A110)*(Capacity_Entsoe_SFS_2017!$D$1:$AL$1='Abgleich Kapazität'!I$81)*Capacity_Entsoe_SFS_2017!$D$3:$AK$38)+SUMPRODUCT((Capacity_Entsoe_SFS_2017!$A$3:$A$38='Abgleich Kapazität'!$A110)*(Capacity_Entsoe_SFS_2017!$D$1:$AL$1='Abgleich Kapazität'!I$80)*Capacity_Entsoe_SFS_2017!$D$3:$AK$38)+SUMPRODUCT((Capacity_Entsoe_SFS_2017!$A$3:$A$38='Abgleich Kapazität'!$A110)*(Capacity_Entsoe_SFS_2017!$D$1:$AL$1='Abgleich Kapazität'!I$79)*Capacity_Entsoe_SFS_2017!$D$3:$AK$38)+SUMPRODUCT((Capacity_Entsoe_SFS_2017!$A$3:$A$38='Abgleich Kapazität'!$A110)*(Capacity_Entsoe_SFS_2017!$D$1:$AL$1='Abgleich Kapazität'!I$78)*Capacity_Entsoe_SFS_2017!$D$3:$AK$38))/1000</f>
        <v>#VALUE!</v>
      </c>
      <c r="J110" s="58" t="e">
        <f>(SUMPRODUCT((Capacity_Entsoe_SFS_2017!$A$3:$A$38='Abgleich Kapazität'!$A110)*(Capacity_Entsoe_SFS_2017!$D$1:$AL$1='Abgleich Kapazität'!J$81)*Capacity_Entsoe_SFS_2017!$D$3:$AK$38)+SUMPRODUCT((Capacity_Entsoe_SFS_2017!$A$3:$A$38='Abgleich Kapazität'!$A110)*(Capacity_Entsoe_SFS_2017!$D$1:$AL$1='Abgleich Kapazität'!J$80)*Capacity_Entsoe_SFS_2017!$D$3:$AK$38)+SUMPRODUCT((Capacity_Entsoe_SFS_2017!$A$3:$A$38='Abgleich Kapazität'!$A110)*(Capacity_Entsoe_SFS_2017!$D$1:$AL$1='Abgleich Kapazität'!J$79)*Capacity_Entsoe_SFS_2017!$D$3:$AK$38)+SUMPRODUCT((Capacity_Entsoe_SFS_2017!$A$3:$A$38='Abgleich Kapazität'!$A110)*(Capacity_Entsoe_SFS_2017!$D$1:$AL$1='Abgleich Kapazität'!J$78)*Capacity_Entsoe_SFS_2017!$D$3:$AK$38))/1000</f>
        <v>#VALUE!</v>
      </c>
      <c r="K110" s="59" t="e">
        <f t="shared" si="79"/>
        <v>#VALUE!</v>
      </c>
      <c r="L110" s="58" t="e">
        <f>(SUMPRODUCT((Capacity_Entsoe_SFS_2017!$A$3:$A$38='Abgleich Kapazität'!$A110)*(Capacity_Entsoe_SFS_2017!$D$1:$AL$1='Abgleich Kapazität'!L$81)*Capacity_Entsoe_SFS_2017!$D$3:$AK$38)+SUMPRODUCT((Capacity_Entsoe_SFS_2017!$A$3:$A$38='Abgleich Kapazität'!$A110)*(Capacity_Entsoe_SFS_2017!$D$1:$AL$1='Abgleich Kapazität'!L$80)*Capacity_Entsoe_SFS_2017!$D$3:$AK$38)+SUMPRODUCT((Capacity_Entsoe_SFS_2017!$A$3:$A$38='Abgleich Kapazität'!$A110)*(Capacity_Entsoe_SFS_2017!$D$1:$AL$1='Abgleich Kapazität'!L$79)*Capacity_Entsoe_SFS_2017!$D$3:$AK$38)+SUMPRODUCT((Capacity_Entsoe_SFS_2017!$A$3:$A$38='Abgleich Kapazität'!$A110)*(Capacity_Entsoe_SFS_2017!$D$1:$AL$1='Abgleich Kapazität'!L$78)*Capacity_Entsoe_SFS_2017!$D$3:$AK$38)+SUMPRODUCT((Capacity_Entsoe_SFS_2017!$A$3:$A$38='Abgleich Kapazität'!$A110)*(Capacity_Entsoe_SFS_2017!$D$1:$AL$1='Abgleich Kapazität'!L$77)*Capacity_Entsoe_SFS_2017!$D$3:$AK$38)+SUMPRODUCT((Capacity_Entsoe_SFS_2017!$A$3:$A$38='Abgleich Kapazität'!$A110)*(Capacity_Entsoe_SFS_2017!$D$1:$AL$1='Abgleich Kapazität'!L$76)*Capacity_Entsoe_SFS_2017!$D$3:$AK$38))/1000</f>
        <v>#VALUE!</v>
      </c>
      <c r="M110" s="58" t="e">
        <f>(SUMPRODUCT((Capacity_Entsoe_SFS_2017!$A$3:$A$38='Abgleich Kapazität'!$A110)*(Capacity_Entsoe_SFS_2017!$D$1:$AL$1='Abgleich Kapazität'!M$81)*Capacity_Entsoe_SFS_2017!$D$3:$AK$38)+SUMPRODUCT((Capacity_Entsoe_SFS_2017!$A$3:$A$38='Abgleich Kapazität'!$A110)*(Capacity_Entsoe_SFS_2017!$D$1:$AL$1='Abgleich Kapazität'!M$80)*Capacity_Entsoe_SFS_2017!$D$3:$AK$38)+SUMPRODUCT((Capacity_Entsoe_SFS_2017!$A$3:$A$38='Abgleich Kapazität'!$A110)*(Capacity_Entsoe_SFS_2017!$D$1:$AL$1='Abgleich Kapazität'!M$79)*Capacity_Entsoe_SFS_2017!$D$3:$AK$38)+SUMPRODUCT((Capacity_Entsoe_SFS_2017!$A$3:$A$38='Abgleich Kapazität'!$A110)*(Capacity_Entsoe_SFS_2017!$D$1:$AL$1='Abgleich Kapazität'!M$78)*Capacity_Entsoe_SFS_2017!$D$3:$AK$38)+SUMPRODUCT((Capacity_Entsoe_SFS_2017!$A$3:$A$38='Abgleich Kapazität'!$A110)*(Capacity_Entsoe_SFS_2017!$D$1:$AL$1='Abgleich Kapazität'!M$77)*Capacity_Entsoe_SFS_2017!$D$3:$AK$38)+SUMPRODUCT((Capacity_Entsoe_SFS_2017!$A$3:$A$38='Abgleich Kapazität'!$A110)*(Capacity_Entsoe_SFS_2017!$D$1:$AL$1='Abgleich Kapazität'!M$76)*Capacity_Entsoe_SFS_2017!$D$3:$AK$38))/1000</f>
        <v>#VALUE!</v>
      </c>
      <c r="N110" s="58" t="e">
        <f>(SUMPRODUCT((Capacity_Entsoe_SFS_2017!$A$3:$A$38='Abgleich Kapazität'!$A110)*(Capacity_Entsoe_SFS_2017!$D$1:$AL$1='Abgleich Kapazität'!N$81)*Capacity_Entsoe_SFS_2017!$D$3:$AK$38)+SUMPRODUCT((Capacity_Entsoe_SFS_2017!$A$3:$A$38='Abgleich Kapazität'!$A110)*(Capacity_Entsoe_SFS_2017!$D$1:$AL$1='Abgleich Kapazität'!N$80)*Capacity_Entsoe_SFS_2017!$D$3:$AK$38)+SUMPRODUCT((Capacity_Entsoe_SFS_2017!$A$3:$A$38='Abgleich Kapazität'!$A110)*(Capacity_Entsoe_SFS_2017!$D$1:$AL$1='Abgleich Kapazität'!N$79)*Capacity_Entsoe_SFS_2017!$D$3:$AK$38)+SUMPRODUCT((Capacity_Entsoe_SFS_2017!$A$3:$A$38='Abgleich Kapazität'!$A110)*(Capacity_Entsoe_SFS_2017!$D$1:$AL$1='Abgleich Kapazität'!N$78)*Capacity_Entsoe_SFS_2017!$D$3:$AK$38)+SUMPRODUCT((Capacity_Entsoe_SFS_2017!$A$3:$A$38='Abgleich Kapazität'!$A110)*(Capacity_Entsoe_SFS_2017!$D$1:$AL$1='Abgleich Kapazität'!N$77)*Capacity_Entsoe_SFS_2017!$D$3:$AK$38)+SUMPRODUCT((Capacity_Entsoe_SFS_2017!$A$3:$A$38='Abgleich Kapazität'!$A110)*(Capacity_Entsoe_SFS_2017!$D$1:$AL$1='Abgleich Kapazität'!N$76)*Capacity_Entsoe_SFS_2017!$D$3:$AK$38))/1000</f>
        <v>#VALUE!</v>
      </c>
      <c r="O110" s="58" t="e">
        <f>(SUMPRODUCT((Capacity_Entsoe_SFS_2017!$A$3:$A$38='Abgleich Kapazität'!$A110)*(Capacity_Entsoe_SFS_2017!$D$1:$AL$1='Abgleich Kapazität'!O$81)*Capacity_Entsoe_SFS_2017!$D$3:$AK$38)+SUMPRODUCT((Capacity_Entsoe_SFS_2017!$A$3:$A$38='Abgleich Kapazität'!$A110)*(Capacity_Entsoe_SFS_2017!$D$1:$AL$1='Abgleich Kapazität'!O$80)*Capacity_Entsoe_SFS_2017!$D$3:$AK$38)+SUMPRODUCT((Capacity_Entsoe_SFS_2017!$A$3:$A$38='Abgleich Kapazität'!$A110)*(Capacity_Entsoe_SFS_2017!$D$1:$AL$1='Abgleich Kapazität'!O$79)*Capacity_Entsoe_SFS_2017!$D$3:$AK$38)+SUMPRODUCT((Capacity_Entsoe_SFS_2017!$A$3:$A$38='Abgleich Kapazität'!$A110)*(Capacity_Entsoe_SFS_2017!$D$1:$AL$1='Abgleich Kapazität'!O$78)*Capacity_Entsoe_SFS_2017!$D$3:$AK$38)+SUMPRODUCT((Capacity_Entsoe_SFS_2017!$A$3:$A$38='Abgleich Kapazität'!$A110)*(Capacity_Entsoe_SFS_2017!$D$1:$AL$1='Abgleich Kapazität'!O$77)*Capacity_Entsoe_SFS_2017!$D$3:$AK$38)+SUMPRODUCT((Capacity_Entsoe_SFS_2017!$A$3:$A$38='Abgleich Kapazität'!$A110)*(Capacity_Entsoe_SFS_2017!$D$1:$AL$1='Abgleich Kapazität'!O$76)*Capacity_Entsoe_SFS_2017!$D$3:$AK$38))/1000</f>
        <v>#VALUE!</v>
      </c>
      <c r="P110" s="58" t="e">
        <f>(SUMPRODUCT((Capacity_Entsoe_SFS_2017!$A$3:$A$38='Abgleich Kapazität'!$A110)*(Capacity_Entsoe_SFS_2017!$D$1:$AL$1='Abgleich Kapazität'!P$81)*Capacity_Entsoe_SFS_2017!$D$3:$AK$38)+SUMPRODUCT((Capacity_Entsoe_SFS_2017!$A$3:$A$38='Abgleich Kapazität'!$A110)*(Capacity_Entsoe_SFS_2017!$D$1:$AL$1='Abgleich Kapazität'!P$80)*Capacity_Entsoe_SFS_2017!$D$3:$AK$38)+SUMPRODUCT((Capacity_Entsoe_SFS_2017!$A$3:$A$38='Abgleich Kapazität'!$A110)*(Capacity_Entsoe_SFS_2017!$D$1:$AL$1='Abgleich Kapazität'!P$79)*Capacity_Entsoe_SFS_2017!$D$3:$AK$38)+SUMPRODUCT((Capacity_Entsoe_SFS_2017!$A$3:$A$38='Abgleich Kapazität'!$A110)*(Capacity_Entsoe_SFS_2017!$D$1:$AL$1='Abgleich Kapazität'!P$78)*Capacity_Entsoe_SFS_2017!$D$3:$AK$38)+SUMPRODUCT((Capacity_Entsoe_SFS_2017!$A$3:$A$38='Abgleich Kapazität'!$A110)*(Capacity_Entsoe_SFS_2017!$D$1:$AL$1='Abgleich Kapazität'!P$77)*Capacity_Entsoe_SFS_2017!$D$3:$AK$38)+SUMPRODUCT((Capacity_Entsoe_SFS_2017!$A$3:$A$38='Abgleich Kapazität'!$A110)*(Capacity_Entsoe_SFS_2017!$D$1:$AL$1='Abgleich Kapazität'!P$76)*Capacity_Entsoe_SFS_2017!$D$3:$AK$38))/1000</f>
        <v>#VALUE!</v>
      </c>
      <c r="Q110" s="58" t="e">
        <f>(SUMPRODUCT((Capacity_Entsoe_SFS_2017!$A$3:$A$38='Abgleich Kapazität'!$A110)*(Capacity_Entsoe_SFS_2017!$D$1:$AL$1='Abgleich Kapazität'!Q$81)*Capacity_Entsoe_SFS_2017!$D$3:$AK$38)+SUMPRODUCT((Capacity_Entsoe_SFS_2017!$A$3:$A$38='Abgleich Kapazität'!$A110)*(Capacity_Entsoe_SFS_2017!$D$1:$AL$1='Abgleich Kapazität'!Q$80)*Capacity_Entsoe_SFS_2017!$D$3:$AK$38)+SUMPRODUCT((Capacity_Entsoe_SFS_2017!$A$3:$A$38='Abgleich Kapazität'!$A110)*(Capacity_Entsoe_SFS_2017!$D$1:$AL$1='Abgleich Kapazität'!Q$79)*Capacity_Entsoe_SFS_2017!$D$3:$AK$38)+SUMPRODUCT((Capacity_Entsoe_SFS_2017!$A$3:$A$38='Abgleich Kapazität'!$A110)*(Capacity_Entsoe_SFS_2017!$D$1:$AL$1='Abgleich Kapazität'!Q$78)*Capacity_Entsoe_SFS_2017!$D$3:$AK$38)+SUMPRODUCT((Capacity_Entsoe_SFS_2017!$A$3:$A$38='Abgleich Kapazität'!$A110)*(Capacity_Entsoe_SFS_2017!$D$1:$AL$1='Abgleich Kapazität'!Q$77)*Capacity_Entsoe_SFS_2017!$D$3:$AK$38)+SUMPRODUCT((Capacity_Entsoe_SFS_2017!$A$3:$A$38='Abgleich Kapazität'!$A110)*(Capacity_Entsoe_SFS_2017!$D$1:$AL$1='Abgleich Kapazität'!Q$76)*Capacity_Entsoe_SFS_2017!$D$3:$AK$38))/1000</f>
        <v>#VALUE!</v>
      </c>
      <c r="R110" s="58" t="e">
        <f>(SUMPRODUCT((Capacity_Entsoe_SFS_2017!$A$3:$A$38='Abgleich Kapazität'!$A110)*(Capacity_Entsoe_SFS_2017!$D$1:$AL$1='Abgleich Kapazität'!R$81)*Capacity_Entsoe_SFS_2017!$D$3:$AK$38)+SUMPRODUCT((Capacity_Entsoe_SFS_2017!$A$3:$A$38='Abgleich Kapazität'!$A110)*(Capacity_Entsoe_SFS_2017!$D$1:$AL$1='Abgleich Kapazität'!R$80)*Capacity_Entsoe_SFS_2017!$D$3:$AK$38)+SUMPRODUCT((Capacity_Entsoe_SFS_2017!$A$3:$A$38='Abgleich Kapazität'!$A110)*(Capacity_Entsoe_SFS_2017!$D$1:$AL$1='Abgleich Kapazität'!R$79)*Capacity_Entsoe_SFS_2017!$D$3:$AK$38)+SUMPRODUCT((Capacity_Entsoe_SFS_2017!$A$3:$A$38='Abgleich Kapazität'!$A110)*(Capacity_Entsoe_SFS_2017!$D$1:$AL$1='Abgleich Kapazität'!R$78)*Capacity_Entsoe_SFS_2017!$D$3:$AK$38)+SUMPRODUCT((Capacity_Entsoe_SFS_2017!$A$3:$A$38='Abgleich Kapazität'!$A110)*(Capacity_Entsoe_SFS_2017!$D$1:$AL$1='Abgleich Kapazität'!R$77)*Capacity_Entsoe_SFS_2017!$D$3:$AK$38)+SUMPRODUCT((Capacity_Entsoe_SFS_2017!$A$3:$A$38='Abgleich Kapazität'!$A110)*(Capacity_Entsoe_SFS_2017!$D$1:$AL$1='Abgleich Kapazität'!R$76)*Capacity_Entsoe_SFS_2017!$D$3:$AK$38))/1000</f>
        <v>#VALUE!</v>
      </c>
      <c r="S110" s="58" t="e">
        <f>(SUMPRODUCT((Capacity_Entsoe_SFS_2017!$A$3:$A$38='Abgleich Kapazität'!$A110)*(Capacity_Entsoe_SFS_2017!$D$1:$AL$1='Abgleich Kapazität'!S$81)*Capacity_Entsoe_SFS_2017!$D$3:$AK$38)+SUMPRODUCT((Capacity_Entsoe_SFS_2017!$A$3:$A$38='Abgleich Kapazität'!$A110)*(Capacity_Entsoe_SFS_2017!$D$1:$AL$1='Abgleich Kapazität'!S$80)*Capacity_Entsoe_SFS_2017!$D$3:$AK$38)+SUMPRODUCT((Capacity_Entsoe_SFS_2017!$A$3:$A$38='Abgleich Kapazität'!$A110)*(Capacity_Entsoe_SFS_2017!$D$1:$AL$1='Abgleich Kapazität'!S$79)*Capacity_Entsoe_SFS_2017!$D$3:$AK$38)+SUMPRODUCT((Capacity_Entsoe_SFS_2017!$A$3:$A$38='Abgleich Kapazität'!$A110)*(Capacity_Entsoe_SFS_2017!$D$1:$AL$1='Abgleich Kapazität'!S$78)*Capacity_Entsoe_SFS_2017!$D$3:$AK$38)+SUMPRODUCT((Capacity_Entsoe_SFS_2017!$A$3:$A$38='Abgleich Kapazität'!$A110)*(Capacity_Entsoe_SFS_2017!$D$1:$AL$1='Abgleich Kapazität'!S$77)*Capacity_Entsoe_SFS_2017!$D$3:$AK$38)+SUMPRODUCT((Capacity_Entsoe_SFS_2017!$A$3:$A$38='Abgleich Kapazität'!$A110)*(Capacity_Entsoe_SFS_2017!$D$1:$AL$1='Abgleich Kapazität'!S$76)*Capacity_Entsoe_SFS_2017!$D$3:$AK$38))/1000</f>
        <v>#VALUE!</v>
      </c>
      <c r="T110" s="58" t="e">
        <f>(SUMPRODUCT((Capacity_Entsoe_SFS_2017!$A$3:$A$38='Abgleich Kapazität'!$A110)*(Capacity_Entsoe_SFS_2017!$D$1:$AL$1='Abgleich Kapazität'!T$81)*Capacity_Entsoe_SFS_2017!$D$3:$AK$38)+SUMPRODUCT((Capacity_Entsoe_SFS_2017!$A$3:$A$38='Abgleich Kapazität'!$A110)*(Capacity_Entsoe_SFS_2017!$D$1:$AL$1='Abgleich Kapazität'!T$80)*Capacity_Entsoe_SFS_2017!$D$3:$AK$38)+SUMPRODUCT((Capacity_Entsoe_SFS_2017!$A$3:$A$38='Abgleich Kapazität'!$A110)*(Capacity_Entsoe_SFS_2017!$D$1:$AL$1='Abgleich Kapazität'!T$79)*Capacity_Entsoe_SFS_2017!$D$3:$AK$38)+SUMPRODUCT((Capacity_Entsoe_SFS_2017!$A$3:$A$38='Abgleich Kapazität'!$A110)*(Capacity_Entsoe_SFS_2017!$D$1:$AL$1='Abgleich Kapazität'!T$78)*Capacity_Entsoe_SFS_2017!$D$3:$AK$38)+SUMPRODUCT((Capacity_Entsoe_SFS_2017!$A$3:$A$38='Abgleich Kapazität'!$A110)*(Capacity_Entsoe_SFS_2017!$D$1:$AL$1='Abgleich Kapazität'!T$77)*Capacity_Entsoe_SFS_2017!$D$3:$AK$38)+SUMPRODUCT((Capacity_Entsoe_SFS_2017!$A$3:$A$38='Abgleich Kapazität'!$A110)*(Capacity_Entsoe_SFS_2017!$D$1:$AL$1='Abgleich Kapazität'!T$76)*Capacity_Entsoe_SFS_2017!$D$3:$AK$38))/1000</f>
        <v>#VALUE!</v>
      </c>
      <c r="U110" s="58" t="e">
        <f>(SUMPRODUCT((Capacity_Entsoe_SFS_2017!$A$3:$A$38='Abgleich Kapazität'!$A110)*(Capacity_Entsoe_SFS_2017!$D$1:$AL$1='Abgleich Kapazität'!U$81)*Capacity_Entsoe_SFS_2017!$D$3:$AK$38)+SUMPRODUCT((Capacity_Entsoe_SFS_2017!$A$3:$A$38='Abgleich Kapazität'!$A110)*(Capacity_Entsoe_SFS_2017!$D$1:$AL$1='Abgleich Kapazität'!U$80)*Capacity_Entsoe_SFS_2017!$D$3:$AK$38)+SUMPRODUCT((Capacity_Entsoe_SFS_2017!$A$3:$A$38='Abgleich Kapazität'!$A110)*(Capacity_Entsoe_SFS_2017!$D$1:$AL$1='Abgleich Kapazität'!U$79)*Capacity_Entsoe_SFS_2017!$D$3:$AK$38)+SUMPRODUCT((Capacity_Entsoe_SFS_2017!$A$3:$A$38='Abgleich Kapazität'!$A110)*(Capacity_Entsoe_SFS_2017!$D$1:$AL$1='Abgleich Kapazität'!U$78)*Capacity_Entsoe_SFS_2017!$D$3:$AK$38)+SUMPRODUCT((Capacity_Entsoe_SFS_2017!$A$3:$A$38='Abgleich Kapazität'!$A110)*(Capacity_Entsoe_SFS_2017!$D$1:$AL$1='Abgleich Kapazität'!U$77)*Capacity_Entsoe_SFS_2017!$D$3:$AK$38)+SUMPRODUCT((Capacity_Entsoe_SFS_2017!$A$3:$A$38='Abgleich Kapazität'!$A110)*(Capacity_Entsoe_SFS_2017!$D$1:$AL$1='Abgleich Kapazität'!U$76)*Capacity_Entsoe_SFS_2017!$D$3:$AK$38))/1000</f>
        <v>#VALUE!</v>
      </c>
      <c r="V110" s="59" t="e">
        <f t="shared" si="80"/>
        <v>#VALUE!</v>
      </c>
    </row>
    <row r="111" spans="1:22" x14ac:dyDescent="0.25">
      <c r="A111" s="14" t="s">
        <v>37</v>
      </c>
      <c r="B111" s="25" t="e">
        <f t="shared" si="77"/>
        <v>#VALUE!</v>
      </c>
      <c r="C111" s="26" t="e">
        <f>(SUMPRODUCT((Capacity_Entsoe_SFS_2017!$A$3:$A$38='Abgleich Kapazität'!$A111)*(Capacity_Entsoe_SFS_2017!$D$1:$AL$1='Abgleich Kapazität'!C$81)*Capacity_Entsoe_SFS_2017!$D$3:$AK$38)+SUMPRODUCT((Capacity_Entsoe_SFS_2017!$A$3:$A$38='Abgleich Kapazität'!$A111)*(Capacity_Entsoe_SFS_2017!$D$1:$AL$1='Abgleich Kapazität'!C$80)*Capacity_Entsoe_SFS_2017!$D$3:$AK$38)+SUMPRODUCT((Capacity_Entsoe_SFS_2017!$A$3:$A$38='Abgleich Kapazität'!$A111)*(Capacity_Entsoe_SFS_2017!$D$1:$AL$1='Abgleich Kapazität'!C$79)*Capacity_Entsoe_SFS_2017!$D$3:$AK$38)+SUMPRODUCT((Capacity_Entsoe_SFS_2017!$A$3:$A$38='Abgleich Kapazität'!$A111)*(Capacity_Entsoe_SFS_2017!$D$1:$AL$1='Abgleich Kapazität'!C$78)*Capacity_Entsoe_SFS_2017!$D$3:$AK$38))/1000</f>
        <v>#VALUE!</v>
      </c>
      <c r="D111" s="26" t="e">
        <f t="shared" si="78"/>
        <v>#VALUE!</v>
      </c>
      <c r="E111" s="26" t="e">
        <f>(SUMPRODUCT((Capacity_Entsoe_SFS_2017!$A$3:$A$38='Abgleich Kapazität'!$A111)*(Capacity_Entsoe_SFS_2017!$D$1:$AL$1='Abgleich Kapazität'!E$81)*Capacity_Entsoe_SFS_2017!$D$3:$AK$38)+SUMPRODUCT((Capacity_Entsoe_SFS_2017!$A$3:$A$38='Abgleich Kapazität'!$A111)*(Capacity_Entsoe_SFS_2017!$D$1:$AL$1='Abgleich Kapazität'!E$80)*Capacity_Entsoe_SFS_2017!$D$3:$AK$38)+SUMPRODUCT((Capacity_Entsoe_SFS_2017!$A$3:$A$38='Abgleich Kapazität'!$A111)*(Capacity_Entsoe_SFS_2017!$D$1:$AL$1='Abgleich Kapazität'!E$79)*Capacity_Entsoe_SFS_2017!$D$3:$AK$38)+SUMPRODUCT((Capacity_Entsoe_SFS_2017!$A$3:$A$38='Abgleich Kapazität'!$A111)*(Capacity_Entsoe_SFS_2017!$D$1:$AL$1='Abgleich Kapazität'!E$78)*Capacity_Entsoe_SFS_2017!$D$3:$AK$38))/1000</f>
        <v>#VALUE!</v>
      </c>
      <c r="F111" s="26" t="e">
        <f>(SUMPRODUCT((Capacity_Entsoe_SFS_2017!$A$3:$A$38='Abgleich Kapazität'!$A111)*(Capacity_Entsoe_SFS_2017!$D$1:$AL$1='Abgleich Kapazität'!F$81)*Capacity_Entsoe_SFS_2017!$D$3:$AK$38)+SUMPRODUCT((Capacity_Entsoe_SFS_2017!$A$3:$A$38='Abgleich Kapazität'!$A111)*(Capacity_Entsoe_SFS_2017!$D$1:$AL$1='Abgleich Kapazität'!F$80)*Capacity_Entsoe_SFS_2017!$D$3:$AK$38)+SUMPRODUCT((Capacity_Entsoe_SFS_2017!$A$3:$A$38='Abgleich Kapazität'!$A111)*(Capacity_Entsoe_SFS_2017!$D$1:$AL$1='Abgleich Kapazität'!F$79)*Capacity_Entsoe_SFS_2017!$D$3:$AK$38)+SUMPRODUCT((Capacity_Entsoe_SFS_2017!$A$3:$A$38='Abgleich Kapazität'!$A111)*(Capacity_Entsoe_SFS_2017!$D$1:$AL$1='Abgleich Kapazität'!F$78)*Capacity_Entsoe_SFS_2017!$D$3:$AK$38))/1000</f>
        <v>#VALUE!</v>
      </c>
      <c r="G111" s="26" t="e">
        <f>(SUMPRODUCT((Capacity_Entsoe_SFS_2017!$A$3:$A$38='Abgleich Kapazität'!$A111)*(Capacity_Entsoe_SFS_2017!$D$1:$AL$1='Abgleich Kapazität'!G$81)*Capacity_Entsoe_SFS_2017!$D$3:$AK$38)+SUMPRODUCT((Capacity_Entsoe_SFS_2017!$A$3:$A$38='Abgleich Kapazität'!$A111)*(Capacity_Entsoe_SFS_2017!$D$1:$AL$1='Abgleich Kapazität'!G$80)*Capacity_Entsoe_SFS_2017!$D$3:$AK$38)+SUMPRODUCT((Capacity_Entsoe_SFS_2017!$A$3:$A$38='Abgleich Kapazität'!$A111)*(Capacity_Entsoe_SFS_2017!$D$1:$AL$1='Abgleich Kapazität'!G$79)*Capacity_Entsoe_SFS_2017!$D$3:$AK$38)+SUMPRODUCT((Capacity_Entsoe_SFS_2017!$A$3:$A$38='Abgleich Kapazität'!$A111)*(Capacity_Entsoe_SFS_2017!$D$1:$AL$1='Abgleich Kapazität'!G$78)*Capacity_Entsoe_SFS_2017!$D$3:$AK$38))/1000</f>
        <v>#VALUE!</v>
      </c>
      <c r="H111" s="26" t="e">
        <f>(SUMPRODUCT((Capacity_Entsoe_SFS_2017!$A$3:$A$38='Abgleich Kapazität'!$A111)*(Capacity_Entsoe_SFS_2017!$D$1:$AL$1='Abgleich Kapazität'!H$81)*Capacity_Entsoe_SFS_2017!$D$3:$AK$38)+SUMPRODUCT((Capacity_Entsoe_SFS_2017!$A$3:$A$38='Abgleich Kapazität'!$A111)*(Capacity_Entsoe_SFS_2017!$D$1:$AL$1='Abgleich Kapazität'!H$80)*Capacity_Entsoe_SFS_2017!$D$3:$AK$38)+SUMPRODUCT((Capacity_Entsoe_SFS_2017!$A$3:$A$38='Abgleich Kapazität'!$A111)*(Capacity_Entsoe_SFS_2017!$D$1:$AL$1='Abgleich Kapazität'!H$79)*Capacity_Entsoe_SFS_2017!$D$3:$AK$38)+SUMPRODUCT((Capacity_Entsoe_SFS_2017!$A$3:$A$38='Abgleich Kapazität'!$A111)*(Capacity_Entsoe_SFS_2017!$D$1:$AL$1='Abgleich Kapazität'!H$78)*Capacity_Entsoe_SFS_2017!$D$3:$AK$38))/1000</f>
        <v>#VALUE!</v>
      </c>
      <c r="I111" s="26" t="e">
        <f>(SUMPRODUCT((Capacity_Entsoe_SFS_2017!$A$3:$A$38='Abgleich Kapazität'!$A111)*(Capacity_Entsoe_SFS_2017!$D$1:$AL$1='Abgleich Kapazität'!I$81)*Capacity_Entsoe_SFS_2017!$D$3:$AK$38)+SUMPRODUCT((Capacity_Entsoe_SFS_2017!$A$3:$A$38='Abgleich Kapazität'!$A111)*(Capacity_Entsoe_SFS_2017!$D$1:$AL$1='Abgleich Kapazität'!I$80)*Capacity_Entsoe_SFS_2017!$D$3:$AK$38)+SUMPRODUCT((Capacity_Entsoe_SFS_2017!$A$3:$A$38='Abgleich Kapazität'!$A111)*(Capacity_Entsoe_SFS_2017!$D$1:$AL$1='Abgleich Kapazität'!I$79)*Capacity_Entsoe_SFS_2017!$D$3:$AK$38)+SUMPRODUCT((Capacity_Entsoe_SFS_2017!$A$3:$A$38='Abgleich Kapazität'!$A111)*(Capacity_Entsoe_SFS_2017!$D$1:$AL$1='Abgleich Kapazität'!I$78)*Capacity_Entsoe_SFS_2017!$D$3:$AK$38))/1000</f>
        <v>#VALUE!</v>
      </c>
      <c r="J111" s="26" t="e">
        <f>(SUMPRODUCT((Capacity_Entsoe_SFS_2017!$A$3:$A$38='Abgleich Kapazität'!$A111)*(Capacity_Entsoe_SFS_2017!$D$1:$AL$1='Abgleich Kapazität'!J$81)*Capacity_Entsoe_SFS_2017!$D$3:$AK$38)+SUMPRODUCT((Capacity_Entsoe_SFS_2017!$A$3:$A$38='Abgleich Kapazität'!$A111)*(Capacity_Entsoe_SFS_2017!$D$1:$AL$1='Abgleich Kapazität'!J$80)*Capacity_Entsoe_SFS_2017!$D$3:$AK$38)+SUMPRODUCT((Capacity_Entsoe_SFS_2017!$A$3:$A$38='Abgleich Kapazität'!$A111)*(Capacity_Entsoe_SFS_2017!$D$1:$AL$1='Abgleich Kapazität'!J$79)*Capacity_Entsoe_SFS_2017!$D$3:$AK$38)+SUMPRODUCT((Capacity_Entsoe_SFS_2017!$A$3:$A$38='Abgleich Kapazität'!$A111)*(Capacity_Entsoe_SFS_2017!$D$1:$AL$1='Abgleich Kapazität'!J$78)*Capacity_Entsoe_SFS_2017!$D$3:$AK$38))/1000</f>
        <v>#VALUE!</v>
      </c>
      <c r="K111" s="27" t="e">
        <f t="shared" si="79"/>
        <v>#VALUE!</v>
      </c>
      <c r="L111" s="26" t="e">
        <f>(SUMPRODUCT((Capacity_Entsoe_SFS_2017!$A$3:$A$38='Abgleich Kapazität'!$A111)*(Capacity_Entsoe_SFS_2017!$D$1:$AL$1='Abgleich Kapazität'!L$81)*Capacity_Entsoe_SFS_2017!$D$3:$AK$38)+SUMPRODUCT((Capacity_Entsoe_SFS_2017!$A$3:$A$38='Abgleich Kapazität'!$A111)*(Capacity_Entsoe_SFS_2017!$D$1:$AL$1='Abgleich Kapazität'!L$80)*Capacity_Entsoe_SFS_2017!$D$3:$AK$38)+SUMPRODUCT((Capacity_Entsoe_SFS_2017!$A$3:$A$38='Abgleich Kapazität'!$A111)*(Capacity_Entsoe_SFS_2017!$D$1:$AL$1='Abgleich Kapazität'!L$79)*Capacity_Entsoe_SFS_2017!$D$3:$AK$38)+SUMPRODUCT((Capacity_Entsoe_SFS_2017!$A$3:$A$38='Abgleich Kapazität'!$A111)*(Capacity_Entsoe_SFS_2017!$D$1:$AL$1='Abgleich Kapazität'!L$78)*Capacity_Entsoe_SFS_2017!$D$3:$AK$38)+SUMPRODUCT((Capacity_Entsoe_SFS_2017!$A$3:$A$38='Abgleich Kapazität'!$A111)*(Capacity_Entsoe_SFS_2017!$D$1:$AL$1='Abgleich Kapazität'!L$77)*Capacity_Entsoe_SFS_2017!$D$3:$AK$38)+SUMPRODUCT((Capacity_Entsoe_SFS_2017!$A$3:$A$38='Abgleich Kapazität'!$A111)*(Capacity_Entsoe_SFS_2017!$D$1:$AL$1='Abgleich Kapazität'!L$76)*Capacity_Entsoe_SFS_2017!$D$3:$AK$38))/1000</f>
        <v>#VALUE!</v>
      </c>
      <c r="M111" s="26" t="e">
        <f>(SUMPRODUCT((Capacity_Entsoe_SFS_2017!$A$3:$A$38='Abgleich Kapazität'!$A111)*(Capacity_Entsoe_SFS_2017!$D$1:$AL$1='Abgleich Kapazität'!M$81)*Capacity_Entsoe_SFS_2017!$D$3:$AK$38)+SUMPRODUCT((Capacity_Entsoe_SFS_2017!$A$3:$A$38='Abgleich Kapazität'!$A111)*(Capacity_Entsoe_SFS_2017!$D$1:$AL$1='Abgleich Kapazität'!M$80)*Capacity_Entsoe_SFS_2017!$D$3:$AK$38)+SUMPRODUCT((Capacity_Entsoe_SFS_2017!$A$3:$A$38='Abgleich Kapazität'!$A111)*(Capacity_Entsoe_SFS_2017!$D$1:$AL$1='Abgleich Kapazität'!M$79)*Capacity_Entsoe_SFS_2017!$D$3:$AK$38)+SUMPRODUCT((Capacity_Entsoe_SFS_2017!$A$3:$A$38='Abgleich Kapazität'!$A111)*(Capacity_Entsoe_SFS_2017!$D$1:$AL$1='Abgleich Kapazität'!M$78)*Capacity_Entsoe_SFS_2017!$D$3:$AK$38)+SUMPRODUCT((Capacity_Entsoe_SFS_2017!$A$3:$A$38='Abgleich Kapazität'!$A111)*(Capacity_Entsoe_SFS_2017!$D$1:$AL$1='Abgleich Kapazität'!M$77)*Capacity_Entsoe_SFS_2017!$D$3:$AK$38)+SUMPRODUCT((Capacity_Entsoe_SFS_2017!$A$3:$A$38='Abgleich Kapazität'!$A111)*(Capacity_Entsoe_SFS_2017!$D$1:$AL$1='Abgleich Kapazität'!M$76)*Capacity_Entsoe_SFS_2017!$D$3:$AK$38))/1000</f>
        <v>#VALUE!</v>
      </c>
      <c r="N111" s="26" t="e">
        <f>(SUMPRODUCT((Capacity_Entsoe_SFS_2017!$A$3:$A$38='Abgleich Kapazität'!$A111)*(Capacity_Entsoe_SFS_2017!$D$1:$AL$1='Abgleich Kapazität'!N$81)*Capacity_Entsoe_SFS_2017!$D$3:$AK$38)+SUMPRODUCT((Capacity_Entsoe_SFS_2017!$A$3:$A$38='Abgleich Kapazität'!$A111)*(Capacity_Entsoe_SFS_2017!$D$1:$AL$1='Abgleich Kapazität'!N$80)*Capacity_Entsoe_SFS_2017!$D$3:$AK$38)+SUMPRODUCT((Capacity_Entsoe_SFS_2017!$A$3:$A$38='Abgleich Kapazität'!$A111)*(Capacity_Entsoe_SFS_2017!$D$1:$AL$1='Abgleich Kapazität'!N$79)*Capacity_Entsoe_SFS_2017!$D$3:$AK$38)+SUMPRODUCT((Capacity_Entsoe_SFS_2017!$A$3:$A$38='Abgleich Kapazität'!$A111)*(Capacity_Entsoe_SFS_2017!$D$1:$AL$1='Abgleich Kapazität'!N$78)*Capacity_Entsoe_SFS_2017!$D$3:$AK$38)+SUMPRODUCT((Capacity_Entsoe_SFS_2017!$A$3:$A$38='Abgleich Kapazität'!$A111)*(Capacity_Entsoe_SFS_2017!$D$1:$AL$1='Abgleich Kapazität'!N$77)*Capacity_Entsoe_SFS_2017!$D$3:$AK$38)+SUMPRODUCT((Capacity_Entsoe_SFS_2017!$A$3:$A$38='Abgleich Kapazität'!$A111)*(Capacity_Entsoe_SFS_2017!$D$1:$AL$1='Abgleich Kapazität'!N$76)*Capacity_Entsoe_SFS_2017!$D$3:$AK$38))/1000</f>
        <v>#VALUE!</v>
      </c>
      <c r="O111" s="26" t="e">
        <f>(SUMPRODUCT((Capacity_Entsoe_SFS_2017!$A$3:$A$38='Abgleich Kapazität'!$A111)*(Capacity_Entsoe_SFS_2017!$D$1:$AL$1='Abgleich Kapazität'!O$81)*Capacity_Entsoe_SFS_2017!$D$3:$AK$38)+SUMPRODUCT((Capacity_Entsoe_SFS_2017!$A$3:$A$38='Abgleich Kapazität'!$A111)*(Capacity_Entsoe_SFS_2017!$D$1:$AL$1='Abgleich Kapazität'!O$80)*Capacity_Entsoe_SFS_2017!$D$3:$AK$38)+SUMPRODUCT((Capacity_Entsoe_SFS_2017!$A$3:$A$38='Abgleich Kapazität'!$A111)*(Capacity_Entsoe_SFS_2017!$D$1:$AL$1='Abgleich Kapazität'!O$79)*Capacity_Entsoe_SFS_2017!$D$3:$AK$38)+SUMPRODUCT((Capacity_Entsoe_SFS_2017!$A$3:$A$38='Abgleich Kapazität'!$A111)*(Capacity_Entsoe_SFS_2017!$D$1:$AL$1='Abgleich Kapazität'!O$78)*Capacity_Entsoe_SFS_2017!$D$3:$AK$38)+SUMPRODUCT((Capacity_Entsoe_SFS_2017!$A$3:$A$38='Abgleich Kapazität'!$A111)*(Capacity_Entsoe_SFS_2017!$D$1:$AL$1='Abgleich Kapazität'!O$77)*Capacity_Entsoe_SFS_2017!$D$3:$AK$38)+SUMPRODUCT((Capacity_Entsoe_SFS_2017!$A$3:$A$38='Abgleich Kapazität'!$A111)*(Capacity_Entsoe_SFS_2017!$D$1:$AL$1='Abgleich Kapazität'!O$76)*Capacity_Entsoe_SFS_2017!$D$3:$AK$38))/1000</f>
        <v>#VALUE!</v>
      </c>
      <c r="P111" s="26" t="e">
        <f>(SUMPRODUCT((Capacity_Entsoe_SFS_2017!$A$3:$A$38='Abgleich Kapazität'!$A111)*(Capacity_Entsoe_SFS_2017!$D$1:$AL$1='Abgleich Kapazität'!P$81)*Capacity_Entsoe_SFS_2017!$D$3:$AK$38)+SUMPRODUCT((Capacity_Entsoe_SFS_2017!$A$3:$A$38='Abgleich Kapazität'!$A111)*(Capacity_Entsoe_SFS_2017!$D$1:$AL$1='Abgleich Kapazität'!P$80)*Capacity_Entsoe_SFS_2017!$D$3:$AK$38)+SUMPRODUCT((Capacity_Entsoe_SFS_2017!$A$3:$A$38='Abgleich Kapazität'!$A111)*(Capacity_Entsoe_SFS_2017!$D$1:$AL$1='Abgleich Kapazität'!P$79)*Capacity_Entsoe_SFS_2017!$D$3:$AK$38)+SUMPRODUCT((Capacity_Entsoe_SFS_2017!$A$3:$A$38='Abgleich Kapazität'!$A111)*(Capacity_Entsoe_SFS_2017!$D$1:$AL$1='Abgleich Kapazität'!P$78)*Capacity_Entsoe_SFS_2017!$D$3:$AK$38)+SUMPRODUCT((Capacity_Entsoe_SFS_2017!$A$3:$A$38='Abgleich Kapazität'!$A111)*(Capacity_Entsoe_SFS_2017!$D$1:$AL$1='Abgleich Kapazität'!P$77)*Capacity_Entsoe_SFS_2017!$D$3:$AK$38)+SUMPRODUCT((Capacity_Entsoe_SFS_2017!$A$3:$A$38='Abgleich Kapazität'!$A111)*(Capacity_Entsoe_SFS_2017!$D$1:$AL$1='Abgleich Kapazität'!P$76)*Capacity_Entsoe_SFS_2017!$D$3:$AK$38))/1000</f>
        <v>#VALUE!</v>
      </c>
      <c r="Q111" s="26" t="e">
        <f>(SUMPRODUCT((Capacity_Entsoe_SFS_2017!$A$3:$A$38='Abgleich Kapazität'!$A111)*(Capacity_Entsoe_SFS_2017!$D$1:$AL$1='Abgleich Kapazität'!Q$81)*Capacity_Entsoe_SFS_2017!$D$3:$AK$38)+SUMPRODUCT((Capacity_Entsoe_SFS_2017!$A$3:$A$38='Abgleich Kapazität'!$A111)*(Capacity_Entsoe_SFS_2017!$D$1:$AL$1='Abgleich Kapazität'!Q$80)*Capacity_Entsoe_SFS_2017!$D$3:$AK$38)+SUMPRODUCT((Capacity_Entsoe_SFS_2017!$A$3:$A$38='Abgleich Kapazität'!$A111)*(Capacity_Entsoe_SFS_2017!$D$1:$AL$1='Abgleich Kapazität'!Q$79)*Capacity_Entsoe_SFS_2017!$D$3:$AK$38)+SUMPRODUCT((Capacity_Entsoe_SFS_2017!$A$3:$A$38='Abgleich Kapazität'!$A111)*(Capacity_Entsoe_SFS_2017!$D$1:$AL$1='Abgleich Kapazität'!Q$78)*Capacity_Entsoe_SFS_2017!$D$3:$AK$38)+SUMPRODUCT((Capacity_Entsoe_SFS_2017!$A$3:$A$38='Abgleich Kapazität'!$A111)*(Capacity_Entsoe_SFS_2017!$D$1:$AL$1='Abgleich Kapazität'!Q$77)*Capacity_Entsoe_SFS_2017!$D$3:$AK$38)+SUMPRODUCT((Capacity_Entsoe_SFS_2017!$A$3:$A$38='Abgleich Kapazität'!$A111)*(Capacity_Entsoe_SFS_2017!$D$1:$AL$1='Abgleich Kapazität'!Q$76)*Capacity_Entsoe_SFS_2017!$D$3:$AK$38))/1000</f>
        <v>#VALUE!</v>
      </c>
      <c r="R111" s="26" t="e">
        <f>(SUMPRODUCT((Capacity_Entsoe_SFS_2017!$A$3:$A$38='Abgleich Kapazität'!$A111)*(Capacity_Entsoe_SFS_2017!$D$1:$AL$1='Abgleich Kapazität'!R$81)*Capacity_Entsoe_SFS_2017!$D$3:$AK$38)+SUMPRODUCT((Capacity_Entsoe_SFS_2017!$A$3:$A$38='Abgleich Kapazität'!$A111)*(Capacity_Entsoe_SFS_2017!$D$1:$AL$1='Abgleich Kapazität'!R$80)*Capacity_Entsoe_SFS_2017!$D$3:$AK$38)+SUMPRODUCT((Capacity_Entsoe_SFS_2017!$A$3:$A$38='Abgleich Kapazität'!$A111)*(Capacity_Entsoe_SFS_2017!$D$1:$AL$1='Abgleich Kapazität'!R$79)*Capacity_Entsoe_SFS_2017!$D$3:$AK$38)+SUMPRODUCT((Capacity_Entsoe_SFS_2017!$A$3:$A$38='Abgleich Kapazität'!$A111)*(Capacity_Entsoe_SFS_2017!$D$1:$AL$1='Abgleich Kapazität'!R$78)*Capacity_Entsoe_SFS_2017!$D$3:$AK$38)+SUMPRODUCT((Capacity_Entsoe_SFS_2017!$A$3:$A$38='Abgleich Kapazität'!$A111)*(Capacity_Entsoe_SFS_2017!$D$1:$AL$1='Abgleich Kapazität'!R$77)*Capacity_Entsoe_SFS_2017!$D$3:$AK$38)+SUMPRODUCT((Capacity_Entsoe_SFS_2017!$A$3:$A$38='Abgleich Kapazität'!$A111)*(Capacity_Entsoe_SFS_2017!$D$1:$AL$1='Abgleich Kapazität'!R$76)*Capacity_Entsoe_SFS_2017!$D$3:$AK$38))/1000</f>
        <v>#VALUE!</v>
      </c>
      <c r="S111" s="26" t="e">
        <f>(SUMPRODUCT((Capacity_Entsoe_SFS_2017!$A$3:$A$38='Abgleich Kapazität'!$A111)*(Capacity_Entsoe_SFS_2017!$D$1:$AL$1='Abgleich Kapazität'!S$81)*Capacity_Entsoe_SFS_2017!$D$3:$AK$38)+SUMPRODUCT((Capacity_Entsoe_SFS_2017!$A$3:$A$38='Abgleich Kapazität'!$A111)*(Capacity_Entsoe_SFS_2017!$D$1:$AL$1='Abgleich Kapazität'!S$80)*Capacity_Entsoe_SFS_2017!$D$3:$AK$38)+SUMPRODUCT((Capacity_Entsoe_SFS_2017!$A$3:$A$38='Abgleich Kapazität'!$A111)*(Capacity_Entsoe_SFS_2017!$D$1:$AL$1='Abgleich Kapazität'!S$79)*Capacity_Entsoe_SFS_2017!$D$3:$AK$38)+SUMPRODUCT((Capacity_Entsoe_SFS_2017!$A$3:$A$38='Abgleich Kapazität'!$A111)*(Capacity_Entsoe_SFS_2017!$D$1:$AL$1='Abgleich Kapazität'!S$78)*Capacity_Entsoe_SFS_2017!$D$3:$AK$38)+SUMPRODUCT((Capacity_Entsoe_SFS_2017!$A$3:$A$38='Abgleich Kapazität'!$A111)*(Capacity_Entsoe_SFS_2017!$D$1:$AL$1='Abgleich Kapazität'!S$77)*Capacity_Entsoe_SFS_2017!$D$3:$AK$38)+SUMPRODUCT((Capacity_Entsoe_SFS_2017!$A$3:$A$38='Abgleich Kapazität'!$A111)*(Capacity_Entsoe_SFS_2017!$D$1:$AL$1='Abgleich Kapazität'!S$76)*Capacity_Entsoe_SFS_2017!$D$3:$AK$38))/1000</f>
        <v>#VALUE!</v>
      </c>
      <c r="T111" s="26" t="e">
        <f>(SUMPRODUCT((Capacity_Entsoe_SFS_2017!$A$3:$A$38='Abgleich Kapazität'!$A111)*(Capacity_Entsoe_SFS_2017!$D$1:$AL$1='Abgleich Kapazität'!T$81)*Capacity_Entsoe_SFS_2017!$D$3:$AK$38)+SUMPRODUCT((Capacity_Entsoe_SFS_2017!$A$3:$A$38='Abgleich Kapazität'!$A111)*(Capacity_Entsoe_SFS_2017!$D$1:$AL$1='Abgleich Kapazität'!T$80)*Capacity_Entsoe_SFS_2017!$D$3:$AK$38)+SUMPRODUCT((Capacity_Entsoe_SFS_2017!$A$3:$A$38='Abgleich Kapazität'!$A111)*(Capacity_Entsoe_SFS_2017!$D$1:$AL$1='Abgleich Kapazität'!T$79)*Capacity_Entsoe_SFS_2017!$D$3:$AK$38)+SUMPRODUCT((Capacity_Entsoe_SFS_2017!$A$3:$A$38='Abgleich Kapazität'!$A111)*(Capacity_Entsoe_SFS_2017!$D$1:$AL$1='Abgleich Kapazität'!T$78)*Capacity_Entsoe_SFS_2017!$D$3:$AK$38)+SUMPRODUCT((Capacity_Entsoe_SFS_2017!$A$3:$A$38='Abgleich Kapazität'!$A111)*(Capacity_Entsoe_SFS_2017!$D$1:$AL$1='Abgleich Kapazität'!T$77)*Capacity_Entsoe_SFS_2017!$D$3:$AK$38)+SUMPRODUCT((Capacity_Entsoe_SFS_2017!$A$3:$A$38='Abgleich Kapazität'!$A111)*(Capacity_Entsoe_SFS_2017!$D$1:$AL$1='Abgleich Kapazität'!T$76)*Capacity_Entsoe_SFS_2017!$D$3:$AK$38))/1000</f>
        <v>#VALUE!</v>
      </c>
      <c r="U111" s="26" t="e">
        <f>(SUMPRODUCT((Capacity_Entsoe_SFS_2017!$A$3:$A$38='Abgleich Kapazität'!$A111)*(Capacity_Entsoe_SFS_2017!$D$1:$AL$1='Abgleich Kapazität'!U$81)*Capacity_Entsoe_SFS_2017!$D$3:$AK$38)+SUMPRODUCT((Capacity_Entsoe_SFS_2017!$A$3:$A$38='Abgleich Kapazität'!$A111)*(Capacity_Entsoe_SFS_2017!$D$1:$AL$1='Abgleich Kapazität'!U$80)*Capacity_Entsoe_SFS_2017!$D$3:$AK$38)+SUMPRODUCT((Capacity_Entsoe_SFS_2017!$A$3:$A$38='Abgleich Kapazität'!$A111)*(Capacity_Entsoe_SFS_2017!$D$1:$AL$1='Abgleich Kapazität'!U$79)*Capacity_Entsoe_SFS_2017!$D$3:$AK$38)+SUMPRODUCT((Capacity_Entsoe_SFS_2017!$A$3:$A$38='Abgleich Kapazität'!$A111)*(Capacity_Entsoe_SFS_2017!$D$1:$AL$1='Abgleich Kapazität'!U$78)*Capacity_Entsoe_SFS_2017!$D$3:$AK$38)+SUMPRODUCT((Capacity_Entsoe_SFS_2017!$A$3:$A$38='Abgleich Kapazität'!$A111)*(Capacity_Entsoe_SFS_2017!$D$1:$AL$1='Abgleich Kapazität'!U$77)*Capacity_Entsoe_SFS_2017!$D$3:$AK$38)+SUMPRODUCT((Capacity_Entsoe_SFS_2017!$A$3:$A$38='Abgleich Kapazität'!$A111)*(Capacity_Entsoe_SFS_2017!$D$1:$AL$1='Abgleich Kapazität'!U$76)*Capacity_Entsoe_SFS_2017!$D$3:$AK$38))/1000</f>
        <v>#VALUE!</v>
      </c>
      <c r="V111" s="27" t="e">
        <f t="shared" si="80"/>
        <v>#VALUE!</v>
      </c>
    </row>
    <row r="112" spans="1:22" x14ac:dyDescent="0.25">
      <c r="A112" s="14" t="s">
        <v>38</v>
      </c>
      <c r="B112" s="57" t="e">
        <f t="shared" si="77"/>
        <v>#VALUE!</v>
      </c>
      <c r="C112" s="58" t="e">
        <f>(SUMPRODUCT((Capacity_Entsoe_SFS_2017!$A$3:$A$38='Abgleich Kapazität'!$A112)*(Capacity_Entsoe_SFS_2017!$D$1:$AL$1='Abgleich Kapazität'!C$81)*Capacity_Entsoe_SFS_2017!$D$3:$AK$38)+SUMPRODUCT((Capacity_Entsoe_SFS_2017!$A$3:$A$38='Abgleich Kapazität'!$A112)*(Capacity_Entsoe_SFS_2017!$D$1:$AL$1='Abgleich Kapazität'!C$80)*Capacity_Entsoe_SFS_2017!$D$3:$AK$38)+SUMPRODUCT((Capacity_Entsoe_SFS_2017!$A$3:$A$38='Abgleich Kapazität'!$A112)*(Capacity_Entsoe_SFS_2017!$D$1:$AL$1='Abgleich Kapazität'!C$79)*Capacity_Entsoe_SFS_2017!$D$3:$AK$38)+SUMPRODUCT((Capacity_Entsoe_SFS_2017!$A$3:$A$38='Abgleich Kapazität'!$A112)*(Capacity_Entsoe_SFS_2017!$D$1:$AL$1='Abgleich Kapazität'!C$78)*Capacity_Entsoe_SFS_2017!$D$3:$AK$38))/1000</f>
        <v>#VALUE!</v>
      </c>
      <c r="D112" s="58" t="e">
        <f t="shared" si="78"/>
        <v>#VALUE!</v>
      </c>
      <c r="E112" s="58" t="e">
        <f>(SUMPRODUCT((Capacity_Entsoe_SFS_2017!$A$3:$A$38='Abgleich Kapazität'!$A112)*(Capacity_Entsoe_SFS_2017!$D$1:$AL$1='Abgleich Kapazität'!E$81)*Capacity_Entsoe_SFS_2017!$D$3:$AK$38)+SUMPRODUCT((Capacity_Entsoe_SFS_2017!$A$3:$A$38='Abgleich Kapazität'!$A112)*(Capacity_Entsoe_SFS_2017!$D$1:$AL$1='Abgleich Kapazität'!E$80)*Capacity_Entsoe_SFS_2017!$D$3:$AK$38)+SUMPRODUCT((Capacity_Entsoe_SFS_2017!$A$3:$A$38='Abgleich Kapazität'!$A112)*(Capacity_Entsoe_SFS_2017!$D$1:$AL$1='Abgleich Kapazität'!E$79)*Capacity_Entsoe_SFS_2017!$D$3:$AK$38)+SUMPRODUCT((Capacity_Entsoe_SFS_2017!$A$3:$A$38='Abgleich Kapazität'!$A112)*(Capacity_Entsoe_SFS_2017!$D$1:$AL$1='Abgleich Kapazität'!E$78)*Capacity_Entsoe_SFS_2017!$D$3:$AK$38))/1000</f>
        <v>#VALUE!</v>
      </c>
      <c r="F112" s="58" t="e">
        <f>(SUMPRODUCT((Capacity_Entsoe_SFS_2017!$A$3:$A$38='Abgleich Kapazität'!$A112)*(Capacity_Entsoe_SFS_2017!$D$1:$AL$1='Abgleich Kapazität'!F$81)*Capacity_Entsoe_SFS_2017!$D$3:$AK$38)+SUMPRODUCT((Capacity_Entsoe_SFS_2017!$A$3:$A$38='Abgleich Kapazität'!$A112)*(Capacity_Entsoe_SFS_2017!$D$1:$AL$1='Abgleich Kapazität'!F$80)*Capacity_Entsoe_SFS_2017!$D$3:$AK$38)+SUMPRODUCT((Capacity_Entsoe_SFS_2017!$A$3:$A$38='Abgleich Kapazität'!$A112)*(Capacity_Entsoe_SFS_2017!$D$1:$AL$1='Abgleich Kapazität'!F$79)*Capacity_Entsoe_SFS_2017!$D$3:$AK$38)+SUMPRODUCT((Capacity_Entsoe_SFS_2017!$A$3:$A$38='Abgleich Kapazität'!$A112)*(Capacity_Entsoe_SFS_2017!$D$1:$AL$1='Abgleich Kapazität'!F$78)*Capacity_Entsoe_SFS_2017!$D$3:$AK$38))/1000</f>
        <v>#VALUE!</v>
      </c>
      <c r="G112" s="58" t="e">
        <f>(SUMPRODUCT((Capacity_Entsoe_SFS_2017!$A$3:$A$38='Abgleich Kapazität'!$A112)*(Capacity_Entsoe_SFS_2017!$D$1:$AL$1='Abgleich Kapazität'!G$81)*Capacity_Entsoe_SFS_2017!$D$3:$AK$38)+SUMPRODUCT((Capacity_Entsoe_SFS_2017!$A$3:$A$38='Abgleich Kapazität'!$A112)*(Capacity_Entsoe_SFS_2017!$D$1:$AL$1='Abgleich Kapazität'!G$80)*Capacity_Entsoe_SFS_2017!$D$3:$AK$38)+SUMPRODUCT((Capacity_Entsoe_SFS_2017!$A$3:$A$38='Abgleich Kapazität'!$A112)*(Capacity_Entsoe_SFS_2017!$D$1:$AL$1='Abgleich Kapazität'!G$79)*Capacity_Entsoe_SFS_2017!$D$3:$AK$38)+SUMPRODUCT((Capacity_Entsoe_SFS_2017!$A$3:$A$38='Abgleich Kapazität'!$A112)*(Capacity_Entsoe_SFS_2017!$D$1:$AL$1='Abgleich Kapazität'!G$78)*Capacity_Entsoe_SFS_2017!$D$3:$AK$38))/1000</f>
        <v>#VALUE!</v>
      </c>
      <c r="H112" s="58" t="e">
        <f>(SUMPRODUCT((Capacity_Entsoe_SFS_2017!$A$3:$A$38='Abgleich Kapazität'!$A112)*(Capacity_Entsoe_SFS_2017!$D$1:$AL$1='Abgleich Kapazität'!H$81)*Capacity_Entsoe_SFS_2017!$D$3:$AK$38)+SUMPRODUCT((Capacity_Entsoe_SFS_2017!$A$3:$A$38='Abgleich Kapazität'!$A112)*(Capacity_Entsoe_SFS_2017!$D$1:$AL$1='Abgleich Kapazität'!H$80)*Capacity_Entsoe_SFS_2017!$D$3:$AK$38)+SUMPRODUCT((Capacity_Entsoe_SFS_2017!$A$3:$A$38='Abgleich Kapazität'!$A112)*(Capacity_Entsoe_SFS_2017!$D$1:$AL$1='Abgleich Kapazität'!H$79)*Capacity_Entsoe_SFS_2017!$D$3:$AK$38)+SUMPRODUCT((Capacity_Entsoe_SFS_2017!$A$3:$A$38='Abgleich Kapazität'!$A112)*(Capacity_Entsoe_SFS_2017!$D$1:$AL$1='Abgleich Kapazität'!H$78)*Capacity_Entsoe_SFS_2017!$D$3:$AK$38))/1000</f>
        <v>#VALUE!</v>
      </c>
      <c r="I112" s="58" t="e">
        <f>(SUMPRODUCT((Capacity_Entsoe_SFS_2017!$A$3:$A$38='Abgleich Kapazität'!$A112)*(Capacity_Entsoe_SFS_2017!$D$1:$AL$1='Abgleich Kapazität'!I$81)*Capacity_Entsoe_SFS_2017!$D$3:$AK$38)+SUMPRODUCT((Capacity_Entsoe_SFS_2017!$A$3:$A$38='Abgleich Kapazität'!$A112)*(Capacity_Entsoe_SFS_2017!$D$1:$AL$1='Abgleich Kapazität'!I$80)*Capacity_Entsoe_SFS_2017!$D$3:$AK$38)+SUMPRODUCT((Capacity_Entsoe_SFS_2017!$A$3:$A$38='Abgleich Kapazität'!$A112)*(Capacity_Entsoe_SFS_2017!$D$1:$AL$1='Abgleich Kapazität'!I$79)*Capacity_Entsoe_SFS_2017!$D$3:$AK$38)+SUMPRODUCT((Capacity_Entsoe_SFS_2017!$A$3:$A$38='Abgleich Kapazität'!$A112)*(Capacity_Entsoe_SFS_2017!$D$1:$AL$1='Abgleich Kapazität'!I$78)*Capacity_Entsoe_SFS_2017!$D$3:$AK$38))/1000</f>
        <v>#VALUE!</v>
      </c>
      <c r="J112" s="58" t="e">
        <f>(SUMPRODUCT((Capacity_Entsoe_SFS_2017!$A$3:$A$38='Abgleich Kapazität'!$A112)*(Capacity_Entsoe_SFS_2017!$D$1:$AL$1='Abgleich Kapazität'!J$81)*Capacity_Entsoe_SFS_2017!$D$3:$AK$38)+SUMPRODUCT((Capacity_Entsoe_SFS_2017!$A$3:$A$38='Abgleich Kapazität'!$A112)*(Capacity_Entsoe_SFS_2017!$D$1:$AL$1='Abgleich Kapazität'!J$80)*Capacity_Entsoe_SFS_2017!$D$3:$AK$38)+SUMPRODUCT((Capacity_Entsoe_SFS_2017!$A$3:$A$38='Abgleich Kapazität'!$A112)*(Capacity_Entsoe_SFS_2017!$D$1:$AL$1='Abgleich Kapazität'!J$79)*Capacity_Entsoe_SFS_2017!$D$3:$AK$38)+SUMPRODUCT((Capacity_Entsoe_SFS_2017!$A$3:$A$38='Abgleich Kapazität'!$A112)*(Capacity_Entsoe_SFS_2017!$D$1:$AL$1='Abgleich Kapazität'!J$78)*Capacity_Entsoe_SFS_2017!$D$3:$AK$38))/1000</f>
        <v>#VALUE!</v>
      </c>
      <c r="K112" s="59" t="e">
        <f t="shared" si="79"/>
        <v>#VALUE!</v>
      </c>
      <c r="L112" s="58" t="e">
        <f>(SUMPRODUCT((Capacity_Entsoe_SFS_2017!$A$3:$A$38='Abgleich Kapazität'!$A112)*(Capacity_Entsoe_SFS_2017!$D$1:$AL$1='Abgleich Kapazität'!L$81)*Capacity_Entsoe_SFS_2017!$D$3:$AK$38)+SUMPRODUCT((Capacity_Entsoe_SFS_2017!$A$3:$A$38='Abgleich Kapazität'!$A112)*(Capacity_Entsoe_SFS_2017!$D$1:$AL$1='Abgleich Kapazität'!L$80)*Capacity_Entsoe_SFS_2017!$D$3:$AK$38)+SUMPRODUCT((Capacity_Entsoe_SFS_2017!$A$3:$A$38='Abgleich Kapazität'!$A112)*(Capacity_Entsoe_SFS_2017!$D$1:$AL$1='Abgleich Kapazität'!L$79)*Capacity_Entsoe_SFS_2017!$D$3:$AK$38)+SUMPRODUCT((Capacity_Entsoe_SFS_2017!$A$3:$A$38='Abgleich Kapazität'!$A112)*(Capacity_Entsoe_SFS_2017!$D$1:$AL$1='Abgleich Kapazität'!L$78)*Capacity_Entsoe_SFS_2017!$D$3:$AK$38)+SUMPRODUCT((Capacity_Entsoe_SFS_2017!$A$3:$A$38='Abgleich Kapazität'!$A112)*(Capacity_Entsoe_SFS_2017!$D$1:$AL$1='Abgleich Kapazität'!L$77)*Capacity_Entsoe_SFS_2017!$D$3:$AK$38)+SUMPRODUCT((Capacity_Entsoe_SFS_2017!$A$3:$A$38='Abgleich Kapazität'!$A112)*(Capacity_Entsoe_SFS_2017!$D$1:$AL$1='Abgleich Kapazität'!L$76)*Capacity_Entsoe_SFS_2017!$D$3:$AK$38))/1000</f>
        <v>#VALUE!</v>
      </c>
      <c r="M112" s="58" t="e">
        <f>(SUMPRODUCT((Capacity_Entsoe_SFS_2017!$A$3:$A$38='Abgleich Kapazität'!$A112)*(Capacity_Entsoe_SFS_2017!$D$1:$AL$1='Abgleich Kapazität'!M$81)*Capacity_Entsoe_SFS_2017!$D$3:$AK$38)+SUMPRODUCT((Capacity_Entsoe_SFS_2017!$A$3:$A$38='Abgleich Kapazität'!$A112)*(Capacity_Entsoe_SFS_2017!$D$1:$AL$1='Abgleich Kapazität'!M$80)*Capacity_Entsoe_SFS_2017!$D$3:$AK$38)+SUMPRODUCT((Capacity_Entsoe_SFS_2017!$A$3:$A$38='Abgleich Kapazität'!$A112)*(Capacity_Entsoe_SFS_2017!$D$1:$AL$1='Abgleich Kapazität'!M$79)*Capacity_Entsoe_SFS_2017!$D$3:$AK$38)+SUMPRODUCT((Capacity_Entsoe_SFS_2017!$A$3:$A$38='Abgleich Kapazität'!$A112)*(Capacity_Entsoe_SFS_2017!$D$1:$AL$1='Abgleich Kapazität'!M$78)*Capacity_Entsoe_SFS_2017!$D$3:$AK$38)+SUMPRODUCT((Capacity_Entsoe_SFS_2017!$A$3:$A$38='Abgleich Kapazität'!$A112)*(Capacity_Entsoe_SFS_2017!$D$1:$AL$1='Abgleich Kapazität'!M$77)*Capacity_Entsoe_SFS_2017!$D$3:$AK$38)+SUMPRODUCT((Capacity_Entsoe_SFS_2017!$A$3:$A$38='Abgleich Kapazität'!$A112)*(Capacity_Entsoe_SFS_2017!$D$1:$AL$1='Abgleich Kapazität'!M$76)*Capacity_Entsoe_SFS_2017!$D$3:$AK$38))/1000</f>
        <v>#VALUE!</v>
      </c>
      <c r="N112" s="58" t="e">
        <f>(SUMPRODUCT((Capacity_Entsoe_SFS_2017!$A$3:$A$38='Abgleich Kapazität'!$A112)*(Capacity_Entsoe_SFS_2017!$D$1:$AL$1='Abgleich Kapazität'!N$81)*Capacity_Entsoe_SFS_2017!$D$3:$AK$38)+SUMPRODUCT((Capacity_Entsoe_SFS_2017!$A$3:$A$38='Abgleich Kapazität'!$A112)*(Capacity_Entsoe_SFS_2017!$D$1:$AL$1='Abgleich Kapazität'!N$80)*Capacity_Entsoe_SFS_2017!$D$3:$AK$38)+SUMPRODUCT((Capacity_Entsoe_SFS_2017!$A$3:$A$38='Abgleich Kapazität'!$A112)*(Capacity_Entsoe_SFS_2017!$D$1:$AL$1='Abgleich Kapazität'!N$79)*Capacity_Entsoe_SFS_2017!$D$3:$AK$38)+SUMPRODUCT((Capacity_Entsoe_SFS_2017!$A$3:$A$38='Abgleich Kapazität'!$A112)*(Capacity_Entsoe_SFS_2017!$D$1:$AL$1='Abgleich Kapazität'!N$78)*Capacity_Entsoe_SFS_2017!$D$3:$AK$38)+SUMPRODUCT((Capacity_Entsoe_SFS_2017!$A$3:$A$38='Abgleich Kapazität'!$A112)*(Capacity_Entsoe_SFS_2017!$D$1:$AL$1='Abgleich Kapazität'!N$77)*Capacity_Entsoe_SFS_2017!$D$3:$AK$38)+SUMPRODUCT((Capacity_Entsoe_SFS_2017!$A$3:$A$38='Abgleich Kapazität'!$A112)*(Capacity_Entsoe_SFS_2017!$D$1:$AL$1='Abgleich Kapazität'!N$76)*Capacity_Entsoe_SFS_2017!$D$3:$AK$38))/1000</f>
        <v>#VALUE!</v>
      </c>
      <c r="O112" s="58" t="e">
        <f>(SUMPRODUCT((Capacity_Entsoe_SFS_2017!$A$3:$A$38='Abgleich Kapazität'!$A112)*(Capacity_Entsoe_SFS_2017!$D$1:$AL$1='Abgleich Kapazität'!O$81)*Capacity_Entsoe_SFS_2017!$D$3:$AK$38)+SUMPRODUCT((Capacity_Entsoe_SFS_2017!$A$3:$A$38='Abgleich Kapazität'!$A112)*(Capacity_Entsoe_SFS_2017!$D$1:$AL$1='Abgleich Kapazität'!O$80)*Capacity_Entsoe_SFS_2017!$D$3:$AK$38)+SUMPRODUCT((Capacity_Entsoe_SFS_2017!$A$3:$A$38='Abgleich Kapazität'!$A112)*(Capacity_Entsoe_SFS_2017!$D$1:$AL$1='Abgleich Kapazität'!O$79)*Capacity_Entsoe_SFS_2017!$D$3:$AK$38)+SUMPRODUCT((Capacity_Entsoe_SFS_2017!$A$3:$A$38='Abgleich Kapazität'!$A112)*(Capacity_Entsoe_SFS_2017!$D$1:$AL$1='Abgleich Kapazität'!O$78)*Capacity_Entsoe_SFS_2017!$D$3:$AK$38)+SUMPRODUCT((Capacity_Entsoe_SFS_2017!$A$3:$A$38='Abgleich Kapazität'!$A112)*(Capacity_Entsoe_SFS_2017!$D$1:$AL$1='Abgleich Kapazität'!O$77)*Capacity_Entsoe_SFS_2017!$D$3:$AK$38)+SUMPRODUCT((Capacity_Entsoe_SFS_2017!$A$3:$A$38='Abgleich Kapazität'!$A112)*(Capacity_Entsoe_SFS_2017!$D$1:$AL$1='Abgleich Kapazität'!O$76)*Capacity_Entsoe_SFS_2017!$D$3:$AK$38))/1000</f>
        <v>#VALUE!</v>
      </c>
      <c r="P112" s="58" t="e">
        <f>(SUMPRODUCT((Capacity_Entsoe_SFS_2017!$A$3:$A$38='Abgleich Kapazität'!$A112)*(Capacity_Entsoe_SFS_2017!$D$1:$AL$1='Abgleich Kapazität'!P$81)*Capacity_Entsoe_SFS_2017!$D$3:$AK$38)+SUMPRODUCT((Capacity_Entsoe_SFS_2017!$A$3:$A$38='Abgleich Kapazität'!$A112)*(Capacity_Entsoe_SFS_2017!$D$1:$AL$1='Abgleich Kapazität'!P$80)*Capacity_Entsoe_SFS_2017!$D$3:$AK$38)+SUMPRODUCT((Capacity_Entsoe_SFS_2017!$A$3:$A$38='Abgleich Kapazität'!$A112)*(Capacity_Entsoe_SFS_2017!$D$1:$AL$1='Abgleich Kapazität'!P$79)*Capacity_Entsoe_SFS_2017!$D$3:$AK$38)+SUMPRODUCT((Capacity_Entsoe_SFS_2017!$A$3:$A$38='Abgleich Kapazität'!$A112)*(Capacity_Entsoe_SFS_2017!$D$1:$AL$1='Abgleich Kapazität'!P$78)*Capacity_Entsoe_SFS_2017!$D$3:$AK$38)+SUMPRODUCT((Capacity_Entsoe_SFS_2017!$A$3:$A$38='Abgleich Kapazität'!$A112)*(Capacity_Entsoe_SFS_2017!$D$1:$AL$1='Abgleich Kapazität'!P$77)*Capacity_Entsoe_SFS_2017!$D$3:$AK$38)+SUMPRODUCT((Capacity_Entsoe_SFS_2017!$A$3:$A$38='Abgleich Kapazität'!$A112)*(Capacity_Entsoe_SFS_2017!$D$1:$AL$1='Abgleich Kapazität'!P$76)*Capacity_Entsoe_SFS_2017!$D$3:$AK$38))/1000</f>
        <v>#VALUE!</v>
      </c>
      <c r="Q112" s="58" t="e">
        <f>(SUMPRODUCT((Capacity_Entsoe_SFS_2017!$A$3:$A$38='Abgleich Kapazität'!$A112)*(Capacity_Entsoe_SFS_2017!$D$1:$AL$1='Abgleich Kapazität'!Q$81)*Capacity_Entsoe_SFS_2017!$D$3:$AK$38)+SUMPRODUCT((Capacity_Entsoe_SFS_2017!$A$3:$A$38='Abgleich Kapazität'!$A112)*(Capacity_Entsoe_SFS_2017!$D$1:$AL$1='Abgleich Kapazität'!Q$80)*Capacity_Entsoe_SFS_2017!$D$3:$AK$38)+SUMPRODUCT((Capacity_Entsoe_SFS_2017!$A$3:$A$38='Abgleich Kapazität'!$A112)*(Capacity_Entsoe_SFS_2017!$D$1:$AL$1='Abgleich Kapazität'!Q$79)*Capacity_Entsoe_SFS_2017!$D$3:$AK$38)+SUMPRODUCT((Capacity_Entsoe_SFS_2017!$A$3:$A$38='Abgleich Kapazität'!$A112)*(Capacity_Entsoe_SFS_2017!$D$1:$AL$1='Abgleich Kapazität'!Q$78)*Capacity_Entsoe_SFS_2017!$D$3:$AK$38)+SUMPRODUCT((Capacity_Entsoe_SFS_2017!$A$3:$A$38='Abgleich Kapazität'!$A112)*(Capacity_Entsoe_SFS_2017!$D$1:$AL$1='Abgleich Kapazität'!Q$77)*Capacity_Entsoe_SFS_2017!$D$3:$AK$38)+SUMPRODUCT((Capacity_Entsoe_SFS_2017!$A$3:$A$38='Abgleich Kapazität'!$A112)*(Capacity_Entsoe_SFS_2017!$D$1:$AL$1='Abgleich Kapazität'!Q$76)*Capacity_Entsoe_SFS_2017!$D$3:$AK$38))/1000</f>
        <v>#VALUE!</v>
      </c>
      <c r="R112" s="58" t="e">
        <f>(SUMPRODUCT((Capacity_Entsoe_SFS_2017!$A$3:$A$38='Abgleich Kapazität'!$A112)*(Capacity_Entsoe_SFS_2017!$D$1:$AL$1='Abgleich Kapazität'!R$81)*Capacity_Entsoe_SFS_2017!$D$3:$AK$38)+SUMPRODUCT((Capacity_Entsoe_SFS_2017!$A$3:$A$38='Abgleich Kapazität'!$A112)*(Capacity_Entsoe_SFS_2017!$D$1:$AL$1='Abgleich Kapazität'!R$80)*Capacity_Entsoe_SFS_2017!$D$3:$AK$38)+SUMPRODUCT((Capacity_Entsoe_SFS_2017!$A$3:$A$38='Abgleich Kapazität'!$A112)*(Capacity_Entsoe_SFS_2017!$D$1:$AL$1='Abgleich Kapazität'!R$79)*Capacity_Entsoe_SFS_2017!$D$3:$AK$38)+SUMPRODUCT((Capacity_Entsoe_SFS_2017!$A$3:$A$38='Abgleich Kapazität'!$A112)*(Capacity_Entsoe_SFS_2017!$D$1:$AL$1='Abgleich Kapazität'!R$78)*Capacity_Entsoe_SFS_2017!$D$3:$AK$38)+SUMPRODUCT((Capacity_Entsoe_SFS_2017!$A$3:$A$38='Abgleich Kapazität'!$A112)*(Capacity_Entsoe_SFS_2017!$D$1:$AL$1='Abgleich Kapazität'!R$77)*Capacity_Entsoe_SFS_2017!$D$3:$AK$38)+SUMPRODUCT((Capacity_Entsoe_SFS_2017!$A$3:$A$38='Abgleich Kapazität'!$A112)*(Capacity_Entsoe_SFS_2017!$D$1:$AL$1='Abgleich Kapazität'!R$76)*Capacity_Entsoe_SFS_2017!$D$3:$AK$38))/1000</f>
        <v>#VALUE!</v>
      </c>
      <c r="S112" s="58" t="e">
        <f>(SUMPRODUCT((Capacity_Entsoe_SFS_2017!$A$3:$A$38='Abgleich Kapazität'!$A112)*(Capacity_Entsoe_SFS_2017!$D$1:$AL$1='Abgleich Kapazität'!S$81)*Capacity_Entsoe_SFS_2017!$D$3:$AK$38)+SUMPRODUCT((Capacity_Entsoe_SFS_2017!$A$3:$A$38='Abgleich Kapazität'!$A112)*(Capacity_Entsoe_SFS_2017!$D$1:$AL$1='Abgleich Kapazität'!S$80)*Capacity_Entsoe_SFS_2017!$D$3:$AK$38)+SUMPRODUCT((Capacity_Entsoe_SFS_2017!$A$3:$A$38='Abgleich Kapazität'!$A112)*(Capacity_Entsoe_SFS_2017!$D$1:$AL$1='Abgleich Kapazität'!S$79)*Capacity_Entsoe_SFS_2017!$D$3:$AK$38)+SUMPRODUCT((Capacity_Entsoe_SFS_2017!$A$3:$A$38='Abgleich Kapazität'!$A112)*(Capacity_Entsoe_SFS_2017!$D$1:$AL$1='Abgleich Kapazität'!S$78)*Capacity_Entsoe_SFS_2017!$D$3:$AK$38)+SUMPRODUCT((Capacity_Entsoe_SFS_2017!$A$3:$A$38='Abgleich Kapazität'!$A112)*(Capacity_Entsoe_SFS_2017!$D$1:$AL$1='Abgleich Kapazität'!S$77)*Capacity_Entsoe_SFS_2017!$D$3:$AK$38)+SUMPRODUCT((Capacity_Entsoe_SFS_2017!$A$3:$A$38='Abgleich Kapazität'!$A112)*(Capacity_Entsoe_SFS_2017!$D$1:$AL$1='Abgleich Kapazität'!S$76)*Capacity_Entsoe_SFS_2017!$D$3:$AK$38))/1000</f>
        <v>#VALUE!</v>
      </c>
      <c r="T112" s="58" t="e">
        <f>(SUMPRODUCT((Capacity_Entsoe_SFS_2017!$A$3:$A$38='Abgleich Kapazität'!$A112)*(Capacity_Entsoe_SFS_2017!$D$1:$AL$1='Abgleich Kapazität'!T$81)*Capacity_Entsoe_SFS_2017!$D$3:$AK$38)+SUMPRODUCT((Capacity_Entsoe_SFS_2017!$A$3:$A$38='Abgleich Kapazität'!$A112)*(Capacity_Entsoe_SFS_2017!$D$1:$AL$1='Abgleich Kapazität'!T$80)*Capacity_Entsoe_SFS_2017!$D$3:$AK$38)+SUMPRODUCT((Capacity_Entsoe_SFS_2017!$A$3:$A$38='Abgleich Kapazität'!$A112)*(Capacity_Entsoe_SFS_2017!$D$1:$AL$1='Abgleich Kapazität'!T$79)*Capacity_Entsoe_SFS_2017!$D$3:$AK$38)+SUMPRODUCT((Capacity_Entsoe_SFS_2017!$A$3:$A$38='Abgleich Kapazität'!$A112)*(Capacity_Entsoe_SFS_2017!$D$1:$AL$1='Abgleich Kapazität'!T$78)*Capacity_Entsoe_SFS_2017!$D$3:$AK$38)+SUMPRODUCT((Capacity_Entsoe_SFS_2017!$A$3:$A$38='Abgleich Kapazität'!$A112)*(Capacity_Entsoe_SFS_2017!$D$1:$AL$1='Abgleich Kapazität'!T$77)*Capacity_Entsoe_SFS_2017!$D$3:$AK$38)+SUMPRODUCT((Capacity_Entsoe_SFS_2017!$A$3:$A$38='Abgleich Kapazität'!$A112)*(Capacity_Entsoe_SFS_2017!$D$1:$AL$1='Abgleich Kapazität'!T$76)*Capacity_Entsoe_SFS_2017!$D$3:$AK$38))/1000</f>
        <v>#VALUE!</v>
      </c>
      <c r="U112" s="58" t="e">
        <f>(SUMPRODUCT((Capacity_Entsoe_SFS_2017!$A$3:$A$38='Abgleich Kapazität'!$A112)*(Capacity_Entsoe_SFS_2017!$D$1:$AL$1='Abgleich Kapazität'!U$81)*Capacity_Entsoe_SFS_2017!$D$3:$AK$38)+SUMPRODUCT((Capacity_Entsoe_SFS_2017!$A$3:$A$38='Abgleich Kapazität'!$A112)*(Capacity_Entsoe_SFS_2017!$D$1:$AL$1='Abgleich Kapazität'!U$80)*Capacity_Entsoe_SFS_2017!$D$3:$AK$38)+SUMPRODUCT((Capacity_Entsoe_SFS_2017!$A$3:$A$38='Abgleich Kapazität'!$A112)*(Capacity_Entsoe_SFS_2017!$D$1:$AL$1='Abgleich Kapazität'!U$79)*Capacity_Entsoe_SFS_2017!$D$3:$AK$38)+SUMPRODUCT((Capacity_Entsoe_SFS_2017!$A$3:$A$38='Abgleich Kapazität'!$A112)*(Capacity_Entsoe_SFS_2017!$D$1:$AL$1='Abgleich Kapazität'!U$78)*Capacity_Entsoe_SFS_2017!$D$3:$AK$38)+SUMPRODUCT((Capacity_Entsoe_SFS_2017!$A$3:$A$38='Abgleich Kapazität'!$A112)*(Capacity_Entsoe_SFS_2017!$D$1:$AL$1='Abgleich Kapazität'!U$77)*Capacity_Entsoe_SFS_2017!$D$3:$AK$38)+SUMPRODUCT((Capacity_Entsoe_SFS_2017!$A$3:$A$38='Abgleich Kapazität'!$A112)*(Capacity_Entsoe_SFS_2017!$D$1:$AL$1='Abgleich Kapazität'!U$76)*Capacity_Entsoe_SFS_2017!$D$3:$AK$38))/1000</f>
        <v>#VALUE!</v>
      </c>
      <c r="V112" s="59" t="e">
        <f t="shared" si="80"/>
        <v>#VALUE!</v>
      </c>
    </row>
    <row r="113" spans="1:22" x14ac:dyDescent="0.25">
      <c r="A113" s="14" t="s">
        <v>39</v>
      </c>
      <c r="B113" s="25" t="e">
        <f t="shared" si="77"/>
        <v>#VALUE!</v>
      </c>
      <c r="C113" s="26" t="e">
        <f>(SUMPRODUCT((Capacity_Entsoe_SFS_2017!$A$3:$A$38='Abgleich Kapazität'!$A113)*(Capacity_Entsoe_SFS_2017!$D$1:$AL$1='Abgleich Kapazität'!C$81)*Capacity_Entsoe_SFS_2017!$D$3:$AK$38)+SUMPRODUCT((Capacity_Entsoe_SFS_2017!$A$3:$A$38='Abgleich Kapazität'!$A113)*(Capacity_Entsoe_SFS_2017!$D$1:$AL$1='Abgleich Kapazität'!C$80)*Capacity_Entsoe_SFS_2017!$D$3:$AK$38)+SUMPRODUCT((Capacity_Entsoe_SFS_2017!$A$3:$A$38='Abgleich Kapazität'!$A113)*(Capacity_Entsoe_SFS_2017!$D$1:$AL$1='Abgleich Kapazität'!C$79)*Capacity_Entsoe_SFS_2017!$D$3:$AK$38)+SUMPRODUCT((Capacity_Entsoe_SFS_2017!$A$3:$A$38='Abgleich Kapazität'!$A113)*(Capacity_Entsoe_SFS_2017!$D$1:$AL$1='Abgleich Kapazität'!C$78)*Capacity_Entsoe_SFS_2017!$D$3:$AK$38))/1000</f>
        <v>#VALUE!</v>
      </c>
      <c r="D113" s="26" t="e">
        <f t="shared" si="78"/>
        <v>#VALUE!</v>
      </c>
      <c r="E113" s="26" t="e">
        <f>(SUMPRODUCT((Capacity_Entsoe_SFS_2017!$A$3:$A$38='Abgleich Kapazität'!$A113)*(Capacity_Entsoe_SFS_2017!$D$1:$AL$1='Abgleich Kapazität'!E$81)*Capacity_Entsoe_SFS_2017!$D$3:$AK$38)+SUMPRODUCT((Capacity_Entsoe_SFS_2017!$A$3:$A$38='Abgleich Kapazität'!$A113)*(Capacity_Entsoe_SFS_2017!$D$1:$AL$1='Abgleich Kapazität'!E$80)*Capacity_Entsoe_SFS_2017!$D$3:$AK$38)+SUMPRODUCT((Capacity_Entsoe_SFS_2017!$A$3:$A$38='Abgleich Kapazität'!$A113)*(Capacity_Entsoe_SFS_2017!$D$1:$AL$1='Abgleich Kapazität'!E$79)*Capacity_Entsoe_SFS_2017!$D$3:$AK$38)+SUMPRODUCT((Capacity_Entsoe_SFS_2017!$A$3:$A$38='Abgleich Kapazität'!$A113)*(Capacity_Entsoe_SFS_2017!$D$1:$AL$1='Abgleich Kapazität'!E$78)*Capacity_Entsoe_SFS_2017!$D$3:$AK$38))/1000</f>
        <v>#VALUE!</v>
      </c>
      <c r="F113" s="26" t="e">
        <f>(SUMPRODUCT((Capacity_Entsoe_SFS_2017!$A$3:$A$38='Abgleich Kapazität'!$A113)*(Capacity_Entsoe_SFS_2017!$D$1:$AL$1='Abgleich Kapazität'!F$81)*Capacity_Entsoe_SFS_2017!$D$3:$AK$38)+SUMPRODUCT((Capacity_Entsoe_SFS_2017!$A$3:$A$38='Abgleich Kapazität'!$A113)*(Capacity_Entsoe_SFS_2017!$D$1:$AL$1='Abgleich Kapazität'!F$80)*Capacity_Entsoe_SFS_2017!$D$3:$AK$38)+SUMPRODUCT((Capacity_Entsoe_SFS_2017!$A$3:$A$38='Abgleich Kapazität'!$A113)*(Capacity_Entsoe_SFS_2017!$D$1:$AL$1='Abgleich Kapazität'!F$79)*Capacity_Entsoe_SFS_2017!$D$3:$AK$38)+SUMPRODUCT((Capacity_Entsoe_SFS_2017!$A$3:$A$38='Abgleich Kapazität'!$A113)*(Capacity_Entsoe_SFS_2017!$D$1:$AL$1='Abgleich Kapazität'!F$78)*Capacity_Entsoe_SFS_2017!$D$3:$AK$38))/1000</f>
        <v>#VALUE!</v>
      </c>
      <c r="G113" s="26" t="e">
        <f>(SUMPRODUCT((Capacity_Entsoe_SFS_2017!$A$3:$A$38='Abgleich Kapazität'!$A113)*(Capacity_Entsoe_SFS_2017!$D$1:$AL$1='Abgleich Kapazität'!G$81)*Capacity_Entsoe_SFS_2017!$D$3:$AK$38)+SUMPRODUCT((Capacity_Entsoe_SFS_2017!$A$3:$A$38='Abgleich Kapazität'!$A113)*(Capacity_Entsoe_SFS_2017!$D$1:$AL$1='Abgleich Kapazität'!G$80)*Capacity_Entsoe_SFS_2017!$D$3:$AK$38)+SUMPRODUCT((Capacity_Entsoe_SFS_2017!$A$3:$A$38='Abgleich Kapazität'!$A113)*(Capacity_Entsoe_SFS_2017!$D$1:$AL$1='Abgleich Kapazität'!G$79)*Capacity_Entsoe_SFS_2017!$D$3:$AK$38)+SUMPRODUCT((Capacity_Entsoe_SFS_2017!$A$3:$A$38='Abgleich Kapazität'!$A113)*(Capacity_Entsoe_SFS_2017!$D$1:$AL$1='Abgleich Kapazität'!G$78)*Capacity_Entsoe_SFS_2017!$D$3:$AK$38))/1000</f>
        <v>#VALUE!</v>
      </c>
      <c r="H113" s="26" t="e">
        <f>(SUMPRODUCT((Capacity_Entsoe_SFS_2017!$A$3:$A$38='Abgleich Kapazität'!$A113)*(Capacity_Entsoe_SFS_2017!$D$1:$AL$1='Abgleich Kapazität'!H$81)*Capacity_Entsoe_SFS_2017!$D$3:$AK$38)+SUMPRODUCT((Capacity_Entsoe_SFS_2017!$A$3:$A$38='Abgleich Kapazität'!$A113)*(Capacity_Entsoe_SFS_2017!$D$1:$AL$1='Abgleich Kapazität'!H$80)*Capacity_Entsoe_SFS_2017!$D$3:$AK$38)+SUMPRODUCT((Capacity_Entsoe_SFS_2017!$A$3:$A$38='Abgleich Kapazität'!$A113)*(Capacity_Entsoe_SFS_2017!$D$1:$AL$1='Abgleich Kapazität'!H$79)*Capacity_Entsoe_SFS_2017!$D$3:$AK$38)+SUMPRODUCT((Capacity_Entsoe_SFS_2017!$A$3:$A$38='Abgleich Kapazität'!$A113)*(Capacity_Entsoe_SFS_2017!$D$1:$AL$1='Abgleich Kapazität'!H$78)*Capacity_Entsoe_SFS_2017!$D$3:$AK$38))/1000</f>
        <v>#VALUE!</v>
      </c>
      <c r="I113" s="26" t="e">
        <f>(SUMPRODUCT((Capacity_Entsoe_SFS_2017!$A$3:$A$38='Abgleich Kapazität'!$A113)*(Capacity_Entsoe_SFS_2017!$D$1:$AL$1='Abgleich Kapazität'!I$81)*Capacity_Entsoe_SFS_2017!$D$3:$AK$38)+SUMPRODUCT((Capacity_Entsoe_SFS_2017!$A$3:$A$38='Abgleich Kapazität'!$A113)*(Capacity_Entsoe_SFS_2017!$D$1:$AL$1='Abgleich Kapazität'!I$80)*Capacity_Entsoe_SFS_2017!$D$3:$AK$38)+SUMPRODUCT((Capacity_Entsoe_SFS_2017!$A$3:$A$38='Abgleich Kapazität'!$A113)*(Capacity_Entsoe_SFS_2017!$D$1:$AL$1='Abgleich Kapazität'!I$79)*Capacity_Entsoe_SFS_2017!$D$3:$AK$38)+SUMPRODUCT((Capacity_Entsoe_SFS_2017!$A$3:$A$38='Abgleich Kapazität'!$A113)*(Capacity_Entsoe_SFS_2017!$D$1:$AL$1='Abgleich Kapazität'!I$78)*Capacity_Entsoe_SFS_2017!$D$3:$AK$38))/1000</f>
        <v>#VALUE!</v>
      </c>
      <c r="J113" s="26" t="e">
        <f>(SUMPRODUCT((Capacity_Entsoe_SFS_2017!$A$3:$A$38='Abgleich Kapazität'!$A113)*(Capacity_Entsoe_SFS_2017!$D$1:$AL$1='Abgleich Kapazität'!J$81)*Capacity_Entsoe_SFS_2017!$D$3:$AK$38)+SUMPRODUCT((Capacity_Entsoe_SFS_2017!$A$3:$A$38='Abgleich Kapazität'!$A113)*(Capacity_Entsoe_SFS_2017!$D$1:$AL$1='Abgleich Kapazität'!J$80)*Capacity_Entsoe_SFS_2017!$D$3:$AK$38)+SUMPRODUCT((Capacity_Entsoe_SFS_2017!$A$3:$A$38='Abgleich Kapazität'!$A113)*(Capacity_Entsoe_SFS_2017!$D$1:$AL$1='Abgleich Kapazität'!J$79)*Capacity_Entsoe_SFS_2017!$D$3:$AK$38)+SUMPRODUCT((Capacity_Entsoe_SFS_2017!$A$3:$A$38='Abgleich Kapazität'!$A113)*(Capacity_Entsoe_SFS_2017!$D$1:$AL$1='Abgleich Kapazität'!J$78)*Capacity_Entsoe_SFS_2017!$D$3:$AK$38))/1000</f>
        <v>#VALUE!</v>
      </c>
      <c r="K113" s="27" t="e">
        <f t="shared" si="79"/>
        <v>#VALUE!</v>
      </c>
      <c r="L113" s="26" t="e">
        <f>(SUMPRODUCT((Capacity_Entsoe_SFS_2017!$A$3:$A$38='Abgleich Kapazität'!$A113)*(Capacity_Entsoe_SFS_2017!$D$1:$AL$1='Abgleich Kapazität'!L$81)*Capacity_Entsoe_SFS_2017!$D$3:$AK$38)+SUMPRODUCT((Capacity_Entsoe_SFS_2017!$A$3:$A$38='Abgleich Kapazität'!$A113)*(Capacity_Entsoe_SFS_2017!$D$1:$AL$1='Abgleich Kapazität'!L$80)*Capacity_Entsoe_SFS_2017!$D$3:$AK$38)+SUMPRODUCT((Capacity_Entsoe_SFS_2017!$A$3:$A$38='Abgleich Kapazität'!$A113)*(Capacity_Entsoe_SFS_2017!$D$1:$AL$1='Abgleich Kapazität'!L$79)*Capacity_Entsoe_SFS_2017!$D$3:$AK$38)+SUMPRODUCT((Capacity_Entsoe_SFS_2017!$A$3:$A$38='Abgleich Kapazität'!$A113)*(Capacity_Entsoe_SFS_2017!$D$1:$AL$1='Abgleich Kapazität'!L$78)*Capacity_Entsoe_SFS_2017!$D$3:$AK$38)+SUMPRODUCT((Capacity_Entsoe_SFS_2017!$A$3:$A$38='Abgleich Kapazität'!$A113)*(Capacity_Entsoe_SFS_2017!$D$1:$AL$1='Abgleich Kapazität'!L$77)*Capacity_Entsoe_SFS_2017!$D$3:$AK$38)+SUMPRODUCT((Capacity_Entsoe_SFS_2017!$A$3:$A$38='Abgleich Kapazität'!$A113)*(Capacity_Entsoe_SFS_2017!$D$1:$AL$1='Abgleich Kapazität'!L$76)*Capacity_Entsoe_SFS_2017!$D$3:$AK$38))/1000</f>
        <v>#VALUE!</v>
      </c>
      <c r="M113" s="26" t="e">
        <f>(SUMPRODUCT((Capacity_Entsoe_SFS_2017!$A$3:$A$38='Abgleich Kapazität'!$A113)*(Capacity_Entsoe_SFS_2017!$D$1:$AL$1='Abgleich Kapazität'!M$81)*Capacity_Entsoe_SFS_2017!$D$3:$AK$38)+SUMPRODUCT((Capacity_Entsoe_SFS_2017!$A$3:$A$38='Abgleich Kapazität'!$A113)*(Capacity_Entsoe_SFS_2017!$D$1:$AL$1='Abgleich Kapazität'!M$80)*Capacity_Entsoe_SFS_2017!$D$3:$AK$38)+SUMPRODUCT((Capacity_Entsoe_SFS_2017!$A$3:$A$38='Abgleich Kapazität'!$A113)*(Capacity_Entsoe_SFS_2017!$D$1:$AL$1='Abgleich Kapazität'!M$79)*Capacity_Entsoe_SFS_2017!$D$3:$AK$38)+SUMPRODUCT((Capacity_Entsoe_SFS_2017!$A$3:$A$38='Abgleich Kapazität'!$A113)*(Capacity_Entsoe_SFS_2017!$D$1:$AL$1='Abgleich Kapazität'!M$78)*Capacity_Entsoe_SFS_2017!$D$3:$AK$38)+SUMPRODUCT((Capacity_Entsoe_SFS_2017!$A$3:$A$38='Abgleich Kapazität'!$A113)*(Capacity_Entsoe_SFS_2017!$D$1:$AL$1='Abgleich Kapazität'!M$77)*Capacity_Entsoe_SFS_2017!$D$3:$AK$38)+SUMPRODUCT((Capacity_Entsoe_SFS_2017!$A$3:$A$38='Abgleich Kapazität'!$A113)*(Capacity_Entsoe_SFS_2017!$D$1:$AL$1='Abgleich Kapazität'!M$76)*Capacity_Entsoe_SFS_2017!$D$3:$AK$38))/1000</f>
        <v>#VALUE!</v>
      </c>
      <c r="N113" s="26" t="e">
        <f>(SUMPRODUCT((Capacity_Entsoe_SFS_2017!$A$3:$A$38='Abgleich Kapazität'!$A113)*(Capacity_Entsoe_SFS_2017!$D$1:$AL$1='Abgleich Kapazität'!N$81)*Capacity_Entsoe_SFS_2017!$D$3:$AK$38)+SUMPRODUCT((Capacity_Entsoe_SFS_2017!$A$3:$A$38='Abgleich Kapazität'!$A113)*(Capacity_Entsoe_SFS_2017!$D$1:$AL$1='Abgleich Kapazität'!N$80)*Capacity_Entsoe_SFS_2017!$D$3:$AK$38)+SUMPRODUCT((Capacity_Entsoe_SFS_2017!$A$3:$A$38='Abgleich Kapazität'!$A113)*(Capacity_Entsoe_SFS_2017!$D$1:$AL$1='Abgleich Kapazität'!N$79)*Capacity_Entsoe_SFS_2017!$D$3:$AK$38)+SUMPRODUCT((Capacity_Entsoe_SFS_2017!$A$3:$A$38='Abgleich Kapazität'!$A113)*(Capacity_Entsoe_SFS_2017!$D$1:$AL$1='Abgleich Kapazität'!N$78)*Capacity_Entsoe_SFS_2017!$D$3:$AK$38)+SUMPRODUCT((Capacity_Entsoe_SFS_2017!$A$3:$A$38='Abgleich Kapazität'!$A113)*(Capacity_Entsoe_SFS_2017!$D$1:$AL$1='Abgleich Kapazität'!N$77)*Capacity_Entsoe_SFS_2017!$D$3:$AK$38)+SUMPRODUCT((Capacity_Entsoe_SFS_2017!$A$3:$A$38='Abgleich Kapazität'!$A113)*(Capacity_Entsoe_SFS_2017!$D$1:$AL$1='Abgleich Kapazität'!N$76)*Capacity_Entsoe_SFS_2017!$D$3:$AK$38))/1000</f>
        <v>#VALUE!</v>
      </c>
      <c r="O113" s="26" t="e">
        <f>(SUMPRODUCT((Capacity_Entsoe_SFS_2017!$A$3:$A$38='Abgleich Kapazität'!$A113)*(Capacity_Entsoe_SFS_2017!$D$1:$AL$1='Abgleich Kapazität'!O$81)*Capacity_Entsoe_SFS_2017!$D$3:$AK$38)+SUMPRODUCT((Capacity_Entsoe_SFS_2017!$A$3:$A$38='Abgleich Kapazität'!$A113)*(Capacity_Entsoe_SFS_2017!$D$1:$AL$1='Abgleich Kapazität'!O$80)*Capacity_Entsoe_SFS_2017!$D$3:$AK$38)+SUMPRODUCT((Capacity_Entsoe_SFS_2017!$A$3:$A$38='Abgleich Kapazität'!$A113)*(Capacity_Entsoe_SFS_2017!$D$1:$AL$1='Abgleich Kapazität'!O$79)*Capacity_Entsoe_SFS_2017!$D$3:$AK$38)+SUMPRODUCT((Capacity_Entsoe_SFS_2017!$A$3:$A$38='Abgleich Kapazität'!$A113)*(Capacity_Entsoe_SFS_2017!$D$1:$AL$1='Abgleich Kapazität'!O$78)*Capacity_Entsoe_SFS_2017!$D$3:$AK$38)+SUMPRODUCT((Capacity_Entsoe_SFS_2017!$A$3:$A$38='Abgleich Kapazität'!$A113)*(Capacity_Entsoe_SFS_2017!$D$1:$AL$1='Abgleich Kapazität'!O$77)*Capacity_Entsoe_SFS_2017!$D$3:$AK$38)+SUMPRODUCT((Capacity_Entsoe_SFS_2017!$A$3:$A$38='Abgleich Kapazität'!$A113)*(Capacity_Entsoe_SFS_2017!$D$1:$AL$1='Abgleich Kapazität'!O$76)*Capacity_Entsoe_SFS_2017!$D$3:$AK$38))/1000</f>
        <v>#VALUE!</v>
      </c>
      <c r="P113" s="26" t="e">
        <f>(SUMPRODUCT((Capacity_Entsoe_SFS_2017!$A$3:$A$38='Abgleich Kapazität'!$A113)*(Capacity_Entsoe_SFS_2017!$D$1:$AL$1='Abgleich Kapazität'!P$81)*Capacity_Entsoe_SFS_2017!$D$3:$AK$38)+SUMPRODUCT((Capacity_Entsoe_SFS_2017!$A$3:$A$38='Abgleich Kapazität'!$A113)*(Capacity_Entsoe_SFS_2017!$D$1:$AL$1='Abgleich Kapazität'!P$80)*Capacity_Entsoe_SFS_2017!$D$3:$AK$38)+SUMPRODUCT((Capacity_Entsoe_SFS_2017!$A$3:$A$38='Abgleich Kapazität'!$A113)*(Capacity_Entsoe_SFS_2017!$D$1:$AL$1='Abgleich Kapazität'!P$79)*Capacity_Entsoe_SFS_2017!$D$3:$AK$38)+SUMPRODUCT((Capacity_Entsoe_SFS_2017!$A$3:$A$38='Abgleich Kapazität'!$A113)*(Capacity_Entsoe_SFS_2017!$D$1:$AL$1='Abgleich Kapazität'!P$78)*Capacity_Entsoe_SFS_2017!$D$3:$AK$38)+SUMPRODUCT((Capacity_Entsoe_SFS_2017!$A$3:$A$38='Abgleich Kapazität'!$A113)*(Capacity_Entsoe_SFS_2017!$D$1:$AL$1='Abgleich Kapazität'!P$77)*Capacity_Entsoe_SFS_2017!$D$3:$AK$38)+SUMPRODUCT((Capacity_Entsoe_SFS_2017!$A$3:$A$38='Abgleich Kapazität'!$A113)*(Capacity_Entsoe_SFS_2017!$D$1:$AL$1='Abgleich Kapazität'!P$76)*Capacity_Entsoe_SFS_2017!$D$3:$AK$38))/1000</f>
        <v>#VALUE!</v>
      </c>
      <c r="Q113" s="26" t="e">
        <f>(SUMPRODUCT((Capacity_Entsoe_SFS_2017!$A$3:$A$38='Abgleich Kapazität'!$A113)*(Capacity_Entsoe_SFS_2017!$D$1:$AL$1='Abgleich Kapazität'!Q$81)*Capacity_Entsoe_SFS_2017!$D$3:$AK$38)+SUMPRODUCT((Capacity_Entsoe_SFS_2017!$A$3:$A$38='Abgleich Kapazität'!$A113)*(Capacity_Entsoe_SFS_2017!$D$1:$AL$1='Abgleich Kapazität'!Q$80)*Capacity_Entsoe_SFS_2017!$D$3:$AK$38)+SUMPRODUCT((Capacity_Entsoe_SFS_2017!$A$3:$A$38='Abgleich Kapazität'!$A113)*(Capacity_Entsoe_SFS_2017!$D$1:$AL$1='Abgleich Kapazität'!Q$79)*Capacity_Entsoe_SFS_2017!$D$3:$AK$38)+SUMPRODUCT((Capacity_Entsoe_SFS_2017!$A$3:$A$38='Abgleich Kapazität'!$A113)*(Capacity_Entsoe_SFS_2017!$D$1:$AL$1='Abgleich Kapazität'!Q$78)*Capacity_Entsoe_SFS_2017!$D$3:$AK$38)+SUMPRODUCT((Capacity_Entsoe_SFS_2017!$A$3:$A$38='Abgleich Kapazität'!$A113)*(Capacity_Entsoe_SFS_2017!$D$1:$AL$1='Abgleich Kapazität'!Q$77)*Capacity_Entsoe_SFS_2017!$D$3:$AK$38)+SUMPRODUCT((Capacity_Entsoe_SFS_2017!$A$3:$A$38='Abgleich Kapazität'!$A113)*(Capacity_Entsoe_SFS_2017!$D$1:$AL$1='Abgleich Kapazität'!Q$76)*Capacity_Entsoe_SFS_2017!$D$3:$AK$38))/1000</f>
        <v>#VALUE!</v>
      </c>
      <c r="R113" s="26" t="e">
        <f>(SUMPRODUCT((Capacity_Entsoe_SFS_2017!$A$3:$A$38='Abgleich Kapazität'!$A113)*(Capacity_Entsoe_SFS_2017!$D$1:$AL$1='Abgleich Kapazität'!R$81)*Capacity_Entsoe_SFS_2017!$D$3:$AK$38)+SUMPRODUCT((Capacity_Entsoe_SFS_2017!$A$3:$A$38='Abgleich Kapazität'!$A113)*(Capacity_Entsoe_SFS_2017!$D$1:$AL$1='Abgleich Kapazität'!R$80)*Capacity_Entsoe_SFS_2017!$D$3:$AK$38)+SUMPRODUCT((Capacity_Entsoe_SFS_2017!$A$3:$A$38='Abgleich Kapazität'!$A113)*(Capacity_Entsoe_SFS_2017!$D$1:$AL$1='Abgleich Kapazität'!R$79)*Capacity_Entsoe_SFS_2017!$D$3:$AK$38)+SUMPRODUCT((Capacity_Entsoe_SFS_2017!$A$3:$A$38='Abgleich Kapazität'!$A113)*(Capacity_Entsoe_SFS_2017!$D$1:$AL$1='Abgleich Kapazität'!R$78)*Capacity_Entsoe_SFS_2017!$D$3:$AK$38)+SUMPRODUCT((Capacity_Entsoe_SFS_2017!$A$3:$A$38='Abgleich Kapazität'!$A113)*(Capacity_Entsoe_SFS_2017!$D$1:$AL$1='Abgleich Kapazität'!R$77)*Capacity_Entsoe_SFS_2017!$D$3:$AK$38)+SUMPRODUCT((Capacity_Entsoe_SFS_2017!$A$3:$A$38='Abgleich Kapazität'!$A113)*(Capacity_Entsoe_SFS_2017!$D$1:$AL$1='Abgleich Kapazität'!R$76)*Capacity_Entsoe_SFS_2017!$D$3:$AK$38))/1000</f>
        <v>#VALUE!</v>
      </c>
      <c r="S113" s="26" t="e">
        <f>(SUMPRODUCT((Capacity_Entsoe_SFS_2017!$A$3:$A$38='Abgleich Kapazität'!$A113)*(Capacity_Entsoe_SFS_2017!$D$1:$AL$1='Abgleich Kapazität'!S$81)*Capacity_Entsoe_SFS_2017!$D$3:$AK$38)+SUMPRODUCT((Capacity_Entsoe_SFS_2017!$A$3:$A$38='Abgleich Kapazität'!$A113)*(Capacity_Entsoe_SFS_2017!$D$1:$AL$1='Abgleich Kapazität'!S$80)*Capacity_Entsoe_SFS_2017!$D$3:$AK$38)+SUMPRODUCT((Capacity_Entsoe_SFS_2017!$A$3:$A$38='Abgleich Kapazität'!$A113)*(Capacity_Entsoe_SFS_2017!$D$1:$AL$1='Abgleich Kapazität'!S$79)*Capacity_Entsoe_SFS_2017!$D$3:$AK$38)+SUMPRODUCT((Capacity_Entsoe_SFS_2017!$A$3:$A$38='Abgleich Kapazität'!$A113)*(Capacity_Entsoe_SFS_2017!$D$1:$AL$1='Abgleich Kapazität'!S$78)*Capacity_Entsoe_SFS_2017!$D$3:$AK$38)+SUMPRODUCT((Capacity_Entsoe_SFS_2017!$A$3:$A$38='Abgleich Kapazität'!$A113)*(Capacity_Entsoe_SFS_2017!$D$1:$AL$1='Abgleich Kapazität'!S$77)*Capacity_Entsoe_SFS_2017!$D$3:$AK$38)+SUMPRODUCT((Capacity_Entsoe_SFS_2017!$A$3:$A$38='Abgleich Kapazität'!$A113)*(Capacity_Entsoe_SFS_2017!$D$1:$AL$1='Abgleich Kapazität'!S$76)*Capacity_Entsoe_SFS_2017!$D$3:$AK$38))/1000</f>
        <v>#VALUE!</v>
      </c>
      <c r="T113" s="26" t="e">
        <f>(SUMPRODUCT((Capacity_Entsoe_SFS_2017!$A$3:$A$38='Abgleich Kapazität'!$A113)*(Capacity_Entsoe_SFS_2017!$D$1:$AL$1='Abgleich Kapazität'!T$81)*Capacity_Entsoe_SFS_2017!$D$3:$AK$38)+SUMPRODUCT((Capacity_Entsoe_SFS_2017!$A$3:$A$38='Abgleich Kapazität'!$A113)*(Capacity_Entsoe_SFS_2017!$D$1:$AL$1='Abgleich Kapazität'!T$80)*Capacity_Entsoe_SFS_2017!$D$3:$AK$38)+SUMPRODUCT((Capacity_Entsoe_SFS_2017!$A$3:$A$38='Abgleich Kapazität'!$A113)*(Capacity_Entsoe_SFS_2017!$D$1:$AL$1='Abgleich Kapazität'!T$79)*Capacity_Entsoe_SFS_2017!$D$3:$AK$38)+SUMPRODUCT((Capacity_Entsoe_SFS_2017!$A$3:$A$38='Abgleich Kapazität'!$A113)*(Capacity_Entsoe_SFS_2017!$D$1:$AL$1='Abgleich Kapazität'!T$78)*Capacity_Entsoe_SFS_2017!$D$3:$AK$38)+SUMPRODUCT((Capacity_Entsoe_SFS_2017!$A$3:$A$38='Abgleich Kapazität'!$A113)*(Capacity_Entsoe_SFS_2017!$D$1:$AL$1='Abgleich Kapazität'!T$77)*Capacity_Entsoe_SFS_2017!$D$3:$AK$38)+SUMPRODUCT((Capacity_Entsoe_SFS_2017!$A$3:$A$38='Abgleich Kapazität'!$A113)*(Capacity_Entsoe_SFS_2017!$D$1:$AL$1='Abgleich Kapazität'!T$76)*Capacity_Entsoe_SFS_2017!$D$3:$AK$38))/1000</f>
        <v>#VALUE!</v>
      </c>
      <c r="U113" s="26" t="e">
        <f>(SUMPRODUCT((Capacity_Entsoe_SFS_2017!$A$3:$A$38='Abgleich Kapazität'!$A113)*(Capacity_Entsoe_SFS_2017!$D$1:$AL$1='Abgleich Kapazität'!U$81)*Capacity_Entsoe_SFS_2017!$D$3:$AK$38)+SUMPRODUCT((Capacity_Entsoe_SFS_2017!$A$3:$A$38='Abgleich Kapazität'!$A113)*(Capacity_Entsoe_SFS_2017!$D$1:$AL$1='Abgleich Kapazität'!U$80)*Capacity_Entsoe_SFS_2017!$D$3:$AK$38)+SUMPRODUCT((Capacity_Entsoe_SFS_2017!$A$3:$A$38='Abgleich Kapazität'!$A113)*(Capacity_Entsoe_SFS_2017!$D$1:$AL$1='Abgleich Kapazität'!U$79)*Capacity_Entsoe_SFS_2017!$D$3:$AK$38)+SUMPRODUCT((Capacity_Entsoe_SFS_2017!$A$3:$A$38='Abgleich Kapazität'!$A113)*(Capacity_Entsoe_SFS_2017!$D$1:$AL$1='Abgleich Kapazität'!U$78)*Capacity_Entsoe_SFS_2017!$D$3:$AK$38)+SUMPRODUCT((Capacity_Entsoe_SFS_2017!$A$3:$A$38='Abgleich Kapazität'!$A113)*(Capacity_Entsoe_SFS_2017!$D$1:$AL$1='Abgleich Kapazität'!U$77)*Capacity_Entsoe_SFS_2017!$D$3:$AK$38)+SUMPRODUCT((Capacity_Entsoe_SFS_2017!$A$3:$A$38='Abgleich Kapazität'!$A113)*(Capacity_Entsoe_SFS_2017!$D$1:$AL$1='Abgleich Kapazität'!U$76)*Capacity_Entsoe_SFS_2017!$D$3:$AK$38))/1000</f>
        <v>#VALUE!</v>
      </c>
      <c r="V113" s="27" t="e">
        <f t="shared" si="80"/>
        <v>#VALUE!</v>
      </c>
    </row>
  </sheetData>
  <conditionalFormatting sqref="Y5:Y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5:AS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A1:AM35"/>
  <sheetViews>
    <sheetView workbookViewId="0">
      <selection activeCell="J27" sqref="J27"/>
    </sheetView>
  </sheetViews>
  <sheetFormatPr baseColWidth="10" defaultRowHeight="15" x14ac:dyDescent="0.25"/>
  <cols>
    <col min="1" max="1" width="8.5703125" bestFit="1" customWidth="1"/>
    <col min="2" max="2" width="5" bestFit="1" customWidth="1"/>
    <col min="3" max="3" width="19" bestFit="1" customWidth="1"/>
    <col min="4" max="4" width="6.5703125" bestFit="1" customWidth="1"/>
    <col min="5" max="7" width="12" bestFit="1" customWidth="1"/>
    <col min="8" max="8" width="15.85546875" bestFit="1" customWidth="1"/>
    <col min="9" max="9" width="23" bestFit="1" customWidth="1"/>
    <col min="10" max="10" width="28.28515625" bestFit="1" customWidth="1"/>
    <col min="11" max="11" width="19.7109375" bestFit="1" customWidth="1"/>
    <col min="12" max="12" width="12" bestFit="1" customWidth="1"/>
    <col min="13" max="14" width="19.28515625" bestFit="1" customWidth="1"/>
    <col min="15" max="17" width="12" bestFit="1" customWidth="1"/>
    <col min="18" max="18" width="17.42578125" bestFit="1" customWidth="1"/>
    <col min="19" max="19" width="15.85546875" bestFit="1" customWidth="1"/>
    <col min="20" max="20" width="12" bestFit="1" customWidth="1"/>
    <col min="21" max="21" width="15.28515625" bestFit="1" customWidth="1"/>
    <col min="22" max="22" width="12" bestFit="1" customWidth="1"/>
    <col min="23" max="23" width="16.42578125" bestFit="1" customWidth="1"/>
    <col min="24" max="24" width="12" bestFit="1" customWidth="1"/>
    <col min="25" max="25" width="12.28515625" bestFit="1" customWidth="1"/>
    <col min="26" max="26" width="12.7109375" bestFit="1" customWidth="1"/>
    <col min="27" max="27" width="20.5703125" bestFit="1" customWidth="1"/>
    <col min="28" max="28" width="14.7109375" bestFit="1" customWidth="1"/>
    <col min="29" max="29" width="21.85546875" bestFit="1" customWidth="1"/>
    <col min="30" max="30" width="17.5703125" bestFit="1" customWidth="1"/>
    <col min="31" max="31" width="21.85546875" bestFit="1" customWidth="1"/>
    <col min="32" max="33" width="12" bestFit="1" customWidth="1"/>
    <col min="34" max="34" width="13.85546875" bestFit="1" customWidth="1"/>
    <col min="35" max="35" width="13.5703125" bestFit="1" customWidth="1"/>
    <col min="36" max="36" width="16.140625" bestFit="1" customWidth="1"/>
    <col min="37" max="37" width="18.42578125" bestFit="1" customWidth="1"/>
    <col min="38" max="38" width="12" bestFit="1" customWidth="1"/>
    <col min="39" max="39" width="13.42578125" bestFit="1" customWidth="1"/>
  </cols>
  <sheetData>
    <row r="1" spans="1:39" s="23" customFormat="1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47</v>
      </c>
      <c r="F1" s="23" t="s">
        <v>66</v>
      </c>
      <c r="G1" s="23" t="s">
        <v>67</v>
      </c>
      <c r="H1" s="23" t="s">
        <v>68</v>
      </c>
      <c r="I1" s="23" t="s">
        <v>69</v>
      </c>
      <c r="J1" s="23" t="s">
        <v>70</v>
      </c>
      <c r="K1" s="23" t="s">
        <v>71</v>
      </c>
      <c r="L1" s="23" t="s">
        <v>72</v>
      </c>
      <c r="M1" s="23" t="s">
        <v>73</v>
      </c>
      <c r="N1" s="23" t="s">
        <v>74</v>
      </c>
      <c r="O1" s="23" t="s">
        <v>75</v>
      </c>
      <c r="P1" s="23" t="s">
        <v>76</v>
      </c>
      <c r="Q1" s="23" t="s">
        <v>77</v>
      </c>
      <c r="R1" s="23" t="s">
        <v>78</v>
      </c>
      <c r="S1" s="23" t="s">
        <v>79</v>
      </c>
      <c r="T1" s="23" t="s">
        <v>80</v>
      </c>
      <c r="U1" s="23" t="s">
        <v>81</v>
      </c>
      <c r="V1" s="23" t="s">
        <v>82</v>
      </c>
      <c r="W1" s="23" t="s">
        <v>83</v>
      </c>
      <c r="X1" s="23" t="s">
        <v>84</v>
      </c>
      <c r="Y1" s="23" t="s">
        <v>85</v>
      </c>
      <c r="Z1" s="23" t="s">
        <v>86</v>
      </c>
      <c r="AA1" s="23" t="s">
        <v>87</v>
      </c>
      <c r="AB1" s="23" t="s">
        <v>88</v>
      </c>
      <c r="AC1" s="23" t="s">
        <v>89</v>
      </c>
      <c r="AD1" s="23" t="s">
        <v>90</v>
      </c>
      <c r="AE1" s="23" t="s">
        <v>91</v>
      </c>
      <c r="AF1" s="23" t="s">
        <v>92</v>
      </c>
      <c r="AG1" s="23" t="s">
        <v>93</v>
      </c>
      <c r="AH1" s="23" t="s">
        <v>42</v>
      </c>
      <c r="AI1" s="23" t="s">
        <v>43</v>
      </c>
      <c r="AJ1" s="23" t="s">
        <v>94</v>
      </c>
      <c r="AK1" s="23" t="s">
        <v>95</v>
      </c>
      <c r="AL1" s="23" t="s">
        <v>96</v>
      </c>
      <c r="AM1" s="23" t="s">
        <v>97</v>
      </c>
    </row>
    <row r="2" spans="1:39" x14ac:dyDescent="0.25">
      <c r="A2">
        <v>4712</v>
      </c>
      <c r="B2">
        <v>2017</v>
      </c>
      <c r="C2" t="s">
        <v>98</v>
      </c>
      <c r="F2">
        <v>143080</v>
      </c>
      <c r="O2">
        <v>81308.142102999802</v>
      </c>
      <c r="R2">
        <v>0</v>
      </c>
      <c r="V2">
        <v>3500.100559</v>
      </c>
      <c r="X2">
        <v>30987.334034</v>
      </c>
      <c r="AG2">
        <v>4237065.8571770098</v>
      </c>
      <c r="AI2">
        <v>0</v>
      </c>
      <c r="AJ2">
        <v>4495941.4338730099</v>
      </c>
      <c r="AK2">
        <v>0</v>
      </c>
      <c r="AL2">
        <v>7099998.54431073</v>
      </c>
      <c r="AM2">
        <v>2604057.1101480001</v>
      </c>
    </row>
    <row r="3" spans="1:39" x14ac:dyDescent="0.25">
      <c r="A3">
        <v>4712</v>
      </c>
      <c r="B3">
        <v>2017</v>
      </c>
      <c r="C3" t="s">
        <v>99</v>
      </c>
      <c r="F3">
        <v>4492224.7104000002</v>
      </c>
      <c r="G3">
        <v>0</v>
      </c>
      <c r="H3">
        <v>0</v>
      </c>
      <c r="I3">
        <v>8938.9492290000107</v>
      </c>
      <c r="J3">
        <v>-9611.7734039999996</v>
      </c>
      <c r="O3">
        <v>4504614.3317620102</v>
      </c>
      <c r="R3">
        <v>0</v>
      </c>
      <c r="T3">
        <v>3572024.6119649801</v>
      </c>
      <c r="U3">
        <v>2266734.9411150101</v>
      </c>
      <c r="V3">
        <v>0</v>
      </c>
      <c r="W3">
        <v>79566.817086999901</v>
      </c>
      <c r="X3">
        <v>89.658000000000001</v>
      </c>
      <c r="Y3">
        <v>1153412.374969</v>
      </c>
      <c r="AB3">
        <v>0</v>
      </c>
      <c r="AD3">
        <v>-579679.12897700001</v>
      </c>
      <c r="AE3" s="62">
        <v>4.7999985E-5</v>
      </c>
      <c r="AG3">
        <v>46639630.524705</v>
      </c>
      <c r="AI3">
        <v>4136858.5658539999</v>
      </c>
      <c r="AJ3">
        <v>66264804.582753003</v>
      </c>
      <c r="AK3">
        <v>4821703.290333</v>
      </c>
      <c r="AL3">
        <v>69205610.707967401</v>
      </c>
      <c r="AM3">
        <v>7664648.1263994798</v>
      </c>
    </row>
    <row r="4" spans="1:39" x14ac:dyDescent="0.25">
      <c r="A4">
        <v>4712</v>
      </c>
      <c r="B4">
        <v>2017</v>
      </c>
      <c r="C4" t="s">
        <v>100</v>
      </c>
      <c r="F4">
        <v>7432.7264100000102</v>
      </c>
      <c r="G4">
        <v>8775997.8048929796</v>
      </c>
      <c r="R4">
        <v>0</v>
      </c>
      <c r="V4">
        <v>0</v>
      </c>
      <c r="Y4">
        <v>7272.7274459999999</v>
      </c>
      <c r="AF4">
        <v>0</v>
      </c>
      <c r="AG4">
        <v>10503289.55201</v>
      </c>
      <c r="AI4">
        <v>334534.789238</v>
      </c>
      <c r="AJ4">
        <v>19628527.599996999</v>
      </c>
      <c r="AK4">
        <v>60412.096713999999</v>
      </c>
      <c r="AL4">
        <v>13525283.5626467</v>
      </c>
      <c r="AM4">
        <v>-6042831.9428650001</v>
      </c>
    </row>
    <row r="5" spans="1:39" x14ac:dyDescent="0.25">
      <c r="A5">
        <v>4712</v>
      </c>
      <c r="B5">
        <v>2017</v>
      </c>
      <c r="C5" t="s">
        <v>101</v>
      </c>
      <c r="F5">
        <v>4599000</v>
      </c>
      <c r="H5">
        <v>0</v>
      </c>
      <c r="I5">
        <v>0</v>
      </c>
      <c r="J5">
        <v>0</v>
      </c>
      <c r="O5">
        <v>14463330.234801</v>
      </c>
      <c r="Q5">
        <v>22296744</v>
      </c>
      <c r="R5">
        <v>0</v>
      </c>
      <c r="T5">
        <v>12559380.8763371</v>
      </c>
      <c r="V5">
        <v>0</v>
      </c>
      <c r="W5">
        <v>0</v>
      </c>
      <c r="X5">
        <v>67666.944066999902</v>
      </c>
      <c r="Y5">
        <v>2702129.3788100001</v>
      </c>
      <c r="AD5">
        <v>0</v>
      </c>
      <c r="AE5">
        <v>0</v>
      </c>
      <c r="AG5">
        <v>849888.48669499997</v>
      </c>
      <c r="AH5">
        <v>2683860.93689</v>
      </c>
      <c r="AI5">
        <v>3982653.7128790002</v>
      </c>
      <c r="AJ5">
        <v>64204654.570478998</v>
      </c>
      <c r="AK5">
        <v>1133184.648946</v>
      </c>
      <c r="AL5">
        <v>82583249.201975003</v>
      </c>
      <c r="AM5">
        <v>19511779.280264702</v>
      </c>
    </row>
    <row r="6" spans="1:39" x14ac:dyDescent="0.25">
      <c r="A6">
        <v>4712</v>
      </c>
      <c r="B6">
        <v>2017</v>
      </c>
      <c r="C6" t="s">
        <v>102</v>
      </c>
      <c r="F6">
        <v>781824.33900000004</v>
      </c>
      <c r="G6">
        <v>15085779.237718999</v>
      </c>
      <c r="O6">
        <v>1419.753518</v>
      </c>
      <c r="Q6">
        <v>15257484.253258901</v>
      </c>
      <c r="R6">
        <v>0</v>
      </c>
      <c r="T6">
        <v>886544.62450399797</v>
      </c>
      <c r="U6">
        <v>1872824.089591</v>
      </c>
      <c r="V6">
        <v>0</v>
      </c>
      <c r="Y6">
        <v>1485276.372517</v>
      </c>
      <c r="AF6">
        <v>0</v>
      </c>
      <c r="AG6">
        <v>4141750.5763420099</v>
      </c>
      <c r="AI6">
        <v>1581576.1157160001</v>
      </c>
      <c r="AJ6">
        <v>41094479.362165898</v>
      </c>
      <c r="AK6">
        <v>1475426.9723350001</v>
      </c>
      <c r="AL6">
        <v>32999997.166480001</v>
      </c>
      <c r="AM6">
        <v>-6619055.2235468198</v>
      </c>
    </row>
    <row r="7" spans="1:39" x14ac:dyDescent="0.25">
      <c r="A7">
        <v>4712</v>
      </c>
      <c r="B7">
        <v>2017</v>
      </c>
      <c r="C7" t="s">
        <v>103</v>
      </c>
      <c r="F7">
        <v>1695060</v>
      </c>
      <c r="H7">
        <v>0</v>
      </c>
      <c r="O7">
        <v>7442928.2537149899</v>
      </c>
      <c r="Q7">
        <v>21140944.7999998</v>
      </c>
      <c r="R7">
        <v>0</v>
      </c>
      <c r="T7">
        <v>175027.233119999</v>
      </c>
      <c r="V7">
        <v>0</v>
      </c>
      <c r="X7">
        <v>0</v>
      </c>
      <c r="Y7">
        <v>1771555.2956910001</v>
      </c>
      <c r="AG7">
        <v>37081013.310175098</v>
      </c>
      <c r="AI7">
        <v>117441.928386</v>
      </c>
      <c r="AJ7">
        <v>69423970.821086898</v>
      </c>
      <c r="AK7">
        <v>2251574.814855</v>
      </c>
      <c r="AL7">
        <v>62220447.601324603</v>
      </c>
      <c r="AM7">
        <v>-4951948.4048774801</v>
      </c>
    </row>
    <row r="8" spans="1:39" x14ac:dyDescent="0.25">
      <c r="A8">
        <v>4712</v>
      </c>
      <c r="B8">
        <v>2017</v>
      </c>
      <c r="C8" t="s">
        <v>104</v>
      </c>
      <c r="F8">
        <v>1436121.6000000101</v>
      </c>
      <c r="G8">
        <v>59723489.646674201</v>
      </c>
      <c r="H8">
        <v>0</v>
      </c>
      <c r="O8">
        <v>142238.47103399999</v>
      </c>
      <c r="Q8">
        <v>26694481.884112999</v>
      </c>
      <c r="R8">
        <v>0</v>
      </c>
      <c r="T8">
        <v>708619.93255699996</v>
      </c>
      <c r="U8">
        <v>999061.60735500604</v>
      </c>
      <c r="V8">
        <v>0</v>
      </c>
      <c r="Y8">
        <v>1722536.7129840001</v>
      </c>
      <c r="AF8">
        <v>25081.688528999999</v>
      </c>
      <c r="AG8">
        <v>2784746.1523640002</v>
      </c>
      <c r="AI8">
        <v>483233.33285200002</v>
      </c>
      <c r="AJ8">
        <v>94719611.028462201</v>
      </c>
      <c r="AK8">
        <v>744670.00002399995</v>
      </c>
      <c r="AL8">
        <v>62812337.508332796</v>
      </c>
      <c r="AM8">
        <v>-31162603.520096</v>
      </c>
    </row>
    <row r="9" spans="1:39" x14ac:dyDescent="0.25">
      <c r="A9">
        <v>4712</v>
      </c>
      <c r="B9">
        <v>2017</v>
      </c>
      <c r="C9" t="s">
        <v>105</v>
      </c>
      <c r="D9">
        <v>135714.264040999</v>
      </c>
      <c r="F9">
        <v>43222444.271186002</v>
      </c>
      <c r="G9">
        <v>139802038.48884001</v>
      </c>
      <c r="I9">
        <v>107915.14107500001</v>
      </c>
      <c r="J9">
        <v>-116037.786104</v>
      </c>
      <c r="M9">
        <v>-9336.0006599999997</v>
      </c>
      <c r="N9">
        <v>-86647.394644999993</v>
      </c>
      <c r="O9">
        <v>24324947.184450999</v>
      </c>
      <c r="P9">
        <v>184999.99961</v>
      </c>
      <c r="Q9">
        <v>71467205.097955793</v>
      </c>
      <c r="R9">
        <v>0</v>
      </c>
      <c r="S9">
        <v>5748624.1672769897</v>
      </c>
      <c r="T9">
        <v>47852989.495047003</v>
      </c>
      <c r="U9">
        <v>21050134.252291001</v>
      </c>
      <c r="V9">
        <v>0</v>
      </c>
      <c r="W9" s="62">
        <v>-5.5999777000000003E-5</v>
      </c>
      <c r="X9">
        <v>32104.688072000001</v>
      </c>
      <c r="Y9">
        <v>34617638.068607002</v>
      </c>
      <c r="Z9">
        <v>-19233.511990999999</v>
      </c>
      <c r="AA9">
        <v>-35974332.784066901</v>
      </c>
      <c r="AC9">
        <v>-40414793.618198998</v>
      </c>
      <c r="AD9">
        <v>-6911699.138704</v>
      </c>
      <c r="AE9">
        <v>-4.6400000383999999E-4</v>
      </c>
      <c r="AF9">
        <v>52348705.404381</v>
      </c>
      <c r="AG9">
        <v>24182164.383747</v>
      </c>
      <c r="AH9">
        <v>19265310.881917998</v>
      </c>
      <c r="AI9">
        <v>84651949.907398</v>
      </c>
      <c r="AJ9">
        <v>485462805.461007</v>
      </c>
      <c r="AK9">
        <v>6294788.5829989798</v>
      </c>
      <c r="AL9">
        <v>451403327.25682801</v>
      </c>
      <c r="AM9">
        <v>-28300113.364711002</v>
      </c>
    </row>
    <row r="10" spans="1:39" x14ac:dyDescent="0.25">
      <c r="A10">
        <v>4712</v>
      </c>
      <c r="B10">
        <v>2017</v>
      </c>
      <c r="C10" t="s">
        <v>106</v>
      </c>
      <c r="F10">
        <v>10254273.7920001</v>
      </c>
      <c r="H10">
        <v>0</v>
      </c>
      <c r="M10">
        <v>0</v>
      </c>
      <c r="N10">
        <v>0</v>
      </c>
      <c r="O10">
        <v>169422.59703</v>
      </c>
      <c r="R10">
        <v>0</v>
      </c>
      <c r="T10">
        <v>2727763.4578030002</v>
      </c>
      <c r="U10">
        <v>8535503.6574069597</v>
      </c>
      <c r="V10">
        <v>0</v>
      </c>
      <c r="X10">
        <v>0</v>
      </c>
      <c r="Y10">
        <v>351701.61139999999</v>
      </c>
      <c r="AF10">
        <v>17539.778160000002</v>
      </c>
      <c r="AH10">
        <v>4770399.6354019996</v>
      </c>
      <c r="AI10">
        <v>8044307.5324619999</v>
      </c>
      <c r="AJ10">
        <v>34870912.061664</v>
      </c>
      <c r="AK10">
        <v>0</v>
      </c>
      <c r="AL10">
        <v>34985644.386023901</v>
      </c>
      <c r="AM10">
        <v>114732.32431326801</v>
      </c>
    </row>
    <row r="11" spans="1:39" x14ac:dyDescent="0.25">
      <c r="A11">
        <v>4712</v>
      </c>
      <c r="B11">
        <v>2017</v>
      </c>
      <c r="C11" t="s">
        <v>107</v>
      </c>
      <c r="F11">
        <v>6894000.0055200299</v>
      </c>
      <c r="G11">
        <v>2311359.1113349898</v>
      </c>
      <c r="H11">
        <v>0</v>
      </c>
      <c r="O11">
        <v>46034257.201722004</v>
      </c>
      <c r="Q11">
        <v>57419487.314482003</v>
      </c>
      <c r="R11">
        <v>0</v>
      </c>
      <c r="T11">
        <v>6289857.221833</v>
      </c>
      <c r="U11">
        <v>300606.60000000201</v>
      </c>
      <c r="V11">
        <v>0</v>
      </c>
      <c r="X11">
        <v>24023.365943000001</v>
      </c>
      <c r="Y11">
        <v>6699928.5601329999</v>
      </c>
      <c r="AF11">
        <v>39902162.909019202</v>
      </c>
      <c r="AG11">
        <v>42831539.1412251</v>
      </c>
      <c r="AI11">
        <v>32637005.668209001</v>
      </c>
      <c r="AJ11">
        <v>241344227.09942099</v>
      </c>
      <c r="AK11">
        <v>6535624.9445780003</v>
      </c>
      <c r="AL11">
        <v>262543554.75534299</v>
      </c>
      <c r="AM11">
        <v>27734952.612330899</v>
      </c>
    </row>
    <row r="12" spans="1:39" x14ac:dyDescent="0.25">
      <c r="A12">
        <v>4712</v>
      </c>
      <c r="B12">
        <v>2017</v>
      </c>
      <c r="C12" t="s">
        <v>108</v>
      </c>
      <c r="G12">
        <v>7089661.1064589797</v>
      </c>
      <c r="H12">
        <v>0</v>
      </c>
      <c r="O12">
        <v>762288.56957399996</v>
      </c>
      <c r="Q12">
        <v>31334331.293393899</v>
      </c>
      <c r="R12">
        <v>0</v>
      </c>
      <c r="T12">
        <v>4560469.0077389898</v>
      </c>
      <c r="U12">
        <v>6219910.8301189998</v>
      </c>
      <c r="V12">
        <v>0</v>
      </c>
      <c r="X12">
        <v>0</v>
      </c>
      <c r="AF12">
        <v>837936.07108799706</v>
      </c>
      <c r="AG12">
        <v>17733052.025052901</v>
      </c>
      <c r="AH12">
        <v>0</v>
      </c>
      <c r="AI12">
        <v>2317499.9896499999</v>
      </c>
      <c r="AJ12">
        <v>70855148.893075794</v>
      </c>
      <c r="AK12">
        <v>0</v>
      </c>
      <c r="AL12">
        <v>83829217.299251407</v>
      </c>
      <c r="AM12">
        <v>12974068.4113898</v>
      </c>
    </row>
    <row r="13" spans="1:39" x14ac:dyDescent="0.25">
      <c r="A13">
        <v>4712</v>
      </c>
      <c r="B13">
        <v>2017</v>
      </c>
      <c r="C13" t="s">
        <v>109</v>
      </c>
      <c r="F13">
        <v>6649132.8026399203</v>
      </c>
      <c r="H13">
        <v>0</v>
      </c>
      <c r="K13">
        <v>419423.01134000003</v>
      </c>
      <c r="O13">
        <v>40286161.573348001</v>
      </c>
      <c r="Q13">
        <v>361839520.88180798</v>
      </c>
      <c r="R13">
        <v>762094.19375199999</v>
      </c>
      <c r="T13">
        <v>12646354.1993939</v>
      </c>
      <c r="U13">
        <v>2062203.39200001</v>
      </c>
      <c r="V13">
        <v>0</v>
      </c>
      <c r="W13">
        <v>792024.31787999999</v>
      </c>
      <c r="X13">
        <v>400807.84596399998</v>
      </c>
      <c r="Y13">
        <v>7898248.0517960005</v>
      </c>
      <c r="AF13">
        <v>5454746.3053019997</v>
      </c>
      <c r="AG13">
        <v>59249701.228130303</v>
      </c>
      <c r="AH13">
        <v>0</v>
      </c>
      <c r="AI13">
        <v>18278703.289459001</v>
      </c>
      <c r="AJ13">
        <v>516739121.09281301</v>
      </c>
      <c r="AK13">
        <v>7131774.8858510004</v>
      </c>
      <c r="AL13">
        <v>484495508.30179602</v>
      </c>
      <c r="AM13">
        <v>-25111837.906463001</v>
      </c>
    </row>
    <row r="14" spans="1:39" x14ac:dyDescent="0.25">
      <c r="A14">
        <v>4712</v>
      </c>
      <c r="B14">
        <v>2017</v>
      </c>
      <c r="C14" t="s">
        <v>110</v>
      </c>
      <c r="F14">
        <v>22531880</v>
      </c>
      <c r="O14">
        <v>167935911.41312301</v>
      </c>
      <c r="Q14">
        <v>55923397.654320002</v>
      </c>
      <c r="R14">
        <v>42692.204038000003</v>
      </c>
      <c r="T14">
        <v>15609068.04252</v>
      </c>
      <c r="U14">
        <v>802067.20308000303</v>
      </c>
      <c r="X14">
        <v>9362.1430889999992</v>
      </c>
      <c r="Y14">
        <v>7928598.5361259999</v>
      </c>
      <c r="AF14">
        <v>1384187.0761269999</v>
      </c>
      <c r="AG14">
        <v>6627584.0147110103</v>
      </c>
      <c r="AH14">
        <v>20299979.693744</v>
      </c>
      <c r="AI14">
        <v>28209805.020564001</v>
      </c>
      <c r="AJ14">
        <v>327304533.00144202</v>
      </c>
      <c r="AK14">
        <v>1419758.0323040001</v>
      </c>
      <c r="AL14">
        <v>338574559.02012599</v>
      </c>
      <c r="AM14">
        <v>12689784.0566114</v>
      </c>
    </row>
    <row r="15" spans="1:39" x14ac:dyDescent="0.25">
      <c r="A15">
        <v>4712</v>
      </c>
      <c r="B15">
        <v>2017</v>
      </c>
      <c r="C15" t="s">
        <v>111</v>
      </c>
      <c r="F15">
        <v>984975.23227000097</v>
      </c>
      <c r="G15">
        <v>26491999.581937</v>
      </c>
      <c r="H15">
        <v>0</v>
      </c>
      <c r="O15">
        <v>2725344.7243249998</v>
      </c>
      <c r="R15">
        <v>0</v>
      </c>
      <c r="T15">
        <v>4832766.3230330003</v>
      </c>
      <c r="V15">
        <v>0</v>
      </c>
      <c r="X15">
        <v>0</v>
      </c>
      <c r="Y15">
        <v>3786252.2703550002</v>
      </c>
      <c r="AG15">
        <v>9059279.5325450208</v>
      </c>
      <c r="AH15">
        <v>231929.09800100001</v>
      </c>
      <c r="AI15">
        <v>8615428.7848889995</v>
      </c>
      <c r="AJ15">
        <v>56727975.547355004</v>
      </c>
      <c r="AK15">
        <v>978038.75271499995</v>
      </c>
      <c r="AL15">
        <v>52849996.781532198</v>
      </c>
      <c r="AM15">
        <v>-2899940.0085598999</v>
      </c>
    </row>
    <row r="16" spans="1:39" x14ac:dyDescent="0.25">
      <c r="A16">
        <v>4712</v>
      </c>
      <c r="B16">
        <v>2017</v>
      </c>
      <c r="C16" t="s">
        <v>112</v>
      </c>
      <c r="F16">
        <v>528002.363569999</v>
      </c>
      <c r="O16">
        <v>3001976.8726850101</v>
      </c>
      <c r="R16">
        <v>0</v>
      </c>
      <c r="T16">
        <v>1468588.980129</v>
      </c>
      <c r="V16">
        <v>0</v>
      </c>
      <c r="X16">
        <v>0</v>
      </c>
      <c r="Y16">
        <v>43636.364872999999</v>
      </c>
      <c r="AF16">
        <v>829873.77766700101</v>
      </c>
      <c r="AG16">
        <v>5943168.8963440098</v>
      </c>
      <c r="AI16">
        <v>524503.22690100002</v>
      </c>
      <c r="AJ16">
        <v>12339750.482169</v>
      </c>
      <c r="AK16">
        <v>209782.868307</v>
      </c>
      <c r="AL16">
        <v>16952834.959878899</v>
      </c>
      <c r="AM16">
        <v>4822867.3474960001</v>
      </c>
    </row>
    <row r="17" spans="1:39" x14ac:dyDescent="0.25">
      <c r="A17">
        <v>4712</v>
      </c>
      <c r="B17">
        <v>2017</v>
      </c>
      <c r="C17" t="s">
        <v>113</v>
      </c>
      <c r="F17">
        <v>1951356.1088</v>
      </c>
      <c r="G17">
        <v>6567190.6401739996</v>
      </c>
      <c r="H17">
        <v>0</v>
      </c>
      <c r="O17">
        <v>5254970.0817809999</v>
      </c>
      <c r="Q17">
        <v>15210792</v>
      </c>
      <c r="R17">
        <v>0</v>
      </c>
      <c r="T17">
        <v>1186600.231317</v>
      </c>
      <c r="V17">
        <v>0</v>
      </c>
      <c r="X17">
        <v>0</v>
      </c>
      <c r="Y17">
        <v>564007.99826699996</v>
      </c>
      <c r="AF17">
        <v>194840.948737</v>
      </c>
      <c r="AG17">
        <v>186152.34600000101</v>
      </c>
      <c r="AI17">
        <v>474430.68012400001</v>
      </c>
      <c r="AJ17">
        <v>31590341.0352</v>
      </c>
      <c r="AK17">
        <v>0</v>
      </c>
      <c r="AL17">
        <v>40000015.325034603</v>
      </c>
      <c r="AM17">
        <v>8409674.2898833696</v>
      </c>
    </row>
    <row r="18" spans="1:39" x14ac:dyDescent="0.25">
      <c r="A18">
        <v>4712</v>
      </c>
      <c r="B18">
        <v>2017</v>
      </c>
      <c r="C18" t="s">
        <v>114</v>
      </c>
      <c r="O18">
        <v>95403005.382269502</v>
      </c>
      <c r="AJ18">
        <v>95403005.382269502</v>
      </c>
      <c r="AK18">
        <v>0</v>
      </c>
      <c r="AL18">
        <v>95198599.199999496</v>
      </c>
      <c r="AM18">
        <v>-204406.18226999999</v>
      </c>
    </row>
    <row r="19" spans="1:39" x14ac:dyDescent="0.25">
      <c r="A19">
        <v>4712</v>
      </c>
      <c r="B19">
        <v>2017</v>
      </c>
      <c r="C19" t="s">
        <v>115</v>
      </c>
      <c r="F19">
        <v>17461403.613210101</v>
      </c>
      <c r="O19">
        <v>148951609.953547</v>
      </c>
      <c r="R19">
        <v>0</v>
      </c>
      <c r="V19">
        <v>3807.3123639999999</v>
      </c>
      <c r="X19">
        <v>51530.62227</v>
      </c>
      <c r="Y19">
        <v>25320074.907954</v>
      </c>
      <c r="AF19">
        <v>45648202.414835997</v>
      </c>
      <c r="AG19">
        <v>30025139.7161888</v>
      </c>
      <c r="AI19">
        <v>18272208.770684998</v>
      </c>
      <c r="AJ19">
        <v>285733977.311055</v>
      </c>
      <c r="AK19">
        <v>7062999.9999770001</v>
      </c>
      <c r="AL19">
        <v>303884224.802863</v>
      </c>
      <c r="AM19">
        <v>25213247.4909795</v>
      </c>
    </row>
    <row r="20" spans="1:39" x14ac:dyDescent="0.25">
      <c r="A20">
        <v>4712</v>
      </c>
      <c r="B20">
        <v>2017</v>
      </c>
      <c r="C20" t="s">
        <v>116</v>
      </c>
      <c r="H20">
        <v>0</v>
      </c>
      <c r="R20">
        <v>0</v>
      </c>
      <c r="T20">
        <v>4650193.8000699896</v>
      </c>
      <c r="V20">
        <v>0</v>
      </c>
      <c r="AG20">
        <v>1835056.8370950001</v>
      </c>
      <c r="AI20">
        <v>1025780.017341</v>
      </c>
      <c r="AJ20">
        <v>7511030.6545059904</v>
      </c>
      <c r="AK20">
        <v>1046611.801069</v>
      </c>
      <c r="AL20">
        <v>11141601.2252244</v>
      </c>
      <c r="AM20">
        <v>4677182.3718025004</v>
      </c>
    </row>
    <row r="21" spans="1:39" x14ac:dyDescent="0.25">
      <c r="A21">
        <v>4712</v>
      </c>
      <c r="B21">
        <v>2017</v>
      </c>
      <c r="C21" t="s">
        <v>117</v>
      </c>
      <c r="F21">
        <v>51100</v>
      </c>
      <c r="O21">
        <v>614375.67652600002</v>
      </c>
      <c r="Y21">
        <v>77902.072866999995</v>
      </c>
      <c r="AG21">
        <v>1229865.1958300001</v>
      </c>
      <c r="AI21">
        <v>149906.599609</v>
      </c>
      <c r="AJ21">
        <v>2123149.544832</v>
      </c>
      <c r="AK21">
        <v>1299545.2750009999</v>
      </c>
      <c r="AL21">
        <v>6188458.9872651799</v>
      </c>
      <c r="AM21">
        <v>5364854.7175099896</v>
      </c>
    </row>
    <row r="22" spans="1:39" x14ac:dyDescent="0.25">
      <c r="A22">
        <v>4712</v>
      </c>
      <c r="B22">
        <v>2017</v>
      </c>
      <c r="C22" t="s">
        <v>118</v>
      </c>
      <c r="F22">
        <v>75070.544989999893</v>
      </c>
      <c r="G22">
        <v>1406328.6473970099</v>
      </c>
      <c r="H22">
        <v>0</v>
      </c>
      <c r="R22">
        <v>0</v>
      </c>
      <c r="V22">
        <v>1706.3452110000001</v>
      </c>
      <c r="Y22">
        <v>12363.636198</v>
      </c>
      <c r="AG22">
        <v>2687094.7522859899</v>
      </c>
      <c r="AI22">
        <v>227279.37112699999</v>
      </c>
      <c r="AJ22">
        <v>4409843.2972090002</v>
      </c>
      <c r="AK22">
        <v>0</v>
      </c>
      <c r="AL22">
        <v>3886224.6013530502</v>
      </c>
      <c r="AM22">
        <v>-523618.69348000002</v>
      </c>
    </row>
    <row r="23" spans="1:39" x14ac:dyDescent="0.25">
      <c r="A23">
        <v>4712</v>
      </c>
      <c r="B23">
        <v>2017</v>
      </c>
      <c r="C23" t="s">
        <v>119</v>
      </c>
      <c r="F23">
        <v>46841.327743000002</v>
      </c>
      <c r="G23">
        <v>3743438.36286599</v>
      </c>
      <c r="H23">
        <v>0</v>
      </c>
      <c r="O23">
        <v>54470.415999999997</v>
      </c>
      <c r="R23">
        <v>0</v>
      </c>
      <c r="S23">
        <v>996265.08262100397</v>
      </c>
      <c r="V23">
        <v>0</v>
      </c>
      <c r="Y23">
        <v>8345.0119670000004</v>
      </c>
      <c r="AG23">
        <v>1476818.0915560001</v>
      </c>
      <c r="AI23">
        <v>86857.677972000005</v>
      </c>
      <c r="AJ23">
        <v>6413035.9707249897</v>
      </c>
      <c r="AK23">
        <v>0</v>
      </c>
      <c r="AL23">
        <v>8499998.1531817205</v>
      </c>
      <c r="AM23">
        <v>2086962.1795689999</v>
      </c>
    </row>
    <row r="24" spans="1:39" x14ac:dyDescent="0.25">
      <c r="A24">
        <v>4712</v>
      </c>
      <c r="B24">
        <v>2017</v>
      </c>
      <c r="C24" t="s">
        <v>120</v>
      </c>
      <c r="F24">
        <v>5621000</v>
      </c>
      <c r="M24">
        <v>-292.29127</v>
      </c>
      <c r="N24">
        <v>-5466.6624600000096</v>
      </c>
      <c r="O24">
        <v>9009434.0109820198</v>
      </c>
      <c r="Q24">
        <v>3597031.1999999699</v>
      </c>
      <c r="T24">
        <v>36541574.098352097</v>
      </c>
      <c r="V24">
        <v>0</v>
      </c>
      <c r="W24">
        <v>145994.159935</v>
      </c>
      <c r="X24">
        <v>0</v>
      </c>
      <c r="Y24">
        <v>1911965.856474</v>
      </c>
      <c r="AD24">
        <v>-696012.67631999997</v>
      </c>
      <c r="AE24" s="62">
        <v>-6.999965E-6</v>
      </c>
      <c r="AF24">
        <v>34407729.815131903</v>
      </c>
      <c r="AG24">
        <v>177513.95999999801</v>
      </c>
      <c r="AH24">
        <v>5056429.2837140001</v>
      </c>
      <c r="AI24">
        <v>7945215.3575809998</v>
      </c>
      <c r="AJ24">
        <v>103712116.112113</v>
      </c>
      <c r="AK24">
        <v>535391.73617799999</v>
      </c>
      <c r="AL24">
        <v>115956947.370188</v>
      </c>
      <c r="AM24">
        <v>12390825.418717001</v>
      </c>
    </row>
    <row r="25" spans="1:39" x14ac:dyDescent="0.25">
      <c r="A25">
        <v>4712</v>
      </c>
      <c r="B25">
        <v>2017</v>
      </c>
      <c r="C25" t="s">
        <v>121</v>
      </c>
      <c r="F25">
        <v>1206247.3572</v>
      </c>
      <c r="H25">
        <v>0</v>
      </c>
      <c r="M25">
        <v>0</v>
      </c>
      <c r="N25">
        <v>0</v>
      </c>
      <c r="O25">
        <v>402385.57918999903</v>
      </c>
      <c r="R25">
        <v>0</v>
      </c>
      <c r="T25">
        <v>941504.56969499798</v>
      </c>
      <c r="V25">
        <v>0</v>
      </c>
      <c r="X25">
        <v>0</v>
      </c>
      <c r="Y25">
        <v>125.176885</v>
      </c>
      <c r="AF25">
        <v>663094.09620900103</v>
      </c>
      <c r="AG25">
        <v>137410231.196724</v>
      </c>
      <c r="AH25">
        <v>0</v>
      </c>
      <c r="AI25">
        <v>4402016.8956549997</v>
      </c>
      <c r="AJ25">
        <v>145025604.87155801</v>
      </c>
      <c r="AK25">
        <v>0</v>
      </c>
      <c r="AL25">
        <v>131568065.904263</v>
      </c>
      <c r="AM25">
        <v>-13457538.961610001</v>
      </c>
    </row>
    <row r="26" spans="1:39" x14ac:dyDescent="0.25">
      <c r="A26">
        <v>4712</v>
      </c>
      <c r="B26">
        <v>2017</v>
      </c>
      <c r="C26" t="s">
        <v>122</v>
      </c>
      <c r="E26">
        <v>1323899.9979300001</v>
      </c>
      <c r="F26">
        <v>5505375.0028899703</v>
      </c>
      <c r="G26">
        <v>47705632.5997409</v>
      </c>
      <c r="H26">
        <v>0</v>
      </c>
      <c r="R26">
        <v>0</v>
      </c>
      <c r="T26">
        <v>7755635.8904689904</v>
      </c>
      <c r="U26">
        <v>18298730.367208999</v>
      </c>
      <c r="V26">
        <v>3462.6493489999998</v>
      </c>
      <c r="Y26">
        <v>295049.99208200001</v>
      </c>
      <c r="AF26">
        <v>45132637.172539003</v>
      </c>
      <c r="AG26">
        <v>2616136.0967550101</v>
      </c>
      <c r="AH26">
        <v>0</v>
      </c>
      <c r="AI26">
        <v>13228154.597336</v>
      </c>
      <c r="AJ26">
        <v>141864714.36629999</v>
      </c>
      <c r="AK26">
        <v>451013.28968699998</v>
      </c>
      <c r="AL26">
        <v>149994662.73801899</v>
      </c>
      <c r="AM26">
        <v>8580961.6818619408</v>
      </c>
    </row>
    <row r="27" spans="1:39" x14ac:dyDescent="0.25">
      <c r="A27">
        <v>4712</v>
      </c>
      <c r="B27">
        <v>2017</v>
      </c>
      <c r="C27" t="s">
        <v>123</v>
      </c>
      <c r="F27">
        <v>2269237.81788004</v>
      </c>
      <c r="H27">
        <v>0</v>
      </c>
      <c r="O27">
        <v>21622351.7847379</v>
      </c>
      <c r="R27">
        <v>0</v>
      </c>
      <c r="T27">
        <v>6383477.9543900304</v>
      </c>
      <c r="V27">
        <v>0</v>
      </c>
      <c r="X27">
        <v>1858.7277799999999</v>
      </c>
      <c r="Y27">
        <v>785855.47854799998</v>
      </c>
      <c r="AF27">
        <v>11328851.384364</v>
      </c>
      <c r="AG27">
        <v>15224546.608102901</v>
      </c>
      <c r="AH27">
        <v>107052.35756800001</v>
      </c>
      <c r="AI27">
        <v>9431594.3784410004</v>
      </c>
      <c r="AJ27">
        <v>67154826.491811901</v>
      </c>
      <c r="AK27">
        <v>1674138.8130310001</v>
      </c>
      <c r="AL27">
        <v>47733650.224565998</v>
      </c>
      <c r="AM27">
        <v>-17747037.451072</v>
      </c>
    </row>
    <row r="28" spans="1:39" x14ac:dyDescent="0.25">
      <c r="A28">
        <v>4712</v>
      </c>
      <c r="B28">
        <v>2017</v>
      </c>
      <c r="C28" t="s">
        <v>124</v>
      </c>
      <c r="F28">
        <v>3552959.5808700002</v>
      </c>
      <c r="G28">
        <v>10245411.43392</v>
      </c>
      <c r="H28">
        <v>0</v>
      </c>
      <c r="O28">
        <v>7394.5736919999999</v>
      </c>
      <c r="Q28">
        <v>10006372.8000002</v>
      </c>
      <c r="R28">
        <v>0</v>
      </c>
      <c r="S28">
        <v>12008545.165052099</v>
      </c>
      <c r="T28">
        <v>2718479.61129701</v>
      </c>
      <c r="U28">
        <v>69730.327999998801</v>
      </c>
      <c r="V28">
        <v>0</v>
      </c>
      <c r="Y28">
        <v>439371.28357899998</v>
      </c>
      <c r="AF28">
        <v>0</v>
      </c>
      <c r="AG28">
        <v>15489846.458009001</v>
      </c>
      <c r="AI28">
        <v>4416464.4350239998</v>
      </c>
      <c r="AJ28">
        <v>58954575.669443198</v>
      </c>
      <c r="AK28">
        <v>1566329.4866500001</v>
      </c>
      <c r="AL28">
        <v>53836626.269512601</v>
      </c>
      <c r="AM28">
        <v>-3551619.9133427101</v>
      </c>
    </row>
    <row r="29" spans="1:39" x14ac:dyDescent="0.25">
      <c r="A29">
        <v>4712</v>
      </c>
      <c r="B29">
        <v>2017</v>
      </c>
      <c r="C29" t="s">
        <v>125</v>
      </c>
      <c r="F29">
        <v>51100</v>
      </c>
      <c r="G29">
        <v>28869609.507998001</v>
      </c>
      <c r="H29">
        <v>0</v>
      </c>
      <c r="R29">
        <v>0</v>
      </c>
      <c r="T29">
        <v>297449.155585</v>
      </c>
      <c r="V29">
        <v>14876.598963</v>
      </c>
      <c r="AF29">
        <v>125782.800045999</v>
      </c>
      <c r="AG29">
        <v>8076385.0882020099</v>
      </c>
      <c r="AI29">
        <v>473975.16616399999</v>
      </c>
      <c r="AJ29">
        <v>37909178.316958003</v>
      </c>
      <c r="AK29">
        <v>1025238.3532679999</v>
      </c>
      <c r="AL29">
        <v>39350925.505622901</v>
      </c>
      <c r="AM29">
        <v>2466985.5446378398</v>
      </c>
    </row>
    <row r="30" spans="1:39" x14ac:dyDescent="0.25">
      <c r="A30">
        <v>4712</v>
      </c>
      <c r="B30">
        <v>2017</v>
      </c>
      <c r="C30" t="s">
        <v>126</v>
      </c>
      <c r="F30">
        <v>9945687.0239999294</v>
      </c>
      <c r="H30">
        <v>0</v>
      </c>
      <c r="M30">
        <v>0</v>
      </c>
      <c r="N30">
        <v>0</v>
      </c>
      <c r="Q30">
        <v>65499731.180827796</v>
      </c>
      <c r="R30">
        <v>0</v>
      </c>
      <c r="T30">
        <v>3548850.9143109899</v>
      </c>
      <c r="U30">
        <v>222770.663200001</v>
      </c>
      <c r="V30">
        <v>0</v>
      </c>
      <c r="X30">
        <v>0</v>
      </c>
      <c r="Y30">
        <v>367697.24365999998</v>
      </c>
      <c r="AG30">
        <v>63452211.405664101</v>
      </c>
      <c r="AH30">
        <v>876000</v>
      </c>
      <c r="AI30">
        <v>17047379.487861</v>
      </c>
      <c r="AJ30">
        <v>160960327.91952401</v>
      </c>
      <c r="AK30">
        <v>0</v>
      </c>
      <c r="AL30">
        <v>142448530.88574201</v>
      </c>
      <c r="AM30">
        <v>-18511797.033443399</v>
      </c>
    </row>
    <row r="31" spans="1:39" x14ac:dyDescent="0.25">
      <c r="A31">
        <v>4712</v>
      </c>
      <c r="B31">
        <v>2017</v>
      </c>
      <c r="C31" t="s">
        <v>127</v>
      </c>
      <c r="F31">
        <v>659000.003629999</v>
      </c>
      <c r="G31">
        <v>4011856.8890240202</v>
      </c>
      <c r="H31">
        <v>0</v>
      </c>
      <c r="O31">
        <v>5443.3128980000001</v>
      </c>
      <c r="Q31">
        <v>4912851.0899999803</v>
      </c>
      <c r="R31">
        <v>0</v>
      </c>
      <c r="T31">
        <v>190460.456658999</v>
      </c>
      <c r="U31">
        <v>782919</v>
      </c>
      <c r="V31">
        <v>0</v>
      </c>
      <c r="AG31">
        <v>3318524.7699859999</v>
      </c>
      <c r="AI31">
        <v>88999.792237000001</v>
      </c>
      <c r="AJ31">
        <v>13970055.314433999</v>
      </c>
      <c r="AK31">
        <v>122833.067658</v>
      </c>
      <c r="AL31">
        <v>13491066.219322899</v>
      </c>
      <c r="AM31">
        <v>-356156.027159722</v>
      </c>
    </row>
    <row r="32" spans="1:39" x14ac:dyDescent="0.25">
      <c r="A32">
        <v>4712</v>
      </c>
      <c r="B32">
        <v>2017</v>
      </c>
      <c r="C32" t="s">
        <v>128</v>
      </c>
      <c r="G32">
        <v>4162138.0762530002</v>
      </c>
      <c r="H32">
        <v>0</v>
      </c>
      <c r="O32">
        <v>4230040.28944901</v>
      </c>
      <c r="Q32">
        <v>12098348.3999999</v>
      </c>
      <c r="R32">
        <v>0</v>
      </c>
      <c r="T32">
        <v>1583488.09895301</v>
      </c>
      <c r="U32">
        <v>170623.21070500099</v>
      </c>
      <c r="V32">
        <v>0</v>
      </c>
      <c r="AF32">
        <v>988956.35075700597</v>
      </c>
      <c r="AG32">
        <v>4119708.513421</v>
      </c>
      <c r="AJ32">
        <v>27353302.939537901</v>
      </c>
      <c r="AK32">
        <v>819176.91324199899</v>
      </c>
      <c r="AL32">
        <v>26706660.616415501</v>
      </c>
      <c r="AM32">
        <v>172534.58885999999</v>
      </c>
    </row>
    <row r="33" spans="1:39" x14ac:dyDescent="0.25">
      <c r="A33">
        <v>4712</v>
      </c>
      <c r="B33">
        <v>2017</v>
      </c>
      <c r="C33" t="s">
        <v>129</v>
      </c>
      <c r="X33">
        <v>96961667.7228003</v>
      </c>
      <c r="AJ33">
        <v>96961667.7228003</v>
      </c>
      <c r="AK33">
        <v>0</v>
      </c>
      <c r="AL33">
        <v>99064067.7228003</v>
      </c>
      <c r="AM33">
        <v>2102400</v>
      </c>
    </row>
    <row r="34" spans="1:39" x14ac:dyDescent="0.25">
      <c r="A34">
        <v>4712</v>
      </c>
      <c r="B34">
        <v>2017</v>
      </c>
      <c r="C34" t="s">
        <v>130</v>
      </c>
      <c r="Q34">
        <v>101418199.2</v>
      </c>
      <c r="AJ34">
        <v>101418199.2</v>
      </c>
      <c r="AK34">
        <v>0</v>
      </c>
      <c r="AL34">
        <v>95198599.199999496</v>
      </c>
      <c r="AM34">
        <v>-6219600</v>
      </c>
    </row>
    <row r="35" spans="1:39" x14ac:dyDescent="0.25">
      <c r="A35">
        <v>4712</v>
      </c>
      <c r="B35">
        <v>2017</v>
      </c>
      <c r="C35" t="s">
        <v>131</v>
      </c>
      <c r="L35">
        <v>89952982.168191597</v>
      </c>
      <c r="AJ35">
        <v>89952982.168191597</v>
      </c>
      <c r="AK35">
        <v>0</v>
      </c>
      <c r="AL35">
        <v>93960197.999998897</v>
      </c>
      <c r="AM35">
        <v>4007215.8318079999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8"/>
  </sheetPr>
  <dimension ref="A1:AF84"/>
  <sheetViews>
    <sheetView topLeftCell="A40" zoomScale="85" zoomScaleNormal="85" workbookViewId="0">
      <selection activeCell="N48" sqref="N48"/>
    </sheetView>
  </sheetViews>
  <sheetFormatPr baseColWidth="10" defaultColWidth="8" defaultRowHeight="12" x14ac:dyDescent="0.25"/>
  <cols>
    <col min="1" max="1" width="9.7109375" style="144" bestFit="1" customWidth="1"/>
    <col min="2" max="3" width="6.5703125" style="144" customWidth="1"/>
    <col min="4" max="4" width="9" style="144" customWidth="1"/>
    <col min="5" max="5" width="8.28515625" style="144" customWidth="1"/>
    <col min="6" max="6" width="10.7109375" style="144" customWidth="1"/>
    <col min="7" max="7" width="13.28515625" style="144" customWidth="1"/>
    <col min="8" max="8" width="17" style="144" customWidth="1"/>
    <col min="9" max="9" width="14.28515625" style="144" customWidth="1"/>
    <col min="10" max="10" width="14.42578125" style="144" customWidth="1"/>
    <col min="11" max="11" width="9.5703125" style="144" customWidth="1"/>
    <col min="12" max="13" width="11.140625" style="144" customWidth="1"/>
    <col min="14" max="14" width="20.5703125" style="144" customWidth="1"/>
    <col min="15" max="15" width="16.85546875" style="144" customWidth="1"/>
    <col min="16" max="16" width="14.7109375" style="144" customWidth="1"/>
    <col min="17" max="17" width="17" style="144" customWidth="1"/>
    <col min="18" max="18" width="16.5703125" style="144" customWidth="1"/>
    <col min="19" max="19" width="17.42578125" style="144" customWidth="1"/>
    <col min="20" max="20" width="14.28515625" style="144" bestFit="1" customWidth="1"/>
    <col min="21" max="21" width="8.5703125" style="144" bestFit="1" customWidth="1"/>
    <col min="22" max="22" width="5" style="144" bestFit="1" customWidth="1"/>
    <col min="23" max="23" width="7" style="144" bestFit="1" customWidth="1"/>
    <col min="24" max="24" width="2.85546875" style="144" customWidth="1"/>
    <col min="25" max="25" width="3.5703125" style="144" customWidth="1"/>
    <col min="26" max="26" width="4.140625" style="144" bestFit="1" customWidth="1"/>
    <col min="27" max="27" width="5.140625" style="144" bestFit="1" customWidth="1"/>
    <col min="28" max="28" width="4.140625" style="144" customWidth="1"/>
    <col min="29" max="29" width="6.85546875" style="144" bestFit="1" customWidth="1"/>
    <col min="30" max="30" width="4.85546875" style="144" bestFit="1" customWidth="1"/>
    <col min="31" max="31" width="9.5703125" style="144" bestFit="1" customWidth="1"/>
    <col min="32" max="16384" width="8" style="144"/>
  </cols>
  <sheetData>
    <row r="1" spans="1:32" ht="132" x14ac:dyDescent="0.25">
      <c r="A1" s="326" t="s">
        <v>346</v>
      </c>
      <c r="B1" s="326"/>
      <c r="C1" s="326"/>
      <c r="D1" s="326" t="s">
        <v>347</v>
      </c>
      <c r="E1" s="326" t="s">
        <v>58</v>
      </c>
      <c r="F1" s="327" t="s">
        <v>348</v>
      </c>
      <c r="G1" s="328" t="s">
        <v>349</v>
      </c>
      <c r="H1" s="328" t="s">
        <v>75</v>
      </c>
      <c r="I1" s="327" t="s">
        <v>350</v>
      </c>
      <c r="J1" s="328" t="s">
        <v>351</v>
      </c>
      <c r="K1" s="327" t="s">
        <v>352</v>
      </c>
      <c r="L1" s="326" t="s">
        <v>353</v>
      </c>
      <c r="M1" s="329" t="s">
        <v>354</v>
      </c>
      <c r="N1" s="330" t="s">
        <v>355</v>
      </c>
      <c r="O1" s="330" t="s">
        <v>46</v>
      </c>
      <c r="P1" s="330" t="s">
        <v>356</v>
      </c>
      <c r="Q1" s="326" t="s">
        <v>133</v>
      </c>
      <c r="R1" s="330" t="s">
        <v>357</v>
      </c>
      <c r="S1" s="330" t="s">
        <v>358</v>
      </c>
      <c r="T1" s="326" t="s">
        <v>359</v>
      </c>
      <c r="U1" s="331" t="s">
        <v>360</v>
      </c>
      <c r="V1" s="326" t="s">
        <v>361</v>
      </c>
      <c r="Z1" s="481" t="s">
        <v>558</v>
      </c>
      <c r="AA1" s="481"/>
      <c r="AB1" s="481"/>
      <c r="AC1" s="494" t="s">
        <v>559</v>
      </c>
      <c r="AD1" s="495" t="s">
        <v>560</v>
      </c>
      <c r="AE1" s="481" t="s">
        <v>561</v>
      </c>
      <c r="AF1" s="494" t="s">
        <v>559</v>
      </c>
    </row>
    <row r="2" spans="1:32" x14ac:dyDescent="0.25">
      <c r="A2" s="436" t="s">
        <v>99</v>
      </c>
      <c r="B2" s="338">
        <v>2015</v>
      </c>
      <c r="C2" s="338" t="s">
        <v>205</v>
      </c>
      <c r="E2" s="144">
        <v>7540</v>
      </c>
      <c r="G2" s="144">
        <v>1171</v>
      </c>
      <c r="H2" s="144">
        <v>4888</v>
      </c>
      <c r="I2" s="144">
        <v>334</v>
      </c>
      <c r="J2" s="144">
        <v>436</v>
      </c>
      <c r="K2" s="144">
        <v>711</v>
      </c>
      <c r="L2" s="144">
        <v>2802</v>
      </c>
      <c r="M2" s="144">
        <v>1981</v>
      </c>
      <c r="N2" s="144">
        <v>404</v>
      </c>
      <c r="O2" s="144">
        <v>417</v>
      </c>
      <c r="Q2" s="144">
        <v>13569</v>
      </c>
      <c r="R2" s="144">
        <v>13569</v>
      </c>
      <c r="T2" s="144">
        <v>315</v>
      </c>
      <c r="U2" s="144">
        <v>24226</v>
      </c>
      <c r="V2" s="339">
        <v>100</v>
      </c>
      <c r="Z2" s="496" t="s">
        <v>422</v>
      </c>
      <c r="AA2" s="483">
        <v>24.11</v>
      </c>
      <c r="AB2" s="497" t="s">
        <v>562</v>
      </c>
      <c r="AC2" s="485">
        <v>11386</v>
      </c>
      <c r="AD2" s="486">
        <v>23.08</v>
      </c>
      <c r="AE2" s="497" t="s">
        <v>563</v>
      </c>
      <c r="AF2" s="485">
        <v>4722</v>
      </c>
    </row>
    <row r="3" spans="1:32" x14ac:dyDescent="0.25">
      <c r="A3" s="340" t="s">
        <v>270</v>
      </c>
      <c r="B3" s="338">
        <v>2015</v>
      </c>
      <c r="C3" s="338" t="s">
        <v>205</v>
      </c>
      <c r="E3" s="144">
        <v>1578</v>
      </c>
      <c r="F3" s="144">
        <v>1578</v>
      </c>
      <c r="Q3" s="144">
        <v>2060</v>
      </c>
      <c r="R3" s="144">
        <v>1620</v>
      </c>
      <c r="S3" s="144">
        <v>440</v>
      </c>
      <c r="U3" s="144">
        <v>3638</v>
      </c>
      <c r="V3" s="341">
        <v>100</v>
      </c>
      <c r="Z3" s="496" t="s">
        <v>425</v>
      </c>
      <c r="AA3" s="483">
        <v>31.12</v>
      </c>
      <c r="AB3" s="497" t="s">
        <v>562</v>
      </c>
      <c r="AC3" s="485">
        <v>2105</v>
      </c>
      <c r="AD3" s="488">
        <v>2.0499999999999998</v>
      </c>
      <c r="AE3" s="497" t="s">
        <v>563</v>
      </c>
      <c r="AF3" s="487">
        <v>858</v>
      </c>
    </row>
    <row r="4" spans="1:32" x14ac:dyDescent="0.25">
      <c r="A4" s="337" t="s">
        <v>272</v>
      </c>
      <c r="B4" s="338">
        <v>2015</v>
      </c>
      <c r="C4" s="338" t="s">
        <v>205</v>
      </c>
      <c r="D4" s="144">
        <v>5926</v>
      </c>
      <c r="E4" s="144">
        <v>7599</v>
      </c>
      <c r="G4" s="144">
        <v>470</v>
      </c>
      <c r="H4" s="144">
        <v>6865</v>
      </c>
      <c r="I4" s="144">
        <v>264</v>
      </c>
      <c r="L4" s="144">
        <v>6450</v>
      </c>
      <c r="M4" s="144">
        <v>2172</v>
      </c>
      <c r="N4" s="144">
        <v>3068</v>
      </c>
      <c r="O4" s="144">
        <v>1210</v>
      </c>
      <c r="Q4" s="144">
        <v>1424</v>
      </c>
      <c r="R4" s="144">
        <v>116</v>
      </c>
      <c r="S4" s="144">
        <v>1308</v>
      </c>
      <c r="U4" s="144">
        <v>21399</v>
      </c>
      <c r="V4" s="339">
        <v>100</v>
      </c>
      <c r="Z4" s="499" t="s">
        <v>101</v>
      </c>
      <c r="AA4" s="483">
        <v>22.01</v>
      </c>
      <c r="AB4" s="497" t="s">
        <v>564</v>
      </c>
      <c r="AC4" s="485">
        <v>13129</v>
      </c>
      <c r="AD4" s="488">
        <v>2.08</v>
      </c>
      <c r="AE4" s="497" t="s">
        <v>565</v>
      </c>
      <c r="AF4" s="485">
        <v>6556</v>
      </c>
    </row>
    <row r="5" spans="1:32" x14ac:dyDescent="0.25">
      <c r="A5" s="340" t="s">
        <v>273</v>
      </c>
      <c r="B5" s="338">
        <v>2015</v>
      </c>
      <c r="C5" s="338" t="s">
        <v>205</v>
      </c>
      <c r="D5" s="144">
        <v>2000</v>
      </c>
      <c r="E5" s="144">
        <v>5706</v>
      </c>
      <c r="F5" s="144">
        <v>4199</v>
      </c>
      <c r="G5" s="144">
        <v>708</v>
      </c>
      <c r="H5" s="144">
        <v>799</v>
      </c>
      <c r="L5" s="144">
        <v>1806</v>
      </c>
      <c r="M5" s="144">
        <v>701</v>
      </c>
      <c r="N5" s="144">
        <v>1041</v>
      </c>
      <c r="O5" s="144">
        <v>64</v>
      </c>
      <c r="Q5" s="144">
        <v>3198</v>
      </c>
      <c r="R5" s="144">
        <v>2334</v>
      </c>
      <c r="S5" s="144">
        <v>864</v>
      </c>
      <c r="U5" s="144">
        <v>12710</v>
      </c>
      <c r="V5" s="341">
        <v>100</v>
      </c>
      <c r="Z5" s="496" t="s">
        <v>429</v>
      </c>
      <c r="AA5" s="489">
        <v>8.01</v>
      </c>
      <c r="AB5" s="497" t="s">
        <v>564</v>
      </c>
      <c r="AC5" s="485">
        <v>7100</v>
      </c>
      <c r="AD5" s="488">
        <v>7.06</v>
      </c>
      <c r="AE5" s="497" t="s">
        <v>566</v>
      </c>
      <c r="AF5" s="485">
        <v>2781</v>
      </c>
    </row>
    <row r="6" spans="1:32" x14ac:dyDescent="0.25">
      <c r="A6" s="337" t="s">
        <v>275</v>
      </c>
      <c r="B6" s="338">
        <v>2015</v>
      </c>
      <c r="C6" s="338" t="s">
        <v>205</v>
      </c>
      <c r="D6" s="144">
        <v>3333</v>
      </c>
      <c r="E6" s="144">
        <v>502</v>
      </c>
      <c r="K6" s="144">
        <v>502</v>
      </c>
      <c r="L6" s="144">
        <v>1091</v>
      </c>
      <c r="M6" s="144">
        <v>60</v>
      </c>
      <c r="N6" s="144">
        <v>756</v>
      </c>
      <c r="O6" s="144">
        <v>275</v>
      </c>
      <c r="Q6" s="144">
        <v>13828</v>
      </c>
      <c r="R6" s="144">
        <v>12445</v>
      </c>
      <c r="S6" s="144">
        <v>1383</v>
      </c>
      <c r="T6" s="144">
        <v>245</v>
      </c>
      <c r="U6" s="144">
        <v>18998</v>
      </c>
      <c r="V6" s="339">
        <v>100</v>
      </c>
      <c r="Z6" s="496" t="s">
        <v>431</v>
      </c>
      <c r="AA6" s="483">
        <v>12.02</v>
      </c>
      <c r="AB6" s="497" t="s">
        <v>567</v>
      </c>
      <c r="AC6" s="485">
        <v>10155</v>
      </c>
      <c r="AD6" s="488">
        <v>2.08</v>
      </c>
      <c r="AE6" s="497" t="s">
        <v>565</v>
      </c>
      <c r="AF6" s="485">
        <v>4875</v>
      </c>
    </row>
    <row r="7" spans="1:32" x14ac:dyDescent="0.25">
      <c r="A7" s="340" t="s">
        <v>277</v>
      </c>
      <c r="B7" s="338">
        <v>2015</v>
      </c>
      <c r="C7" s="338" t="s">
        <v>205</v>
      </c>
      <c r="E7" s="144">
        <v>1478</v>
      </c>
      <c r="F7" s="144">
        <v>1478</v>
      </c>
      <c r="L7" s="144">
        <v>155</v>
      </c>
      <c r="M7" s="144">
        <v>155</v>
      </c>
      <c r="U7" s="144">
        <v>1633</v>
      </c>
      <c r="V7" s="341">
        <v>100</v>
      </c>
      <c r="Z7" s="496" t="s">
        <v>434</v>
      </c>
      <c r="AA7" s="489">
        <v>4.08</v>
      </c>
      <c r="AB7" s="497" t="s">
        <v>568</v>
      </c>
      <c r="AC7" s="487">
        <v>954</v>
      </c>
      <c r="AD7" s="488">
        <v>1.06</v>
      </c>
      <c r="AE7" s="497" t="s">
        <v>566</v>
      </c>
      <c r="AF7" s="487">
        <v>270</v>
      </c>
    </row>
    <row r="8" spans="1:32" x14ac:dyDescent="0.25">
      <c r="A8" s="337" t="s">
        <v>278</v>
      </c>
      <c r="B8" s="338">
        <v>2015</v>
      </c>
      <c r="C8" s="338" t="s">
        <v>205</v>
      </c>
      <c r="D8" s="144">
        <v>4040</v>
      </c>
      <c r="E8" s="144">
        <v>11140</v>
      </c>
      <c r="F8" s="144">
        <v>8334</v>
      </c>
      <c r="G8" s="144">
        <v>1200</v>
      </c>
      <c r="H8" s="144">
        <v>1606</v>
      </c>
      <c r="L8" s="144">
        <v>3194</v>
      </c>
      <c r="M8" s="144">
        <v>277</v>
      </c>
      <c r="N8" s="144">
        <v>2067</v>
      </c>
      <c r="O8" s="144">
        <v>850</v>
      </c>
      <c r="Q8" s="144">
        <v>2253</v>
      </c>
      <c r="R8" s="144">
        <v>1081</v>
      </c>
      <c r="S8" s="144">
        <v>1172</v>
      </c>
      <c r="U8" s="144">
        <v>20627</v>
      </c>
      <c r="V8" s="339">
        <v>100</v>
      </c>
      <c r="Z8" s="496" t="s">
        <v>436</v>
      </c>
      <c r="AA8" s="489">
        <v>9.02</v>
      </c>
      <c r="AB8" s="497" t="s">
        <v>569</v>
      </c>
      <c r="AC8" s="485">
        <v>9982</v>
      </c>
      <c r="AD8" s="488">
        <v>2.08</v>
      </c>
      <c r="AE8" s="497" t="s">
        <v>566</v>
      </c>
      <c r="AF8" s="485">
        <v>4428</v>
      </c>
    </row>
    <row r="9" spans="1:32" x14ac:dyDescent="0.25">
      <c r="A9" s="340" t="s">
        <v>279</v>
      </c>
      <c r="B9" s="338">
        <v>2015</v>
      </c>
      <c r="C9" s="338" t="s">
        <v>205</v>
      </c>
      <c r="D9" s="144">
        <v>10793</v>
      </c>
      <c r="E9" s="144">
        <v>78746</v>
      </c>
      <c r="F9" s="144">
        <v>20570</v>
      </c>
      <c r="G9" s="144">
        <v>25674</v>
      </c>
      <c r="H9" s="144">
        <v>25048</v>
      </c>
      <c r="I9" s="144">
        <v>3828</v>
      </c>
      <c r="J9" s="144">
        <v>3626</v>
      </c>
      <c r="L9" s="144">
        <v>89314</v>
      </c>
      <c r="M9" s="144">
        <v>43429</v>
      </c>
      <c r="N9" s="144">
        <v>38411</v>
      </c>
      <c r="O9" s="144">
        <v>6915</v>
      </c>
      <c r="P9" s="144">
        <v>559</v>
      </c>
      <c r="Q9" s="144">
        <v>9610</v>
      </c>
      <c r="R9" s="144">
        <v>3270</v>
      </c>
      <c r="S9" s="144">
        <v>6340</v>
      </c>
      <c r="U9" s="144">
        <v>188463</v>
      </c>
      <c r="V9" s="341">
        <v>100</v>
      </c>
      <c r="Z9" s="496" t="s">
        <v>439</v>
      </c>
      <c r="AA9" s="483">
        <v>24.11</v>
      </c>
      <c r="AB9" s="497" t="s">
        <v>562</v>
      </c>
      <c r="AC9" s="485">
        <v>79893</v>
      </c>
      <c r="AD9" s="486">
        <v>25.05</v>
      </c>
      <c r="AE9" s="497" t="s">
        <v>563</v>
      </c>
      <c r="AF9" s="485">
        <v>36146</v>
      </c>
    </row>
    <row r="10" spans="1:32" x14ac:dyDescent="0.25">
      <c r="A10" s="337" t="s">
        <v>281</v>
      </c>
      <c r="B10" s="338">
        <v>2015</v>
      </c>
      <c r="C10" s="338" t="s">
        <v>205</v>
      </c>
      <c r="E10" s="144">
        <v>7540</v>
      </c>
      <c r="G10" s="144">
        <v>4965</v>
      </c>
      <c r="H10" s="144">
        <v>1708</v>
      </c>
      <c r="I10" s="144">
        <v>823</v>
      </c>
      <c r="J10" s="144">
        <v>44</v>
      </c>
      <c r="L10" s="144">
        <v>6373</v>
      </c>
      <c r="M10" s="144">
        <v>5082</v>
      </c>
      <c r="N10" s="144">
        <v>781</v>
      </c>
      <c r="O10" s="144">
        <v>510</v>
      </c>
      <c r="Q10" s="144">
        <v>7</v>
      </c>
      <c r="R10" s="144">
        <v>7</v>
      </c>
      <c r="T10" s="144">
        <v>2</v>
      </c>
      <c r="U10" s="144">
        <v>13922</v>
      </c>
      <c r="V10" s="339">
        <v>100</v>
      </c>
      <c r="Z10" s="496" t="s">
        <v>441</v>
      </c>
      <c r="AA10" s="483">
        <v>10.06</v>
      </c>
      <c r="AB10" s="497" t="s">
        <v>570</v>
      </c>
      <c r="AC10" s="485">
        <v>5844</v>
      </c>
      <c r="AD10" s="486">
        <v>26.04</v>
      </c>
      <c r="AE10" s="497" t="s">
        <v>563</v>
      </c>
      <c r="AF10" s="485">
        <v>1915</v>
      </c>
    </row>
    <row r="11" spans="1:32" x14ac:dyDescent="0.25">
      <c r="A11" s="340" t="s">
        <v>282</v>
      </c>
      <c r="B11" s="338">
        <v>2015</v>
      </c>
      <c r="C11" s="338" t="s">
        <v>205</v>
      </c>
      <c r="E11" s="144">
        <v>2575</v>
      </c>
      <c r="H11" s="144">
        <v>262</v>
      </c>
      <c r="I11" s="144">
        <v>85</v>
      </c>
      <c r="J11" s="144">
        <v>524</v>
      </c>
      <c r="K11" s="144">
        <v>1704</v>
      </c>
      <c r="L11" s="144">
        <v>402</v>
      </c>
      <c r="M11" s="144">
        <v>301</v>
      </c>
      <c r="O11" s="144">
        <v>101</v>
      </c>
      <c r="Q11" s="144">
        <v>8</v>
      </c>
      <c r="R11" s="144">
        <v>8</v>
      </c>
      <c r="U11" s="144">
        <v>2984</v>
      </c>
      <c r="V11" s="341">
        <v>100</v>
      </c>
      <c r="Z11" s="496" t="s">
        <v>442</v>
      </c>
      <c r="AA11" s="489">
        <v>7.01</v>
      </c>
      <c r="AB11" s="497" t="s">
        <v>571</v>
      </c>
      <c r="AC11" s="485">
        <v>1394</v>
      </c>
      <c r="AD11" s="486">
        <v>27.07</v>
      </c>
      <c r="AE11" s="497" t="s">
        <v>572</v>
      </c>
      <c r="AF11" s="487">
        <v>498</v>
      </c>
    </row>
    <row r="12" spans="1:32" x14ac:dyDescent="0.25">
      <c r="A12" s="337" t="s">
        <v>283</v>
      </c>
      <c r="B12" s="338">
        <v>2015</v>
      </c>
      <c r="C12" s="338" t="s">
        <v>205</v>
      </c>
      <c r="D12" s="144">
        <v>7573</v>
      </c>
      <c r="E12" s="144">
        <v>46974</v>
      </c>
      <c r="F12" s="144">
        <v>1056</v>
      </c>
      <c r="G12" s="144">
        <v>9975</v>
      </c>
      <c r="H12" s="144">
        <v>32655</v>
      </c>
      <c r="I12" s="144">
        <v>3289</v>
      </c>
      <c r="L12" s="144">
        <v>30716</v>
      </c>
      <c r="M12" s="144">
        <v>23003</v>
      </c>
      <c r="N12" s="144">
        <v>6967</v>
      </c>
      <c r="O12" s="144">
        <v>747</v>
      </c>
      <c r="Q12" s="144">
        <v>20336</v>
      </c>
      <c r="R12" s="144">
        <v>17036</v>
      </c>
      <c r="S12" s="144">
        <v>3300</v>
      </c>
      <c r="T12" s="144">
        <v>588</v>
      </c>
      <c r="U12" s="144">
        <v>106187</v>
      </c>
      <c r="V12" s="339">
        <v>100</v>
      </c>
      <c r="Z12" s="496" t="s">
        <v>444</v>
      </c>
      <c r="AA12" s="489">
        <v>4.0199999999999996</v>
      </c>
      <c r="AB12" s="497" t="s">
        <v>573</v>
      </c>
      <c r="AC12" s="485">
        <v>40324</v>
      </c>
      <c r="AD12" s="486">
        <v>25.12</v>
      </c>
      <c r="AE12" s="497" t="s">
        <v>566</v>
      </c>
      <c r="AF12" s="485">
        <v>18041</v>
      </c>
    </row>
    <row r="13" spans="1:32" x14ac:dyDescent="0.25">
      <c r="A13" s="340" t="s">
        <v>284</v>
      </c>
      <c r="B13" s="338">
        <v>2015</v>
      </c>
      <c r="C13" s="338" t="s">
        <v>205</v>
      </c>
      <c r="D13" s="144">
        <v>2752</v>
      </c>
      <c r="E13" s="144">
        <v>8420</v>
      </c>
      <c r="G13" s="144">
        <v>3295</v>
      </c>
      <c r="H13" s="144">
        <v>1743</v>
      </c>
      <c r="I13" s="144">
        <v>1695</v>
      </c>
      <c r="J13" s="144">
        <v>1687</v>
      </c>
      <c r="L13" s="144">
        <v>3001</v>
      </c>
      <c r="M13" s="144">
        <v>1082</v>
      </c>
      <c r="O13" s="144">
        <v>1919</v>
      </c>
      <c r="Q13" s="144">
        <v>3263</v>
      </c>
      <c r="R13" s="144">
        <v>3263</v>
      </c>
      <c r="T13" s="144">
        <v>245</v>
      </c>
      <c r="U13" s="144">
        <v>17681</v>
      </c>
      <c r="V13" s="341">
        <v>100</v>
      </c>
      <c r="Z13" s="496" t="s">
        <v>446</v>
      </c>
      <c r="AA13" s="483">
        <v>22.01</v>
      </c>
      <c r="AB13" s="497" t="s">
        <v>574</v>
      </c>
      <c r="AC13" s="485">
        <v>13584</v>
      </c>
      <c r="AD13" s="486">
        <v>19.09</v>
      </c>
      <c r="AE13" s="497" t="s">
        <v>575</v>
      </c>
      <c r="AF13" s="485">
        <v>5194</v>
      </c>
    </row>
    <row r="14" spans="1:32" x14ac:dyDescent="0.25">
      <c r="A14" s="337" t="s">
        <v>285</v>
      </c>
      <c r="B14" s="338">
        <v>2015</v>
      </c>
      <c r="C14" s="338" t="s">
        <v>205</v>
      </c>
      <c r="D14" s="144">
        <v>63130</v>
      </c>
      <c r="E14" s="144">
        <v>22553</v>
      </c>
      <c r="G14" s="144">
        <v>3007</v>
      </c>
      <c r="H14" s="144">
        <v>10901</v>
      </c>
      <c r="I14" s="144">
        <v>8645</v>
      </c>
      <c r="L14" s="144">
        <v>18206</v>
      </c>
      <c r="M14" s="144">
        <v>10312</v>
      </c>
      <c r="N14" s="144">
        <v>6191</v>
      </c>
      <c r="O14" s="144">
        <v>1703</v>
      </c>
      <c r="Q14" s="144">
        <v>25421</v>
      </c>
      <c r="R14" s="144">
        <v>23442</v>
      </c>
      <c r="S14" s="144">
        <v>1979</v>
      </c>
      <c r="U14" s="144">
        <v>129310</v>
      </c>
      <c r="V14" s="339">
        <v>100</v>
      </c>
      <c r="Z14" s="496" t="s">
        <v>447</v>
      </c>
      <c r="AA14" s="489">
        <v>6.02</v>
      </c>
      <c r="AB14" s="497" t="s">
        <v>564</v>
      </c>
      <c r="AC14" s="485">
        <v>91611</v>
      </c>
      <c r="AD14" s="486">
        <v>16.079999999999998</v>
      </c>
      <c r="AE14" s="497" t="s">
        <v>565</v>
      </c>
      <c r="AF14" s="485">
        <v>29299</v>
      </c>
    </row>
    <row r="15" spans="1:32" x14ac:dyDescent="0.25">
      <c r="A15" s="340" t="s">
        <v>287</v>
      </c>
      <c r="B15" s="338">
        <v>2015</v>
      </c>
      <c r="C15" s="338" t="s">
        <v>205</v>
      </c>
      <c r="D15" s="144">
        <v>8981</v>
      </c>
      <c r="E15" s="144">
        <v>47914</v>
      </c>
      <c r="G15" s="144">
        <v>17926</v>
      </c>
      <c r="H15" s="144">
        <v>29050</v>
      </c>
      <c r="I15" s="144">
        <v>938</v>
      </c>
      <c r="L15" s="144">
        <v>18880</v>
      </c>
      <c r="M15" s="144">
        <v>8503</v>
      </c>
      <c r="N15" s="144">
        <v>9000</v>
      </c>
      <c r="O15" s="144">
        <v>1377</v>
      </c>
      <c r="Q15" s="144">
        <v>3866</v>
      </c>
      <c r="R15" s="144">
        <v>1122</v>
      </c>
      <c r="S15" s="144">
        <v>2744</v>
      </c>
      <c r="U15" s="144">
        <v>79641</v>
      </c>
      <c r="V15" s="341">
        <v>80</v>
      </c>
      <c r="Z15" s="499" t="s">
        <v>110</v>
      </c>
      <c r="AA15" s="483">
        <v>19.010000000000002</v>
      </c>
      <c r="AB15" s="497" t="s">
        <v>564</v>
      </c>
      <c r="AC15" s="485">
        <v>59576</v>
      </c>
      <c r="AD15" s="486">
        <v>12.07</v>
      </c>
      <c r="AE15" s="497" t="s">
        <v>565</v>
      </c>
      <c r="AF15" s="485">
        <v>20871</v>
      </c>
    </row>
    <row r="16" spans="1:32" x14ac:dyDescent="0.25">
      <c r="A16" s="337" t="s">
        <v>289</v>
      </c>
      <c r="B16" s="338">
        <v>2015</v>
      </c>
      <c r="C16" s="338" t="s">
        <v>205</v>
      </c>
      <c r="E16" s="144">
        <v>9922</v>
      </c>
      <c r="F16" s="144">
        <v>4456</v>
      </c>
      <c r="H16" s="144">
        <v>4768</v>
      </c>
      <c r="I16" s="144">
        <v>698</v>
      </c>
      <c r="L16" s="144">
        <v>4271</v>
      </c>
      <c r="M16" s="144">
        <v>1775</v>
      </c>
      <c r="N16" s="144">
        <v>2444</v>
      </c>
      <c r="O16" s="144">
        <v>52</v>
      </c>
      <c r="Q16" s="144">
        <v>3242</v>
      </c>
      <c r="R16" s="144">
        <v>224</v>
      </c>
      <c r="S16" s="144">
        <v>3018</v>
      </c>
      <c r="T16" s="144">
        <v>135</v>
      </c>
      <c r="U16" s="144">
        <v>17570</v>
      </c>
      <c r="V16" s="339">
        <v>100</v>
      </c>
      <c r="Z16" s="496" t="s">
        <v>448</v>
      </c>
      <c r="AA16" s="483">
        <v>30.07</v>
      </c>
      <c r="AB16" s="497" t="s">
        <v>569</v>
      </c>
      <c r="AC16" s="485">
        <v>9813</v>
      </c>
      <c r="AD16" s="486">
        <v>25.1</v>
      </c>
      <c r="AE16" s="497" t="s">
        <v>568</v>
      </c>
      <c r="AF16" s="485">
        <v>3599</v>
      </c>
    </row>
    <row r="17" spans="1:32" x14ac:dyDescent="0.25">
      <c r="A17" s="340" t="s">
        <v>291</v>
      </c>
      <c r="B17" s="338">
        <v>2015</v>
      </c>
      <c r="C17" s="338" t="s">
        <v>205</v>
      </c>
      <c r="E17" s="144">
        <v>1770</v>
      </c>
      <c r="G17" s="144">
        <v>325</v>
      </c>
      <c r="H17" s="144">
        <v>496</v>
      </c>
      <c r="I17" s="144">
        <v>320</v>
      </c>
      <c r="J17" s="144">
        <v>629</v>
      </c>
      <c r="L17" s="144">
        <v>496</v>
      </c>
      <c r="M17" s="144">
        <v>384</v>
      </c>
      <c r="N17" s="144">
        <v>44</v>
      </c>
      <c r="O17" s="144">
        <v>26</v>
      </c>
      <c r="P17" s="144">
        <v>42</v>
      </c>
      <c r="Q17" s="144">
        <v>2112</v>
      </c>
      <c r="R17" s="144">
        <v>2112</v>
      </c>
      <c r="U17" s="144">
        <v>4378</v>
      </c>
      <c r="V17" s="341">
        <v>100</v>
      </c>
      <c r="Z17" s="496" t="s">
        <v>450</v>
      </c>
      <c r="AA17" s="483">
        <v>22.07</v>
      </c>
      <c r="AB17" s="497" t="s">
        <v>569</v>
      </c>
      <c r="AC17" s="485">
        <v>2950</v>
      </c>
      <c r="AD17" s="486">
        <v>22.06</v>
      </c>
      <c r="AE17" s="497" t="s">
        <v>566</v>
      </c>
      <c r="AF17" s="485">
        <v>1160</v>
      </c>
    </row>
    <row r="18" spans="1:32" x14ac:dyDescent="0.25">
      <c r="A18" s="337" t="s">
        <v>292</v>
      </c>
      <c r="B18" s="338">
        <v>2015</v>
      </c>
      <c r="C18" s="338" t="s">
        <v>205</v>
      </c>
      <c r="D18" s="144">
        <v>1887</v>
      </c>
      <c r="E18" s="144">
        <v>5541</v>
      </c>
      <c r="F18" s="144">
        <v>1007</v>
      </c>
      <c r="H18" s="144">
        <v>4124</v>
      </c>
      <c r="I18" s="144">
        <v>410</v>
      </c>
      <c r="L18" s="144">
        <v>603</v>
      </c>
      <c r="M18" s="144">
        <v>328</v>
      </c>
      <c r="N18" s="144">
        <v>29</v>
      </c>
      <c r="O18" s="144">
        <v>246</v>
      </c>
      <c r="Q18" s="144">
        <v>57</v>
      </c>
      <c r="R18" s="144">
        <v>57</v>
      </c>
      <c r="T18" s="144">
        <v>88</v>
      </c>
      <c r="U18" s="144">
        <v>8176</v>
      </c>
      <c r="V18" s="339">
        <v>100</v>
      </c>
      <c r="Z18" s="496" t="s">
        <v>451</v>
      </c>
      <c r="AA18" s="489">
        <v>8.07</v>
      </c>
      <c r="AB18" s="497" t="s">
        <v>569</v>
      </c>
      <c r="AC18" s="485">
        <v>6106</v>
      </c>
      <c r="AD18" s="486">
        <v>25.05</v>
      </c>
      <c r="AE18" s="497" t="s">
        <v>566</v>
      </c>
      <c r="AF18" s="485">
        <v>2857</v>
      </c>
    </row>
    <row r="19" spans="1:32" x14ac:dyDescent="0.25">
      <c r="A19" s="340" t="s">
        <v>293</v>
      </c>
      <c r="B19" s="338">
        <v>2015</v>
      </c>
      <c r="C19" s="338" t="s">
        <v>205</v>
      </c>
      <c r="E19" s="144">
        <v>6409</v>
      </c>
      <c r="F19" s="144">
        <v>346</v>
      </c>
      <c r="G19" s="144">
        <v>855</v>
      </c>
      <c r="H19" s="144">
        <v>4270</v>
      </c>
      <c r="I19" s="144">
        <v>926</v>
      </c>
      <c r="J19" s="144">
        <v>12</v>
      </c>
      <c r="L19" s="144">
        <v>2474</v>
      </c>
      <c r="M19" s="144">
        <v>2400</v>
      </c>
      <c r="O19" s="144">
        <v>7</v>
      </c>
      <c r="P19" s="144">
        <v>67</v>
      </c>
      <c r="Q19" s="144">
        <v>534</v>
      </c>
      <c r="R19" s="144">
        <v>242</v>
      </c>
      <c r="S19" s="144">
        <v>292</v>
      </c>
      <c r="T19" s="144">
        <v>251</v>
      </c>
      <c r="U19" s="144">
        <v>9668</v>
      </c>
      <c r="V19" s="341">
        <v>100</v>
      </c>
      <c r="Z19" s="496" t="s">
        <v>453</v>
      </c>
      <c r="AA19" s="483">
        <v>14.01</v>
      </c>
      <c r="AB19" s="497" t="s">
        <v>562</v>
      </c>
      <c r="AC19" s="485">
        <v>4662</v>
      </c>
      <c r="AD19" s="486">
        <v>19.07</v>
      </c>
      <c r="AE19" s="497" t="s">
        <v>574</v>
      </c>
      <c r="AF19" s="485">
        <v>1804</v>
      </c>
    </row>
    <row r="20" spans="1:32" x14ac:dyDescent="0.25">
      <c r="A20" s="337" t="s">
        <v>294</v>
      </c>
      <c r="B20" s="338">
        <v>2015</v>
      </c>
      <c r="C20" s="338" t="s">
        <v>205</v>
      </c>
      <c r="E20" s="144">
        <v>11</v>
      </c>
      <c r="I20" s="144">
        <v>11</v>
      </c>
      <c r="L20" s="144">
        <v>663</v>
      </c>
      <c r="M20" s="144">
        <v>2</v>
      </c>
      <c r="P20" s="144">
        <v>661</v>
      </c>
      <c r="Q20" s="144">
        <v>1972</v>
      </c>
      <c r="R20" s="144">
        <v>1972</v>
      </c>
      <c r="U20" s="144">
        <v>2635</v>
      </c>
      <c r="V20" s="339">
        <v>100</v>
      </c>
      <c r="Z20" s="496" t="s">
        <v>454</v>
      </c>
      <c r="AA20" s="483">
        <v>25.02</v>
      </c>
      <c r="AB20" s="497" t="s">
        <v>576</v>
      </c>
      <c r="AC20" s="485">
        <v>2327</v>
      </c>
      <c r="AD20" s="488">
        <v>8.08</v>
      </c>
      <c r="AE20" s="497" t="s">
        <v>565</v>
      </c>
      <c r="AF20" s="485">
        <v>1622</v>
      </c>
    </row>
    <row r="21" spans="1:32" x14ac:dyDescent="0.25">
      <c r="A21" s="340" t="s">
        <v>295</v>
      </c>
      <c r="B21" s="338">
        <v>2015</v>
      </c>
      <c r="C21" s="338" t="s">
        <v>205</v>
      </c>
      <c r="E21" s="144">
        <v>69700</v>
      </c>
      <c r="F21" s="144">
        <v>0</v>
      </c>
      <c r="G21" s="144">
        <v>8800</v>
      </c>
      <c r="H21" s="144">
        <v>51500</v>
      </c>
      <c r="I21" s="144">
        <v>6000</v>
      </c>
      <c r="J21" s="144">
        <v>3400</v>
      </c>
      <c r="L21" s="144">
        <v>32330</v>
      </c>
      <c r="M21" s="144">
        <v>8750</v>
      </c>
      <c r="N21" s="144">
        <v>19100</v>
      </c>
      <c r="O21" s="144">
        <v>3700</v>
      </c>
      <c r="P21" s="144">
        <v>780</v>
      </c>
      <c r="Q21" s="144">
        <v>22150</v>
      </c>
      <c r="S21" s="144">
        <v>22150</v>
      </c>
      <c r="U21" s="144">
        <v>124180</v>
      </c>
      <c r="V21" s="341">
        <v>100</v>
      </c>
      <c r="Z21" s="496" t="s">
        <v>455</v>
      </c>
      <c r="AA21" s="483">
        <v>22.07</v>
      </c>
      <c r="AB21" s="497" t="s">
        <v>571</v>
      </c>
      <c r="AC21" s="485">
        <v>59648</v>
      </c>
      <c r="AD21" s="486">
        <v>26.12</v>
      </c>
      <c r="AE21" s="497" t="s">
        <v>572</v>
      </c>
      <c r="AF21" s="485">
        <v>18785</v>
      </c>
    </row>
    <row r="22" spans="1:32" x14ac:dyDescent="0.25">
      <c r="A22" s="337" t="s">
        <v>296</v>
      </c>
      <c r="B22" s="338">
        <v>2015</v>
      </c>
      <c r="C22" s="338" t="s">
        <v>205</v>
      </c>
      <c r="E22" s="144">
        <v>2332</v>
      </c>
      <c r="H22" s="144">
        <v>553</v>
      </c>
      <c r="J22" s="144">
        <v>1779</v>
      </c>
      <c r="L22" s="144">
        <v>436</v>
      </c>
      <c r="M22" s="144">
        <v>290</v>
      </c>
      <c r="N22" s="144">
        <v>69</v>
      </c>
      <c r="O22" s="144">
        <v>77</v>
      </c>
      <c r="Q22" s="144">
        <v>126</v>
      </c>
      <c r="R22" s="144">
        <v>126</v>
      </c>
      <c r="T22" s="144">
        <v>900</v>
      </c>
      <c r="U22" s="144">
        <v>3794</v>
      </c>
      <c r="V22" s="339">
        <v>100</v>
      </c>
      <c r="Z22" s="496" t="s">
        <v>456</v>
      </c>
      <c r="AA22" s="489">
        <v>7.01</v>
      </c>
      <c r="AB22" s="497" t="s">
        <v>577</v>
      </c>
      <c r="AC22" s="485">
        <v>1748</v>
      </c>
      <c r="AD22" s="486">
        <v>12.07</v>
      </c>
      <c r="AE22" s="497" t="s">
        <v>572</v>
      </c>
      <c r="AF22" s="487">
        <v>784</v>
      </c>
    </row>
    <row r="23" spans="1:32" x14ac:dyDescent="0.25">
      <c r="A23" s="340" t="s">
        <v>297</v>
      </c>
      <c r="B23" s="338">
        <v>2015</v>
      </c>
      <c r="C23" s="338" t="s">
        <v>205</v>
      </c>
      <c r="E23" s="144">
        <v>495</v>
      </c>
      <c r="H23" s="144">
        <v>495</v>
      </c>
      <c r="L23" s="144">
        <v>187</v>
      </c>
      <c r="M23" s="144">
        <v>60</v>
      </c>
      <c r="N23" s="144">
        <v>116</v>
      </c>
      <c r="O23" s="144">
        <v>11</v>
      </c>
      <c r="Q23" s="144">
        <v>1334</v>
      </c>
      <c r="R23" s="144">
        <v>44</v>
      </c>
      <c r="S23" s="144">
        <v>1290</v>
      </c>
      <c r="T23" s="144">
        <v>21</v>
      </c>
      <c r="U23" s="144">
        <v>2037</v>
      </c>
      <c r="V23" s="341">
        <v>100</v>
      </c>
      <c r="Z23" s="496" t="s">
        <v>457</v>
      </c>
      <c r="AA23" s="489">
        <v>7.07</v>
      </c>
      <c r="AB23" s="497" t="s">
        <v>578</v>
      </c>
      <c r="AC23" s="485">
        <v>1087</v>
      </c>
      <c r="AD23" s="488">
        <v>2.08</v>
      </c>
      <c r="AE23" s="497" t="s">
        <v>563</v>
      </c>
      <c r="AF23" s="487">
        <v>339</v>
      </c>
    </row>
    <row r="24" spans="1:32" x14ac:dyDescent="0.25">
      <c r="A24" s="337" t="s">
        <v>299</v>
      </c>
      <c r="B24" s="338">
        <v>2015</v>
      </c>
      <c r="C24" s="338" t="s">
        <v>205</v>
      </c>
      <c r="E24" s="144">
        <v>1144</v>
      </c>
      <c r="H24" s="144">
        <v>1031</v>
      </c>
      <c r="J24" s="144">
        <v>113</v>
      </c>
      <c r="L24" s="144">
        <v>183</v>
      </c>
      <c r="M24" s="144">
        <v>70</v>
      </c>
      <c r="O24" s="144">
        <v>113</v>
      </c>
      <c r="Q24" s="144">
        <v>1556</v>
      </c>
      <c r="R24" s="144">
        <v>1556</v>
      </c>
      <c r="U24" s="144">
        <v>2883</v>
      </c>
      <c r="V24" s="339">
        <v>100</v>
      </c>
      <c r="Z24" s="496" t="s">
        <v>458</v>
      </c>
      <c r="AA24" s="489">
        <v>8.01</v>
      </c>
      <c r="AB24" s="497" t="s">
        <v>571</v>
      </c>
      <c r="AC24" s="485">
        <v>1225</v>
      </c>
      <c r="AD24" s="486">
        <v>25.06</v>
      </c>
      <c r="AE24" s="497" t="s">
        <v>563</v>
      </c>
      <c r="AF24" s="487">
        <v>438</v>
      </c>
    </row>
    <row r="25" spans="1:32" x14ac:dyDescent="0.25">
      <c r="A25" s="340" t="s">
        <v>300</v>
      </c>
      <c r="B25" s="338">
        <v>2015</v>
      </c>
      <c r="C25" s="338" t="s">
        <v>205</v>
      </c>
      <c r="E25" s="144">
        <v>220</v>
      </c>
      <c r="F25" s="144">
        <v>220</v>
      </c>
      <c r="Q25" s="144">
        <v>660</v>
      </c>
      <c r="R25" s="144">
        <v>10</v>
      </c>
      <c r="S25" s="144">
        <v>650</v>
      </c>
      <c r="U25" s="144">
        <v>880</v>
      </c>
      <c r="V25" s="341">
        <v>100</v>
      </c>
      <c r="Z25" s="496" t="s">
        <v>459</v>
      </c>
      <c r="AA25" s="483">
        <v>22.07</v>
      </c>
      <c r="AB25" s="497" t="s">
        <v>576</v>
      </c>
      <c r="AC25" s="487">
        <v>583</v>
      </c>
      <c r="AD25" s="486">
        <v>11.05</v>
      </c>
      <c r="AE25" s="497" t="s">
        <v>572</v>
      </c>
      <c r="AF25" s="487">
        <v>225</v>
      </c>
    </row>
    <row r="26" spans="1:32" x14ac:dyDescent="0.25">
      <c r="A26" s="337" t="s">
        <v>301</v>
      </c>
      <c r="B26" s="338">
        <v>2015</v>
      </c>
      <c r="C26" s="338" t="s">
        <v>205</v>
      </c>
      <c r="E26" s="144">
        <v>1157</v>
      </c>
      <c r="F26" s="144">
        <v>718</v>
      </c>
      <c r="H26" s="144">
        <v>250</v>
      </c>
      <c r="I26" s="144">
        <v>189</v>
      </c>
      <c r="L26" s="144">
        <v>36</v>
      </c>
      <c r="M26" s="144">
        <v>36</v>
      </c>
      <c r="Q26" s="144">
        <v>539</v>
      </c>
      <c r="S26" s="144">
        <v>539</v>
      </c>
      <c r="U26" s="144">
        <v>1732</v>
      </c>
      <c r="V26" s="339">
        <v>100</v>
      </c>
      <c r="Z26" s="496" t="s">
        <v>460</v>
      </c>
      <c r="AA26" s="489">
        <v>8.01</v>
      </c>
      <c r="AB26" s="497" t="s">
        <v>579</v>
      </c>
      <c r="AC26" s="485">
        <v>1439</v>
      </c>
      <c r="AD26" s="488">
        <v>2.06</v>
      </c>
      <c r="AE26" s="497" t="s">
        <v>563</v>
      </c>
      <c r="AF26" s="487">
        <v>530</v>
      </c>
    </row>
    <row r="27" spans="1:32" x14ac:dyDescent="0.25">
      <c r="A27" s="340" t="s">
        <v>362</v>
      </c>
      <c r="B27" s="338">
        <v>2015</v>
      </c>
      <c r="C27" s="338" t="s">
        <v>205</v>
      </c>
      <c r="E27" s="144">
        <v>5904</v>
      </c>
      <c r="G27" s="144">
        <v>3836</v>
      </c>
      <c r="H27" s="144">
        <v>2064</v>
      </c>
      <c r="I27" s="144">
        <v>4</v>
      </c>
      <c r="L27" s="144">
        <v>1550</v>
      </c>
      <c r="M27" s="144">
        <v>1447</v>
      </c>
      <c r="O27" s="144">
        <v>43</v>
      </c>
      <c r="P27" s="144">
        <v>60</v>
      </c>
      <c r="Q27" s="144">
        <v>12</v>
      </c>
      <c r="R27" s="144">
        <v>12</v>
      </c>
      <c r="U27" s="144">
        <v>7466</v>
      </c>
      <c r="V27" s="341">
        <v>100</v>
      </c>
      <c r="Z27" s="499" t="s">
        <v>583</v>
      </c>
      <c r="AA27" s="483">
        <v>14.01</v>
      </c>
      <c r="AB27" s="497" t="s">
        <v>564</v>
      </c>
      <c r="AC27" s="485">
        <v>1737</v>
      </c>
      <c r="AD27" s="486">
        <v>14.07</v>
      </c>
      <c r="AE27" s="497" t="s">
        <v>565</v>
      </c>
      <c r="AF27" s="487">
        <v>538</v>
      </c>
    </row>
    <row r="28" spans="1:32" x14ac:dyDescent="0.25">
      <c r="A28" s="337" t="s">
        <v>303</v>
      </c>
      <c r="B28" s="338">
        <v>2015</v>
      </c>
      <c r="C28" s="338" t="s">
        <v>205</v>
      </c>
      <c r="D28" s="144">
        <v>486</v>
      </c>
      <c r="E28" s="144">
        <v>25572</v>
      </c>
      <c r="G28" s="144">
        <v>5658</v>
      </c>
      <c r="H28" s="144">
        <v>19914</v>
      </c>
      <c r="L28" s="144">
        <v>5468</v>
      </c>
      <c r="M28" s="144">
        <v>3641</v>
      </c>
      <c r="N28" s="144">
        <v>1429</v>
      </c>
      <c r="O28" s="144">
        <v>398</v>
      </c>
      <c r="Q28" s="144">
        <v>38</v>
      </c>
      <c r="R28" s="144">
        <v>38</v>
      </c>
      <c r="T28" s="144">
        <v>674</v>
      </c>
      <c r="U28" s="144">
        <v>32238</v>
      </c>
      <c r="V28" s="339">
        <v>100</v>
      </c>
      <c r="Z28" s="499" t="s">
        <v>120</v>
      </c>
      <c r="AA28" s="489">
        <v>6.01</v>
      </c>
      <c r="AB28" s="497" t="s">
        <v>562</v>
      </c>
      <c r="AC28" s="485">
        <v>17761</v>
      </c>
      <c r="AD28" s="488">
        <v>2.08</v>
      </c>
      <c r="AE28" s="497" t="s">
        <v>565</v>
      </c>
      <c r="AF28" s="485">
        <v>8892</v>
      </c>
    </row>
    <row r="29" spans="1:32" x14ac:dyDescent="0.25">
      <c r="A29" s="340" t="s">
        <v>304</v>
      </c>
      <c r="B29" s="338">
        <v>2015</v>
      </c>
      <c r="C29" s="338" t="s">
        <v>205</v>
      </c>
      <c r="E29" s="144">
        <v>1600</v>
      </c>
      <c r="H29" s="144">
        <v>1600</v>
      </c>
      <c r="L29" s="144">
        <v>892</v>
      </c>
      <c r="M29" s="144">
        <v>860</v>
      </c>
      <c r="O29" s="144">
        <v>32</v>
      </c>
      <c r="Q29" s="144">
        <v>31200</v>
      </c>
      <c r="R29" s="144">
        <v>31200</v>
      </c>
      <c r="U29" s="144">
        <v>33692</v>
      </c>
      <c r="V29" s="341">
        <v>100</v>
      </c>
      <c r="Z29" s="496" t="s">
        <v>462</v>
      </c>
      <c r="AA29" s="489">
        <v>4.0199999999999996</v>
      </c>
      <c r="AB29" s="497" t="s">
        <v>567</v>
      </c>
      <c r="AC29" s="485">
        <v>22530</v>
      </c>
      <c r="AD29" s="486">
        <v>23.08</v>
      </c>
      <c r="AE29" s="497" t="s">
        <v>566</v>
      </c>
      <c r="AF29" s="485">
        <v>9527</v>
      </c>
    </row>
    <row r="30" spans="1:32" x14ac:dyDescent="0.25">
      <c r="A30" s="337" t="s">
        <v>305</v>
      </c>
      <c r="B30" s="338">
        <v>2015</v>
      </c>
      <c r="C30" s="338" t="s">
        <v>205</v>
      </c>
      <c r="E30" s="144">
        <v>29232</v>
      </c>
      <c r="F30" s="144">
        <v>8525</v>
      </c>
      <c r="G30" s="144">
        <v>17016</v>
      </c>
      <c r="H30" s="144">
        <v>1354</v>
      </c>
      <c r="K30" s="144">
        <v>2337</v>
      </c>
      <c r="L30" s="144">
        <v>6087</v>
      </c>
      <c r="M30" s="144">
        <v>5186</v>
      </c>
      <c r="N30" s="144">
        <v>87</v>
      </c>
      <c r="O30" s="144">
        <v>612</v>
      </c>
      <c r="P30" s="144">
        <v>202</v>
      </c>
      <c r="Q30" s="144">
        <v>2355</v>
      </c>
      <c r="R30" s="144">
        <v>942</v>
      </c>
      <c r="S30" s="144">
        <v>1413</v>
      </c>
      <c r="U30" s="144">
        <v>37674</v>
      </c>
      <c r="V30" s="339">
        <v>100</v>
      </c>
      <c r="Z30" s="496" t="s">
        <v>463</v>
      </c>
      <c r="AA30" s="489">
        <v>7.01</v>
      </c>
      <c r="AB30" s="497" t="s">
        <v>562</v>
      </c>
      <c r="AC30" s="485">
        <v>23069</v>
      </c>
      <c r="AD30" s="486">
        <v>26.12</v>
      </c>
      <c r="AE30" s="497" t="s">
        <v>580</v>
      </c>
      <c r="AF30" s="485">
        <v>10143</v>
      </c>
    </row>
    <row r="31" spans="1:32" x14ac:dyDescent="0.25">
      <c r="A31" s="340" t="s">
        <v>306</v>
      </c>
      <c r="B31" s="338">
        <v>2015</v>
      </c>
      <c r="C31" s="338" t="s">
        <v>205</v>
      </c>
      <c r="E31" s="144">
        <v>6519</v>
      </c>
      <c r="G31" s="144">
        <v>1756</v>
      </c>
      <c r="H31" s="144">
        <v>4698</v>
      </c>
      <c r="I31" s="144">
        <v>47</v>
      </c>
      <c r="K31" s="144">
        <v>18</v>
      </c>
      <c r="L31" s="144">
        <v>5868</v>
      </c>
      <c r="M31" s="144">
        <v>4826</v>
      </c>
      <c r="N31" s="144">
        <v>429</v>
      </c>
      <c r="O31" s="144">
        <v>613</v>
      </c>
      <c r="Q31" s="144">
        <v>6146</v>
      </c>
      <c r="R31" s="144">
        <v>6146</v>
      </c>
      <c r="U31" s="144">
        <v>18533</v>
      </c>
      <c r="V31" s="341">
        <v>100</v>
      </c>
      <c r="Z31" s="496" t="s">
        <v>464</v>
      </c>
      <c r="AA31" s="489">
        <v>7.01</v>
      </c>
      <c r="AB31" s="497" t="s">
        <v>573</v>
      </c>
      <c r="AC31" s="485">
        <v>8618</v>
      </c>
      <c r="AD31" s="488">
        <v>5.04</v>
      </c>
      <c r="AE31" s="497" t="s">
        <v>574</v>
      </c>
      <c r="AF31" s="485">
        <v>3419</v>
      </c>
    </row>
    <row r="32" spans="1:32" x14ac:dyDescent="0.25">
      <c r="A32" s="337" t="s">
        <v>307</v>
      </c>
      <c r="B32" s="338">
        <v>2015</v>
      </c>
      <c r="C32" s="338" t="s">
        <v>205</v>
      </c>
      <c r="D32" s="144">
        <v>1300</v>
      </c>
      <c r="E32" s="144">
        <v>8496</v>
      </c>
      <c r="F32" s="144">
        <v>3777</v>
      </c>
      <c r="G32" s="144">
        <v>1148</v>
      </c>
      <c r="H32" s="144">
        <v>1850</v>
      </c>
      <c r="J32" s="144">
        <v>1721</v>
      </c>
      <c r="L32" s="144">
        <v>4285</v>
      </c>
      <c r="M32" s="144">
        <v>2923</v>
      </c>
      <c r="N32" s="144">
        <v>1249</v>
      </c>
      <c r="O32" s="144">
        <v>112</v>
      </c>
      <c r="Q32" s="144">
        <v>6339</v>
      </c>
      <c r="R32" s="144">
        <v>6339</v>
      </c>
      <c r="U32" s="144">
        <v>20420</v>
      </c>
      <c r="V32" s="339">
        <v>100</v>
      </c>
      <c r="Z32" s="496" t="s">
        <v>465</v>
      </c>
      <c r="AA32" s="489">
        <v>8.01</v>
      </c>
      <c r="AB32" s="497" t="s">
        <v>564</v>
      </c>
      <c r="AC32" s="485">
        <v>8488</v>
      </c>
      <c r="AD32" s="486">
        <v>12.04</v>
      </c>
      <c r="AE32" s="497" t="s">
        <v>568</v>
      </c>
      <c r="AF32" s="485">
        <v>3799</v>
      </c>
    </row>
    <row r="33" spans="1:32" x14ac:dyDescent="0.25">
      <c r="A33" s="340" t="s">
        <v>308</v>
      </c>
      <c r="B33" s="338">
        <v>2015</v>
      </c>
      <c r="C33" s="338" t="s">
        <v>205</v>
      </c>
      <c r="E33" s="144">
        <v>5549</v>
      </c>
      <c r="F33" s="144">
        <v>5238</v>
      </c>
      <c r="H33" s="144">
        <v>311</v>
      </c>
      <c r="Q33" s="144">
        <v>3009</v>
      </c>
      <c r="R33" s="144">
        <v>2389</v>
      </c>
      <c r="S33" s="144">
        <v>620</v>
      </c>
      <c r="U33" s="144">
        <v>8558</v>
      </c>
      <c r="V33" s="341">
        <v>100</v>
      </c>
      <c r="Z33" s="496" t="s">
        <v>467</v>
      </c>
      <c r="AA33" s="483">
        <v>31.12</v>
      </c>
      <c r="AB33" s="497" t="s">
        <v>562</v>
      </c>
      <c r="AC33" s="485">
        <v>6879</v>
      </c>
      <c r="AD33" s="486">
        <v>10.050000000000001</v>
      </c>
      <c r="AE33" s="497" t="s">
        <v>566</v>
      </c>
      <c r="AF33" s="485">
        <v>2486</v>
      </c>
    </row>
    <row r="34" spans="1:32" x14ac:dyDescent="0.25">
      <c r="A34" s="337" t="s">
        <v>310</v>
      </c>
      <c r="B34" s="338">
        <v>2015</v>
      </c>
      <c r="C34" s="338" t="s">
        <v>205</v>
      </c>
      <c r="D34" s="144">
        <v>9714</v>
      </c>
      <c r="E34" s="144">
        <v>4501</v>
      </c>
      <c r="G34" s="144">
        <v>225</v>
      </c>
      <c r="H34" s="144">
        <v>879</v>
      </c>
      <c r="I34" s="144">
        <v>3277</v>
      </c>
      <c r="J34" s="144">
        <v>120</v>
      </c>
      <c r="L34" s="144">
        <v>9552</v>
      </c>
      <c r="M34" s="144">
        <v>6029</v>
      </c>
      <c r="N34" s="144">
        <v>104</v>
      </c>
      <c r="O34" s="144">
        <v>2978</v>
      </c>
      <c r="P34" s="144">
        <v>441</v>
      </c>
      <c r="Q34" s="144">
        <v>16184</v>
      </c>
      <c r="R34" s="144">
        <v>16184</v>
      </c>
      <c r="U34" s="144">
        <v>39951</v>
      </c>
      <c r="V34" s="339">
        <v>100</v>
      </c>
      <c r="Z34" s="496" t="s">
        <v>468</v>
      </c>
      <c r="AA34" s="489">
        <v>5.0199999999999996</v>
      </c>
      <c r="AB34" s="497" t="s">
        <v>562</v>
      </c>
      <c r="AC34" s="485">
        <v>23395</v>
      </c>
      <c r="AD34" s="486">
        <v>19.07</v>
      </c>
      <c r="AE34" s="497" t="s">
        <v>566</v>
      </c>
      <c r="AF34" s="485">
        <v>9242</v>
      </c>
    </row>
    <row r="35" spans="1:32" x14ac:dyDescent="0.25">
      <c r="A35" s="340" t="s">
        <v>311</v>
      </c>
      <c r="B35" s="338">
        <v>2015</v>
      </c>
      <c r="C35" s="338" t="s">
        <v>205</v>
      </c>
      <c r="D35" s="144">
        <v>696</v>
      </c>
      <c r="E35" s="144">
        <v>1470</v>
      </c>
      <c r="F35" s="144">
        <v>921</v>
      </c>
      <c r="H35" s="144">
        <v>549</v>
      </c>
      <c r="L35" s="144">
        <v>284</v>
      </c>
      <c r="M35" s="144">
        <v>3</v>
      </c>
      <c r="N35" s="144">
        <v>263</v>
      </c>
      <c r="O35" s="144">
        <v>17</v>
      </c>
      <c r="Q35" s="144">
        <v>1233</v>
      </c>
      <c r="R35" s="144">
        <v>1053</v>
      </c>
      <c r="S35" s="144">
        <v>180</v>
      </c>
      <c r="T35" s="144">
        <v>40</v>
      </c>
      <c r="U35" s="144">
        <v>3722</v>
      </c>
      <c r="V35" s="341">
        <v>100</v>
      </c>
      <c r="Z35" s="496" t="s">
        <v>469</v>
      </c>
      <c r="AA35" s="489">
        <v>5.0199999999999996</v>
      </c>
      <c r="AB35" s="497" t="s">
        <v>578</v>
      </c>
      <c r="AC35" s="485">
        <v>2086</v>
      </c>
      <c r="AD35" s="488">
        <v>1.05</v>
      </c>
      <c r="AE35" s="497" t="s">
        <v>563</v>
      </c>
      <c r="AF35" s="487">
        <v>960</v>
      </c>
    </row>
    <row r="36" spans="1:32" x14ac:dyDescent="0.25">
      <c r="A36" s="337" t="s">
        <v>312</v>
      </c>
      <c r="B36" s="338">
        <v>2015</v>
      </c>
      <c r="C36" s="338" t="s">
        <v>205</v>
      </c>
      <c r="D36" s="144">
        <v>1940</v>
      </c>
      <c r="E36" s="144">
        <v>2718</v>
      </c>
      <c r="F36" s="144">
        <v>568</v>
      </c>
      <c r="G36" s="144">
        <v>440</v>
      </c>
      <c r="H36" s="144">
        <v>1093</v>
      </c>
      <c r="I36" s="144">
        <v>195</v>
      </c>
      <c r="J36" s="144">
        <v>422</v>
      </c>
      <c r="L36" s="144">
        <v>904</v>
      </c>
      <c r="M36" s="144">
        <v>3</v>
      </c>
      <c r="N36" s="144">
        <v>532</v>
      </c>
      <c r="O36" s="144">
        <v>259</v>
      </c>
      <c r="P36" s="144">
        <v>110</v>
      </c>
      <c r="Q36" s="144">
        <v>2533</v>
      </c>
      <c r="R36" s="144">
        <v>1617</v>
      </c>
      <c r="S36" s="144">
        <v>916</v>
      </c>
      <c r="U36" s="144">
        <v>8095</v>
      </c>
      <c r="V36" s="339">
        <v>100</v>
      </c>
      <c r="Z36" s="496" t="s">
        <v>470</v>
      </c>
      <c r="AA36" s="483">
        <v>25.11</v>
      </c>
      <c r="AB36" s="497" t="s">
        <v>562</v>
      </c>
      <c r="AC36" s="485">
        <v>4145</v>
      </c>
      <c r="AD36" s="488">
        <v>2.08</v>
      </c>
      <c r="AE36" s="497" t="s">
        <v>566</v>
      </c>
      <c r="AF36" s="485">
        <v>2231</v>
      </c>
    </row>
    <row r="37" spans="1:32" ht="45" x14ac:dyDescent="0.25">
      <c r="A37" s="524" t="s">
        <v>315</v>
      </c>
      <c r="B37" s="525">
        <v>2015</v>
      </c>
      <c r="C37" s="525" t="s">
        <v>205</v>
      </c>
      <c r="D37" s="523">
        <v>124551</v>
      </c>
      <c r="E37" s="523">
        <v>440526</v>
      </c>
      <c r="F37" s="523">
        <v>62991</v>
      </c>
      <c r="G37" s="523">
        <v>108450</v>
      </c>
      <c r="H37" s="523">
        <v>217324</v>
      </c>
      <c r="I37" s="523">
        <v>31978</v>
      </c>
      <c r="J37" s="523">
        <v>14513</v>
      </c>
      <c r="K37" s="523">
        <v>5271</v>
      </c>
      <c r="L37" s="523">
        <v>258958</v>
      </c>
      <c r="M37" s="523">
        <v>136071</v>
      </c>
      <c r="N37" s="523">
        <v>94582</v>
      </c>
      <c r="O37" s="523">
        <v>25383</v>
      </c>
      <c r="P37" s="523">
        <v>2922</v>
      </c>
      <c r="Q37" s="523">
        <v>202173</v>
      </c>
      <c r="R37" s="523">
        <v>151575</v>
      </c>
      <c r="S37" s="523">
        <v>50598</v>
      </c>
      <c r="T37" s="523">
        <v>3503</v>
      </c>
      <c r="U37" s="523">
        <v>1029700</v>
      </c>
      <c r="Z37" s="481" t="s">
        <v>643</v>
      </c>
      <c r="AA37" s="498">
        <v>5.0199999999999996</v>
      </c>
      <c r="AB37" s="494" t="s">
        <v>581</v>
      </c>
      <c r="AC37" s="491">
        <v>528093</v>
      </c>
      <c r="AD37" s="492">
        <v>16.079999999999998</v>
      </c>
      <c r="AE37" s="494" t="s">
        <v>582</v>
      </c>
      <c r="AF37" s="491">
        <v>240673</v>
      </c>
    </row>
    <row r="48" spans="1:32" ht="12.75" x14ac:dyDescent="0.25">
      <c r="A48" s="1" t="s">
        <v>197</v>
      </c>
      <c r="B48" s="1" t="s">
        <v>63</v>
      </c>
      <c r="C48" s="1" t="s">
        <v>393</v>
      </c>
      <c r="D48" s="144" t="s">
        <v>57</v>
      </c>
      <c r="E48" s="144" t="s">
        <v>348</v>
      </c>
      <c r="F48" s="144" t="s">
        <v>349</v>
      </c>
      <c r="G48" s="144" t="s">
        <v>595</v>
      </c>
      <c r="H48" s="144" t="s">
        <v>352</v>
      </c>
      <c r="I48" s="144" t="s">
        <v>43</v>
      </c>
      <c r="J48" s="144" t="s">
        <v>42</v>
      </c>
      <c r="K48" s="144" t="s">
        <v>44</v>
      </c>
      <c r="L48" s="144" t="s">
        <v>397</v>
      </c>
      <c r="M48" s="144" t="s">
        <v>394</v>
      </c>
      <c r="N48" s="144" t="s">
        <v>357</v>
      </c>
      <c r="O48" s="144" t="s">
        <v>647</v>
      </c>
      <c r="P48" s="144" t="s">
        <v>359</v>
      </c>
      <c r="Q48" s="144" t="s">
        <v>396</v>
      </c>
      <c r="R48" s="144" t="s">
        <v>395</v>
      </c>
      <c r="S48" s="144" t="s">
        <v>392</v>
      </c>
      <c r="T48" s="508" t="s">
        <v>597</v>
      </c>
      <c r="U48" s="508" t="s">
        <v>596</v>
      </c>
    </row>
    <row r="49" spans="1:21" x14ac:dyDescent="0.25">
      <c r="A49" s="366" t="str">
        <f>A2</f>
        <v>AT</v>
      </c>
      <c r="B49" s="366">
        <f>B2</f>
        <v>2015</v>
      </c>
      <c r="C49" s="366" t="str">
        <f>C2</f>
        <v>MW</v>
      </c>
      <c r="D49" s="144">
        <f>D2</f>
        <v>0</v>
      </c>
      <c r="E49" s="144">
        <f t="shared" ref="E49:G49" si="0">F2</f>
        <v>0</v>
      </c>
      <c r="F49" s="167">
        <f t="shared" si="0"/>
        <v>1171</v>
      </c>
      <c r="G49" s="167">
        <f t="shared" si="0"/>
        <v>4888</v>
      </c>
      <c r="H49" s="422">
        <f t="shared" ref="H49" si="1">I2+J2+K2</f>
        <v>1481</v>
      </c>
      <c r="I49" s="167">
        <f t="shared" ref="I49" si="2">M2</f>
        <v>1981</v>
      </c>
      <c r="J49" s="144">
        <v>0</v>
      </c>
      <c r="K49" s="422">
        <f t="shared" ref="K49:M49" si="3">N2</f>
        <v>404</v>
      </c>
      <c r="L49" s="422">
        <f t="shared" si="3"/>
        <v>417</v>
      </c>
      <c r="M49" s="422">
        <f t="shared" si="3"/>
        <v>0</v>
      </c>
      <c r="N49" s="167">
        <f t="shared" ref="N49:N84" si="4">R2</f>
        <v>13569</v>
      </c>
      <c r="O49" s="167">
        <f t="shared" ref="O49:O84" si="5">S2</f>
        <v>0</v>
      </c>
      <c r="P49" s="422">
        <f t="shared" ref="P49:P84" si="6">T2</f>
        <v>315</v>
      </c>
      <c r="Q49" s="167">
        <f t="shared" ref="Q49:Q84" si="7">SUM(D49:P49)</f>
        <v>24226</v>
      </c>
      <c r="R49" s="167">
        <f t="shared" ref="R49:R84" si="8">U2</f>
        <v>24226</v>
      </c>
      <c r="S49" s="424">
        <f>Q49/R49</f>
        <v>1</v>
      </c>
      <c r="T49" s="443">
        <f>VLOOKUP(Capacity_Entsoe_SFS_2015[[#This Row],[Country]],$Z$2:$AF$38,7,0)</f>
        <v>4722</v>
      </c>
      <c r="U49" s="443">
        <f>VLOOKUP(Capacity_Entsoe_SFS_2015[[#This Row],[Country]],$Z$2:$AF$38,4,0)</f>
        <v>11386</v>
      </c>
    </row>
    <row r="50" spans="1:21" x14ac:dyDescent="0.25">
      <c r="A50" s="366" t="str">
        <f t="shared" ref="A50:A84" si="9">A3</f>
        <v>BA</v>
      </c>
      <c r="B50" s="366">
        <f t="shared" ref="B50:C50" si="10">B4</f>
        <v>2015</v>
      </c>
      <c r="C50" s="366" t="str">
        <f t="shared" si="10"/>
        <v>MW</v>
      </c>
      <c r="D50" s="144">
        <f t="shared" ref="D50:D84" si="11">D3</f>
        <v>0</v>
      </c>
      <c r="E50" s="144">
        <f t="shared" ref="E50:E84" si="12">F3</f>
        <v>1578</v>
      </c>
      <c r="F50" s="167">
        <f t="shared" ref="F50:F84" si="13">G3</f>
        <v>0</v>
      </c>
      <c r="G50" s="167">
        <f t="shared" ref="G50:G84" si="14">H3</f>
        <v>0</v>
      </c>
      <c r="H50" s="422">
        <f t="shared" ref="H50:H84" si="15">I3+J3+K3</f>
        <v>0</v>
      </c>
      <c r="I50" s="167">
        <f t="shared" ref="I50:I84" si="16">M3</f>
        <v>0</v>
      </c>
      <c r="J50" s="144">
        <v>0</v>
      </c>
      <c r="K50" s="422">
        <f t="shared" ref="K50:K84" si="17">N3</f>
        <v>0</v>
      </c>
      <c r="L50" s="422">
        <f t="shared" ref="L50:L84" si="18">O3</f>
        <v>0</v>
      </c>
      <c r="M50" s="422">
        <f t="shared" ref="M50:M84" si="19">P3</f>
        <v>0</v>
      </c>
      <c r="N50" s="167">
        <f t="shared" si="4"/>
        <v>1620</v>
      </c>
      <c r="O50" s="167">
        <f t="shared" si="5"/>
        <v>440</v>
      </c>
      <c r="P50" s="422">
        <f t="shared" si="6"/>
        <v>0</v>
      </c>
      <c r="Q50" s="167">
        <f t="shared" si="7"/>
        <v>3638</v>
      </c>
      <c r="R50" s="167">
        <f t="shared" si="8"/>
        <v>3638</v>
      </c>
      <c r="S50" s="424">
        <f t="shared" ref="S50:S79" si="20">Q50/R50</f>
        <v>1</v>
      </c>
      <c r="T50" s="443">
        <f>VLOOKUP(Capacity_Entsoe_SFS_2015[[#This Row],[Country]],$Z$2:$AF$38,7,0)</f>
        <v>858</v>
      </c>
      <c r="U50" s="443">
        <f>VLOOKUP(Capacity_Entsoe_SFS_2015[[#This Row],[Country]],$Z$2:$AF$38,4,0)</f>
        <v>2105</v>
      </c>
    </row>
    <row r="51" spans="1:21" x14ac:dyDescent="0.25">
      <c r="A51" s="366" t="str">
        <f t="shared" si="9"/>
        <v>BE</v>
      </c>
      <c r="B51" s="366">
        <f t="shared" ref="B51:C51" si="21">B5</f>
        <v>2015</v>
      </c>
      <c r="C51" s="366" t="str">
        <f t="shared" si="21"/>
        <v>MW</v>
      </c>
      <c r="D51" s="144">
        <f t="shared" si="11"/>
        <v>5926</v>
      </c>
      <c r="E51" s="144">
        <f t="shared" si="12"/>
        <v>0</v>
      </c>
      <c r="F51" s="167">
        <f t="shared" si="13"/>
        <v>470</v>
      </c>
      <c r="G51" s="167">
        <f t="shared" si="14"/>
        <v>6865</v>
      </c>
      <c r="H51" s="422">
        <f t="shared" si="15"/>
        <v>264</v>
      </c>
      <c r="I51" s="167">
        <f t="shared" si="16"/>
        <v>2172</v>
      </c>
      <c r="J51" s="144">
        <v>0</v>
      </c>
      <c r="K51" s="422">
        <f t="shared" si="17"/>
        <v>3068</v>
      </c>
      <c r="L51" s="422">
        <f t="shared" si="18"/>
        <v>1210</v>
      </c>
      <c r="M51" s="422">
        <f t="shared" si="19"/>
        <v>0</v>
      </c>
      <c r="N51" s="167">
        <f t="shared" si="4"/>
        <v>116</v>
      </c>
      <c r="O51" s="167">
        <f t="shared" si="5"/>
        <v>1308</v>
      </c>
      <c r="P51" s="422">
        <f t="shared" si="6"/>
        <v>0</v>
      </c>
      <c r="Q51" s="167">
        <f t="shared" si="7"/>
        <v>21399</v>
      </c>
      <c r="R51" s="167">
        <f t="shared" si="8"/>
        <v>21399</v>
      </c>
      <c r="S51" s="424">
        <f t="shared" si="20"/>
        <v>1</v>
      </c>
      <c r="T51" s="443">
        <f>VLOOKUP(Capacity_Entsoe_SFS_2015[[#This Row],[Country]],$Z$2:$AF$38,7,0)</f>
        <v>6556</v>
      </c>
      <c r="U51" s="443">
        <f>VLOOKUP(Capacity_Entsoe_SFS_2015[[#This Row],[Country]],$Z$2:$AF$38,4,0)</f>
        <v>13129</v>
      </c>
    </row>
    <row r="52" spans="1:21" x14ac:dyDescent="0.25">
      <c r="A52" s="366" t="str">
        <f t="shared" si="9"/>
        <v>BG</v>
      </c>
      <c r="B52" s="366">
        <f t="shared" ref="B52:C52" si="22">B6</f>
        <v>2015</v>
      </c>
      <c r="C52" s="366" t="str">
        <f t="shared" si="22"/>
        <v>MW</v>
      </c>
      <c r="D52" s="144">
        <f t="shared" si="11"/>
        <v>2000</v>
      </c>
      <c r="E52" s="144">
        <f t="shared" si="12"/>
        <v>4199</v>
      </c>
      <c r="F52" s="167">
        <f t="shared" si="13"/>
        <v>708</v>
      </c>
      <c r="G52" s="167">
        <f t="shared" si="14"/>
        <v>799</v>
      </c>
      <c r="H52" s="422">
        <f t="shared" si="15"/>
        <v>0</v>
      </c>
      <c r="I52" s="167">
        <f t="shared" si="16"/>
        <v>701</v>
      </c>
      <c r="J52" s="144">
        <v>0</v>
      </c>
      <c r="K52" s="422">
        <f t="shared" si="17"/>
        <v>1041</v>
      </c>
      <c r="L52" s="422">
        <f t="shared" si="18"/>
        <v>64</v>
      </c>
      <c r="M52" s="422">
        <f t="shared" si="19"/>
        <v>0</v>
      </c>
      <c r="N52" s="167">
        <f t="shared" si="4"/>
        <v>2334</v>
      </c>
      <c r="O52" s="167">
        <f t="shared" si="5"/>
        <v>864</v>
      </c>
      <c r="P52" s="422">
        <f t="shared" si="6"/>
        <v>0</v>
      </c>
      <c r="Q52" s="167">
        <f t="shared" si="7"/>
        <v>12710</v>
      </c>
      <c r="R52" s="167">
        <f t="shared" si="8"/>
        <v>12710</v>
      </c>
      <c r="S52" s="424">
        <f t="shared" si="20"/>
        <v>1</v>
      </c>
      <c r="T52" s="443">
        <f>VLOOKUP(Capacity_Entsoe_SFS_2015[[#This Row],[Country]],$Z$2:$AF$38,7,0)</f>
        <v>2781</v>
      </c>
      <c r="U52" s="443">
        <f>VLOOKUP(Capacity_Entsoe_SFS_2015[[#This Row],[Country]],$Z$2:$AF$38,4,0)</f>
        <v>7100</v>
      </c>
    </row>
    <row r="53" spans="1:21" x14ac:dyDescent="0.25">
      <c r="A53" s="366" t="str">
        <f t="shared" si="9"/>
        <v>CH</v>
      </c>
      <c r="B53" s="366">
        <f t="shared" ref="B53:C53" si="23">B7</f>
        <v>2015</v>
      </c>
      <c r="C53" s="366" t="str">
        <f t="shared" si="23"/>
        <v>MW</v>
      </c>
      <c r="D53" s="144">
        <f t="shared" si="11"/>
        <v>3333</v>
      </c>
      <c r="E53" s="144">
        <f t="shared" si="12"/>
        <v>0</v>
      </c>
      <c r="F53" s="167">
        <f t="shared" si="13"/>
        <v>0</v>
      </c>
      <c r="G53" s="167">
        <f t="shared" si="14"/>
        <v>0</v>
      </c>
      <c r="H53" s="422">
        <f t="shared" si="15"/>
        <v>502</v>
      </c>
      <c r="I53" s="167">
        <f t="shared" si="16"/>
        <v>60</v>
      </c>
      <c r="J53" s="144">
        <v>0</v>
      </c>
      <c r="K53" s="422">
        <f t="shared" si="17"/>
        <v>756</v>
      </c>
      <c r="L53" s="422">
        <f t="shared" si="18"/>
        <v>275</v>
      </c>
      <c r="M53" s="422">
        <f t="shared" si="19"/>
        <v>0</v>
      </c>
      <c r="N53" s="167">
        <f t="shared" si="4"/>
        <v>12445</v>
      </c>
      <c r="O53" s="167">
        <f t="shared" si="5"/>
        <v>1383</v>
      </c>
      <c r="P53" s="422">
        <f t="shared" si="6"/>
        <v>245</v>
      </c>
      <c r="Q53" s="167">
        <f t="shared" si="7"/>
        <v>18999</v>
      </c>
      <c r="R53" s="167">
        <f t="shared" si="8"/>
        <v>18998</v>
      </c>
      <c r="S53" s="424">
        <f t="shared" si="20"/>
        <v>1.0000526371196967</v>
      </c>
      <c r="T53" s="443">
        <f>VLOOKUP(Capacity_Entsoe_SFS_2015[[#This Row],[Country]],$Z$2:$AF$38,7,0)</f>
        <v>4875</v>
      </c>
      <c r="U53" s="443">
        <f>VLOOKUP(Capacity_Entsoe_SFS_2015[[#This Row],[Country]],$Z$2:$AF$38,4,0)</f>
        <v>10155</v>
      </c>
    </row>
    <row r="54" spans="1:21" x14ac:dyDescent="0.25">
      <c r="A54" s="366" t="str">
        <f t="shared" si="9"/>
        <v>CY</v>
      </c>
      <c r="B54" s="366">
        <f t="shared" ref="B54:C54" si="24">B8</f>
        <v>2015</v>
      </c>
      <c r="C54" s="366" t="str">
        <f t="shared" si="24"/>
        <v>MW</v>
      </c>
      <c r="D54" s="144">
        <f t="shared" si="11"/>
        <v>0</v>
      </c>
      <c r="E54" s="144">
        <f t="shared" si="12"/>
        <v>1478</v>
      </c>
      <c r="F54" s="167">
        <f t="shared" si="13"/>
        <v>0</v>
      </c>
      <c r="G54" s="167">
        <f t="shared" si="14"/>
        <v>0</v>
      </c>
      <c r="H54" s="422">
        <f t="shared" si="15"/>
        <v>0</v>
      </c>
      <c r="I54" s="167">
        <f t="shared" si="16"/>
        <v>155</v>
      </c>
      <c r="J54" s="144">
        <v>0</v>
      </c>
      <c r="K54" s="422">
        <f t="shared" si="17"/>
        <v>0</v>
      </c>
      <c r="L54" s="422">
        <f t="shared" si="18"/>
        <v>0</v>
      </c>
      <c r="M54" s="422">
        <f t="shared" si="19"/>
        <v>0</v>
      </c>
      <c r="N54" s="167">
        <f t="shared" si="4"/>
        <v>0</v>
      </c>
      <c r="O54" s="167">
        <f t="shared" si="5"/>
        <v>0</v>
      </c>
      <c r="P54" s="422">
        <f t="shared" si="6"/>
        <v>0</v>
      </c>
      <c r="Q54" s="167">
        <f t="shared" si="7"/>
        <v>1633</v>
      </c>
      <c r="R54" s="167">
        <f t="shared" si="8"/>
        <v>1633</v>
      </c>
      <c r="S54" s="424">
        <f t="shared" si="20"/>
        <v>1</v>
      </c>
      <c r="T54" s="443">
        <f>VLOOKUP(Capacity_Entsoe_SFS_2015[[#This Row],[Country]],$Z$2:$AF$38,7,0)</f>
        <v>270</v>
      </c>
      <c r="U54" s="443">
        <f>VLOOKUP(Capacity_Entsoe_SFS_2015[[#This Row],[Country]],$Z$2:$AF$38,4,0)</f>
        <v>954</v>
      </c>
    </row>
    <row r="55" spans="1:21" x14ac:dyDescent="0.25">
      <c r="A55" s="366" t="str">
        <f t="shared" si="9"/>
        <v>CZ</v>
      </c>
      <c r="B55" s="366">
        <f t="shared" ref="B55:C55" si="25">B9</f>
        <v>2015</v>
      </c>
      <c r="C55" s="366" t="str">
        <f t="shared" si="25"/>
        <v>MW</v>
      </c>
      <c r="D55" s="144">
        <f t="shared" si="11"/>
        <v>4040</v>
      </c>
      <c r="E55" s="144">
        <f t="shared" si="12"/>
        <v>8334</v>
      </c>
      <c r="F55" s="167">
        <f t="shared" si="13"/>
        <v>1200</v>
      </c>
      <c r="G55" s="167">
        <f t="shared" si="14"/>
        <v>1606</v>
      </c>
      <c r="H55" s="422">
        <f t="shared" si="15"/>
        <v>0</v>
      </c>
      <c r="I55" s="167">
        <f t="shared" si="16"/>
        <v>277</v>
      </c>
      <c r="J55" s="144">
        <v>0</v>
      </c>
      <c r="K55" s="422">
        <f t="shared" si="17"/>
        <v>2067</v>
      </c>
      <c r="L55" s="422">
        <f t="shared" si="18"/>
        <v>850</v>
      </c>
      <c r="M55" s="422">
        <f t="shared" si="19"/>
        <v>0</v>
      </c>
      <c r="N55" s="167">
        <f t="shared" si="4"/>
        <v>1081</v>
      </c>
      <c r="O55" s="167">
        <f t="shared" si="5"/>
        <v>1172</v>
      </c>
      <c r="P55" s="422">
        <f t="shared" si="6"/>
        <v>0</v>
      </c>
      <c r="Q55" s="167">
        <f t="shared" si="7"/>
        <v>20627</v>
      </c>
      <c r="R55" s="167">
        <f t="shared" si="8"/>
        <v>20627</v>
      </c>
      <c r="S55" s="424">
        <f t="shared" si="20"/>
        <v>1</v>
      </c>
      <c r="T55" s="443">
        <f>VLOOKUP(Capacity_Entsoe_SFS_2015[[#This Row],[Country]],$Z$2:$AF$38,7,0)</f>
        <v>4428</v>
      </c>
      <c r="U55" s="443">
        <f>VLOOKUP(Capacity_Entsoe_SFS_2015[[#This Row],[Country]],$Z$2:$AF$38,4,0)</f>
        <v>9982</v>
      </c>
    </row>
    <row r="56" spans="1:21" x14ac:dyDescent="0.25">
      <c r="A56" s="366" t="str">
        <f t="shared" si="9"/>
        <v>DE</v>
      </c>
      <c r="B56" s="366">
        <f t="shared" ref="B56:C56" si="26">B10</f>
        <v>2015</v>
      </c>
      <c r="C56" s="366" t="str">
        <f t="shared" si="26"/>
        <v>MW</v>
      </c>
      <c r="D56" s="144">
        <f t="shared" si="11"/>
        <v>10793</v>
      </c>
      <c r="E56" s="144">
        <f t="shared" si="12"/>
        <v>20570</v>
      </c>
      <c r="F56" s="167">
        <f t="shared" si="13"/>
        <v>25674</v>
      </c>
      <c r="G56" s="167">
        <f t="shared" si="14"/>
        <v>25048</v>
      </c>
      <c r="H56" s="422">
        <f t="shared" si="15"/>
        <v>7454</v>
      </c>
      <c r="I56" s="167">
        <f t="shared" si="16"/>
        <v>43429</v>
      </c>
      <c r="J56" s="144">
        <v>0</v>
      </c>
      <c r="K56" s="422">
        <f t="shared" si="17"/>
        <v>38411</v>
      </c>
      <c r="L56" s="422">
        <f t="shared" si="18"/>
        <v>6915</v>
      </c>
      <c r="M56" s="422">
        <f t="shared" si="19"/>
        <v>559</v>
      </c>
      <c r="N56" s="167">
        <f t="shared" si="4"/>
        <v>3270</v>
      </c>
      <c r="O56" s="167">
        <f t="shared" si="5"/>
        <v>6340</v>
      </c>
      <c r="P56" s="422">
        <f t="shared" si="6"/>
        <v>0</v>
      </c>
      <c r="Q56" s="167">
        <f t="shared" si="7"/>
        <v>188463</v>
      </c>
      <c r="R56" s="167">
        <f t="shared" si="8"/>
        <v>188463</v>
      </c>
      <c r="S56" s="424">
        <f t="shared" si="20"/>
        <v>1</v>
      </c>
      <c r="T56" s="443">
        <f>VLOOKUP(Capacity_Entsoe_SFS_2015[[#This Row],[Country]],$Z$2:$AF$38,7,0)</f>
        <v>36146</v>
      </c>
      <c r="U56" s="443">
        <f>VLOOKUP(Capacity_Entsoe_SFS_2015[[#This Row],[Country]],$Z$2:$AF$38,4,0)</f>
        <v>79893</v>
      </c>
    </row>
    <row r="57" spans="1:21" x14ac:dyDescent="0.25">
      <c r="A57" s="366" t="str">
        <f t="shared" si="9"/>
        <v>DK</v>
      </c>
      <c r="B57" s="366">
        <f t="shared" ref="B57:C57" si="27">B11</f>
        <v>2015</v>
      </c>
      <c r="C57" s="366" t="str">
        <f t="shared" si="27"/>
        <v>MW</v>
      </c>
      <c r="D57" s="144">
        <f t="shared" si="11"/>
        <v>0</v>
      </c>
      <c r="E57" s="144">
        <f t="shared" si="12"/>
        <v>0</v>
      </c>
      <c r="F57" s="167">
        <f t="shared" si="13"/>
        <v>4965</v>
      </c>
      <c r="G57" s="167">
        <f t="shared" si="14"/>
        <v>1708</v>
      </c>
      <c r="H57" s="422">
        <f t="shared" si="15"/>
        <v>867</v>
      </c>
      <c r="I57" s="167">
        <f t="shared" si="16"/>
        <v>5082</v>
      </c>
      <c r="J57" s="144">
        <v>0</v>
      </c>
      <c r="K57" s="422">
        <f t="shared" si="17"/>
        <v>781</v>
      </c>
      <c r="L57" s="422">
        <f t="shared" si="18"/>
        <v>510</v>
      </c>
      <c r="M57" s="422">
        <f t="shared" si="19"/>
        <v>0</v>
      </c>
      <c r="N57" s="167">
        <f t="shared" si="4"/>
        <v>7</v>
      </c>
      <c r="O57" s="167">
        <f t="shared" si="5"/>
        <v>0</v>
      </c>
      <c r="P57" s="422">
        <f t="shared" si="6"/>
        <v>2</v>
      </c>
      <c r="Q57" s="167">
        <f t="shared" si="7"/>
        <v>13922</v>
      </c>
      <c r="R57" s="167">
        <f t="shared" si="8"/>
        <v>13922</v>
      </c>
      <c r="S57" s="424">
        <f t="shared" si="20"/>
        <v>1</v>
      </c>
      <c r="T57" s="443">
        <f>VLOOKUP(Capacity_Entsoe_SFS_2015[[#This Row],[Country]],$Z$2:$AF$38,7,0)</f>
        <v>1915</v>
      </c>
      <c r="U57" s="443">
        <f>VLOOKUP(Capacity_Entsoe_SFS_2015[[#This Row],[Country]],$Z$2:$AF$38,4,0)</f>
        <v>5844</v>
      </c>
    </row>
    <row r="58" spans="1:21" x14ac:dyDescent="0.25">
      <c r="A58" s="366" t="str">
        <f t="shared" si="9"/>
        <v>EE</v>
      </c>
      <c r="B58" s="366">
        <f t="shared" ref="B58:C58" si="28">B12</f>
        <v>2015</v>
      </c>
      <c r="C58" s="366" t="str">
        <f t="shared" si="28"/>
        <v>MW</v>
      </c>
      <c r="D58" s="144">
        <f t="shared" si="11"/>
        <v>0</v>
      </c>
      <c r="E58" s="144">
        <f t="shared" si="12"/>
        <v>0</v>
      </c>
      <c r="F58" s="167">
        <f t="shared" si="13"/>
        <v>0</v>
      </c>
      <c r="G58" s="167">
        <f t="shared" si="14"/>
        <v>262</v>
      </c>
      <c r="H58" s="422">
        <f t="shared" si="15"/>
        <v>2313</v>
      </c>
      <c r="I58" s="167">
        <f t="shared" si="16"/>
        <v>301</v>
      </c>
      <c r="J58" s="144">
        <v>0</v>
      </c>
      <c r="K58" s="422">
        <f t="shared" si="17"/>
        <v>0</v>
      </c>
      <c r="L58" s="422">
        <f t="shared" si="18"/>
        <v>101</v>
      </c>
      <c r="M58" s="422">
        <f t="shared" si="19"/>
        <v>0</v>
      </c>
      <c r="N58" s="167">
        <f t="shared" si="4"/>
        <v>8</v>
      </c>
      <c r="O58" s="167">
        <f t="shared" si="5"/>
        <v>0</v>
      </c>
      <c r="P58" s="422">
        <f t="shared" si="6"/>
        <v>0</v>
      </c>
      <c r="Q58" s="167">
        <f t="shared" si="7"/>
        <v>2985</v>
      </c>
      <c r="R58" s="167">
        <f t="shared" si="8"/>
        <v>2984</v>
      </c>
      <c r="S58" s="424">
        <f t="shared" si="20"/>
        <v>1.0003351206434317</v>
      </c>
      <c r="T58" s="443">
        <f>VLOOKUP(Capacity_Entsoe_SFS_2015[[#This Row],[Country]],$Z$2:$AF$38,7,0)</f>
        <v>498</v>
      </c>
      <c r="U58" s="443">
        <f>VLOOKUP(Capacity_Entsoe_SFS_2015[[#This Row],[Country]],$Z$2:$AF$38,4,0)</f>
        <v>1394</v>
      </c>
    </row>
    <row r="59" spans="1:21" x14ac:dyDescent="0.25">
      <c r="A59" s="366" t="str">
        <f t="shared" si="9"/>
        <v>ES</v>
      </c>
      <c r="B59" s="366">
        <f t="shared" ref="B59:C59" si="29">B13</f>
        <v>2015</v>
      </c>
      <c r="C59" s="366" t="str">
        <f t="shared" si="29"/>
        <v>MW</v>
      </c>
      <c r="D59" s="144">
        <f t="shared" si="11"/>
        <v>7573</v>
      </c>
      <c r="E59" s="144">
        <f t="shared" si="12"/>
        <v>1056</v>
      </c>
      <c r="F59" s="167">
        <f t="shared" si="13"/>
        <v>9975</v>
      </c>
      <c r="G59" s="167">
        <f t="shared" si="14"/>
        <v>32655</v>
      </c>
      <c r="H59" s="422">
        <f t="shared" si="15"/>
        <v>3289</v>
      </c>
      <c r="I59" s="167">
        <f t="shared" si="16"/>
        <v>23003</v>
      </c>
      <c r="J59" s="144">
        <v>0</v>
      </c>
      <c r="K59" s="422">
        <f t="shared" si="17"/>
        <v>6967</v>
      </c>
      <c r="L59" s="422">
        <f t="shared" si="18"/>
        <v>747</v>
      </c>
      <c r="M59" s="422">
        <f t="shared" si="19"/>
        <v>0</v>
      </c>
      <c r="N59" s="167">
        <f t="shared" si="4"/>
        <v>17036</v>
      </c>
      <c r="O59" s="167">
        <f t="shared" si="5"/>
        <v>3300</v>
      </c>
      <c r="P59" s="422">
        <f t="shared" si="6"/>
        <v>588</v>
      </c>
      <c r="Q59" s="167">
        <f t="shared" si="7"/>
        <v>106189</v>
      </c>
      <c r="R59" s="167">
        <f t="shared" si="8"/>
        <v>106187</v>
      </c>
      <c r="S59" s="424">
        <f t="shared" si="20"/>
        <v>1.0000188346972794</v>
      </c>
      <c r="T59" s="443">
        <f>VLOOKUP(Capacity_Entsoe_SFS_2015[[#This Row],[Country]],$Z$2:$AF$38,7,0)</f>
        <v>18041</v>
      </c>
      <c r="U59" s="443">
        <f>VLOOKUP(Capacity_Entsoe_SFS_2015[[#This Row],[Country]],$Z$2:$AF$38,4,0)</f>
        <v>40324</v>
      </c>
    </row>
    <row r="60" spans="1:21" x14ac:dyDescent="0.25">
      <c r="A60" s="366" t="str">
        <f t="shared" si="9"/>
        <v>FI</v>
      </c>
      <c r="B60" s="366">
        <f t="shared" ref="B60:C60" si="30">B14</f>
        <v>2015</v>
      </c>
      <c r="C60" s="366" t="str">
        <f t="shared" si="30"/>
        <v>MW</v>
      </c>
      <c r="D60" s="144">
        <f t="shared" si="11"/>
        <v>2752</v>
      </c>
      <c r="E60" s="144">
        <f t="shared" si="12"/>
        <v>0</v>
      </c>
      <c r="F60" s="167">
        <f t="shared" si="13"/>
        <v>3295</v>
      </c>
      <c r="G60" s="167">
        <f t="shared" si="14"/>
        <v>1743</v>
      </c>
      <c r="H60" s="422">
        <f t="shared" si="15"/>
        <v>3382</v>
      </c>
      <c r="I60" s="167">
        <f t="shared" si="16"/>
        <v>1082</v>
      </c>
      <c r="J60" s="144">
        <v>0</v>
      </c>
      <c r="K60" s="422">
        <f t="shared" si="17"/>
        <v>0</v>
      </c>
      <c r="L60" s="422">
        <f t="shared" si="18"/>
        <v>1919</v>
      </c>
      <c r="M60" s="422">
        <f t="shared" si="19"/>
        <v>0</v>
      </c>
      <c r="N60" s="167">
        <f t="shared" si="4"/>
        <v>3263</v>
      </c>
      <c r="O60" s="167">
        <f t="shared" si="5"/>
        <v>0</v>
      </c>
      <c r="P60" s="422">
        <f t="shared" si="6"/>
        <v>245</v>
      </c>
      <c r="Q60" s="167">
        <f t="shared" si="7"/>
        <v>17681</v>
      </c>
      <c r="R60" s="167">
        <f t="shared" si="8"/>
        <v>17681</v>
      </c>
      <c r="S60" s="424">
        <f t="shared" si="20"/>
        <v>1</v>
      </c>
      <c r="T60" s="443">
        <f>VLOOKUP(Capacity_Entsoe_SFS_2015[[#This Row],[Country]],$Z$2:$AF$38,7,0)</f>
        <v>5194</v>
      </c>
      <c r="U60" s="443">
        <f>VLOOKUP(Capacity_Entsoe_SFS_2015[[#This Row],[Country]],$Z$2:$AF$38,4,0)</f>
        <v>13584</v>
      </c>
    </row>
    <row r="61" spans="1:21" x14ac:dyDescent="0.25">
      <c r="A61" s="366" t="str">
        <f t="shared" si="9"/>
        <v>FR</v>
      </c>
      <c r="B61" s="366">
        <f t="shared" ref="B61:C61" si="31">B15</f>
        <v>2015</v>
      </c>
      <c r="C61" s="366" t="str">
        <f t="shared" si="31"/>
        <v>MW</v>
      </c>
      <c r="D61" s="144">
        <f t="shared" si="11"/>
        <v>63130</v>
      </c>
      <c r="E61" s="144">
        <f t="shared" si="12"/>
        <v>0</v>
      </c>
      <c r="F61" s="167">
        <f t="shared" si="13"/>
        <v>3007</v>
      </c>
      <c r="G61" s="167">
        <f t="shared" si="14"/>
        <v>10901</v>
      </c>
      <c r="H61" s="422">
        <f t="shared" si="15"/>
        <v>8645</v>
      </c>
      <c r="I61" s="167">
        <f t="shared" si="16"/>
        <v>10312</v>
      </c>
      <c r="J61" s="144">
        <v>0</v>
      </c>
      <c r="K61" s="422">
        <f t="shared" si="17"/>
        <v>6191</v>
      </c>
      <c r="L61" s="422">
        <f t="shared" si="18"/>
        <v>1703</v>
      </c>
      <c r="M61" s="422">
        <f t="shared" si="19"/>
        <v>0</v>
      </c>
      <c r="N61" s="167">
        <f t="shared" si="4"/>
        <v>23442</v>
      </c>
      <c r="O61" s="167">
        <f t="shared" si="5"/>
        <v>1979</v>
      </c>
      <c r="P61" s="422">
        <f t="shared" si="6"/>
        <v>0</v>
      </c>
      <c r="Q61" s="167">
        <f t="shared" si="7"/>
        <v>129310</v>
      </c>
      <c r="R61" s="167">
        <f t="shared" si="8"/>
        <v>129310</v>
      </c>
      <c r="S61" s="424">
        <f t="shared" si="20"/>
        <v>1</v>
      </c>
      <c r="T61" s="443">
        <f>VLOOKUP(Capacity_Entsoe_SFS_2015[[#This Row],[Country]],$Z$2:$AF$38,7,0)</f>
        <v>29299</v>
      </c>
      <c r="U61" s="443">
        <f>VLOOKUP(Capacity_Entsoe_SFS_2015[[#This Row],[Country]],$Z$2:$AF$38,4,0)</f>
        <v>91611</v>
      </c>
    </row>
    <row r="62" spans="1:21" x14ac:dyDescent="0.25">
      <c r="A62" s="366" t="str">
        <f t="shared" si="9"/>
        <v>GB</v>
      </c>
      <c r="B62" s="366">
        <f t="shared" ref="B62:C62" si="32">B16</f>
        <v>2015</v>
      </c>
      <c r="C62" s="366" t="str">
        <f t="shared" si="32"/>
        <v>MW</v>
      </c>
      <c r="D62" s="144">
        <f t="shared" si="11"/>
        <v>8981</v>
      </c>
      <c r="E62" s="144">
        <f t="shared" si="12"/>
        <v>0</v>
      </c>
      <c r="F62" s="167">
        <f t="shared" si="13"/>
        <v>17926</v>
      </c>
      <c r="G62" s="167">
        <f t="shared" si="14"/>
        <v>29050</v>
      </c>
      <c r="H62" s="422">
        <f t="shared" si="15"/>
        <v>938</v>
      </c>
      <c r="I62" s="167">
        <f t="shared" si="16"/>
        <v>8503</v>
      </c>
      <c r="J62" s="144">
        <v>0</v>
      </c>
      <c r="K62" s="422">
        <f t="shared" si="17"/>
        <v>9000</v>
      </c>
      <c r="L62" s="422">
        <f t="shared" si="18"/>
        <v>1377</v>
      </c>
      <c r="M62" s="422">
        <f t="shared" si="19"/>
        <v>0</v>
      </c>
      <c r="N62" s="167">
        <f t="shared" si="4"/>
        <v>1122</v>
      </c>
      <c r="O62" s="167">
        <f t="shared" si="5"/>
        <v>2744</v>
      </c>
      <c r="P62" s="422">
        <f t="shared" si="6"/>
        <v>0</v>
      </c>
      <c r="Q62" s="167">
        <f t="shared" si="7"/>
        <v>79641</v>
      </c>
      <c r="R62" s="167">
        <f t="shared" si="8"/>
        <v>79641</v>
      </c>
      <c r="S62" s="424">
        <f t="shared" si="20"/>
        <v>1</v>
      </c>
      <c r="T62" s="443">
        <f>VLOOKUP(Capacity_Entsoe_SFS_2015[[#This Row],[Country]],$Z$2:$AF$38,7,0)</f>
        <v>20871</v>
      </c>
      <c r="U62" s="443">
        <f>VLOOKUP(Capacity_Entsoe_SFS_2015[[#This Row],[Country]],$Z$2:$AF$38,4,0)</f>
        <v>59576</v>
      </c>
    </row>
    <row r="63" spans="1:21" x14ac:dyDescent="0.25">
      <c r="A63" s="366" t="str">
        <f t="shared" si="9"/>
        <v>GR</v>
      </c>
      <c r="B63" s="366">
        <f t="shared" ref="B63:C63" si="33">B17</f>
        <v>2015</v>
      </c>
      <c r="C63" s="366" t="str">
        <f t="shared" si="33"/>
        <v>MW</v>
      </c>
      <c r="D63" s="144">
        <f t="shared" si="11"/>
        <v>0</v>
      </c>
      <c r="E63" s="144">
        <f t="shared" si="12"/>
        <v>4456</v>
      </c>
      <c r="F63" s="167">
        <f t="shared" si="13"/>
        <v>0</v>
      </c>
      <c r="G63" s="167">
        <f t="shared" si="14"/>
        <v>4768</v>
      </c>
      <c r="H63" s="422">
        <f t="shared" si="15"/>
        <v>698</v>
      </c>
      <c r="I63" s="167">
        <f t="shared" si="16"/>
        <v>1775</v>
      </c>
      <c r="J63" s="144">
        <v>0</v>
      </c>
      <c r="K63" s="422">
        <f t="shared" si="17"/>
        <v>2444</v>
      </c>
      <c r="L63" s="422">
        <f t="shared" si="18"/>
        <v>52</v>
      </c>
      <c r="M63" s="422">
        <f t="shared" si="19"/>
        <v>0</v>
      </c>
      <c r="N63" s="167">
        <f t="shared" si="4"/>
        <v>224</v>
      </c>
      <c r="O63" s="167">
        <f t="shared" si="5"/>
        <v>3018</v>
      </c>
      <c r="P63" s="422">
        <f t="shared" si="6"/>
        <v>135</v>
      </c>
      <c r="Q63" s="167">
        <f t="shared" si="7"/>
        <v>17570</v>
      </c>
      <c r="R63" s="167">
        <f t="shared" si="8"/>
        <v>17570</v>
      </c>
      <c r="S63" s="424">
        <f t="shared" si="20"/>
        <v>1</v>
      </c>
      <c r="T63" s="443">
        <f>VLOOKUP(Capacity_Entsoe_SFS_2015[[#This Row],[Country]],$Z$2:$AF$38,7,0)</f>
        <v>3599</v>
      </c>
      <c r="U63" s="443">
        <f>VLOOKUP(Capacity_Entsoe_SFS_2015[[#This Row],[Country]],$Z$2:$AF$38,4,0)</f>
        <v>9813</v>
      </c>
    </row>
    <row r="64" spans="1:21" x14ac:dyDescent="0.25">
      <c r="A64" s="366" t="str">
        <f t="shared" si="9"/>
        <v>HR</v>
      </c>
      <c r="B64" s="366">
        <f t="shared" ref="B64:C64" si="34">B18</f>
        <v>2015</v>
      </c>
      <c r="C64" s="366" t="str">
        <f t="shared" si="34"/>
        <v>MW</v>
      </c>
      <c r="D64" s="144">
        <f t="shared" si="11"/>
        <v>0</v>
      </c>
      <c r="E64" s="144">
        <f t="shared" si="12"/>
        <v>0</v>
      </c>
      <c r="F64" s="167">
        <f t="shared" si="13"/>
        <v>325</v>
      </c>
      <c r="G64" s="167">
        <f t="shared" si="14"/>
        <v>496</v>
      </c>
      <c r="H64" s="422">
        <f t="shared" si="15"/>
        <v>949</v>
      </c>
      <c r="I64" s="167">
        <f t="shared" si="16"/>
        <v>384</v>
      </c>
      <c r="J64" s="144">
        <v>0</v>
      </c>
      <c r="K64" s="422">
        <f t="shared" si="17"/>
        <v>44</v>
      </c>
      <c r="L64" s="422">
        <f t="shared" si="18"/>
        <v>26</v>
      </c>
      <c r="M64" s="422">
        <f t="shared" si="19"/>
        <v>42</v>
      </c>
      <c r="N64" s="167">
        <f t="shared" si="4"/>
        <v>2112</v>
      </c>
      <c r="O64" s="167">
        <f t="shared" si="5"/>
        <v>0</v>
      </c>
      <c r="P64" s="422">
        <f t="shared" si="6"/>
        <v>0</v>
      </c>
      <c r="Q64" s="167">
        <f t="shared" si="7"/>
        <v>4378</v>
      </c>
      <c r="R64" s="167">
        <f t="shared" si="8"/>
        <v>4378</v>
      </c>
      <c r="S64" s="424">
        <f t="shared" si="20"/>
        <v>1</v>
      </c>
      <c r="T64" s="443">
        <f>VLOOKUP(Capacity_Entsoe_SFS_2015[[#This Row],[Country]],$Z$2:$AF$38,7,0)</f>
        <v>1160</v>
      </c>
      <c r="U64" s="443">
        <f>VLOOKUP(Capacity_Entsoe_SFS_2015[[#This Row],[Country]],$Z$2:$AF$38,4,0)</f>
        <v>2950</v>
      </c>
    </row>
    <row r="65" spans="1:21" x14ac:dyDescent="0.25">
      <c r="A65" s="366" t="str">
        <f t="shared" si="9"/>
        <v>HU</v>
      </c>
      <c r="B65" s="366">
        <f t="shared" ref="B65:C65" si="35">B19</f>
        <v>2015</v>
      </c>
      <c r="C65" s="366" t="str">
        <f t="shared" si="35"/>
        <v>MW</v>
      </c>
      <c r="D65" s="144">
        <f t="shared" si="11"/>
        <v>1887</v>
      </c>
      <c r="E65" s="144">
        <f t="shared" si="12"/>
        <v>1007</v>
      </c>
      <c r="F65" s="167">
        <f t="shared" si="13"/>
        <v>0</v>
      </c>
      <c r="G65" s="167">
        <f t="shared" si="14"/>
        <v>4124</v>
      </c>
      <c r="H65" s="422">
        <f t="shared" si="15"/>
        <v>410</v>
      </c>
      <c r="I65" s="167">
        <f t="shared" si="16"/>
        <v>328</v>
      </c>
      <c r="J65" s="144">
        <v>0</v>
      </c>
      <c r="K65" s="422">
        <f t="shared" si="17"/>
        <v>29</v>
      </c>
      <c r="L65" s="422">
        <f t="shared" si="18"/>
        <v>246</v>
      </c>
      <c r="M65" s="422">
        <f t="shared" si="19"/>
        <v>0</v>
      </c>
      <c r="N65" s="167">
        <f t="shared" si="4"/>
        <v>57</v>
      </c>
      <c r="O65" s="167">
        <f t="shared" si="5"/>
        <v>0</v>
      </c>
      <c r="P65" s="422">
        <f t="shared" si="6"/>
        <v>88</v>
      </c>
      <c r="Q65" s="167">
        <f t="shared" si="7"/>
        <v>8176</v>
      </c>
      <c r="R65" s="167">
        <f t="shared" si="8"/>
        <v>8176</v>
      </c>
      <c r="S65" s="424">
        <f t="shared" si="20"/>
        <v>1</v>
      </c>
      <c r="T65" s="443">
        <f>VLOOKUP(Capacity_Entsoe_SFS_2015[[#This Row],[Country]],$Z$2:$AF$38,7,0)</f>
        <v>2857</v>
      </c>
      <c r="U65" s="443">
        <f>VLOOKUP(Capacity_Entsoe_SFS_2015[[#This Row],[Country]],$Z$2:$AF$38,4,0)</f>
        <v>6106</v>
      </c>
    </row>
    <row r="66" spans="1:21" x14ac:dyDescent="0.25">
      <c r="A66" s="366" t="str">
        <f t="shared" si="9"/>
        <v>IE</v>
      </c>
      <c r="B66" s="366">
        <f t="shared" ref="B66:C66" si="36">B20</f>
        <v>2015</v>
      </c>
      <c r="C66" s="366" t="str">
        <f t="shared" si="36"/>
        <v>MW</v>
      </c>
      <c r="D66" s="144">
        <f t="shared" si="11"/>
        <v>0</v>
      </c>
      <c r="E66" s="144">
        <f t="shared" si="12"/>
        <v>346</v>
      </c>
      <c r="F66" s="167">
        <f t="shared" si="13"/>
        <v>855</v>
      </c>
      <c r="G66" s="167">
        <f t="shared" si="14"/>
        <v>4270</v>
      </c>
      <c r="H66" s="422">
        <f t="shared" si="15"/>
        <v>938</v>
      </c>
      <c r="I66" s="167">
        <f t="shared" si="16"/>
        <v>2400</v>
      </c>
      <c r="J66" s="144">
        <v>0</v>
      </c>
      <c r="K66" s="422">
        <f t="shared" si="17"/>
        <v>0</v>
      </c>
      <c r="L66" s="422">
        <f t="shared" si="18"/>
        <v>7</v>
      </c>
      <c r="M66" s="422">
        <f t="shared" si="19"/>
        <v>67</v>
      </c>
      <c r="N66" s="167">
        <f t="shared" si="4"/>
        <v>242</v>
      </c>
      <c r="O66" s="167">
        <f t="shared" si="5"/>
        <v>292</v>
      </c>
      <c r="P66" s="422">
        <f t="shared" si="6"/>
        <v>251</v>
      </c>
      <c r="Q66" s="167">
        <f t="shared" si="7"/>
        <v>9668</v>
      </c>
      <c r="R66" s="167">
        <f t="shared" si="8"/>
        <v>9668</v>
      </c>
      <c r="S66" s="424">
        <f t="shared" si="20"/>
        <v>1</v>
      </c>
      <c r="T66" s="443">
        <f>VLOOKUP(Capacity_Entsoe_SFS_2015[[#This Row],[Country]],$Z$2:$AF$38,7,0)</f>
        <v>1804</v>
      </c>
      <c r="U66" s="443">
        <f>VLOOKUP(Capacity_Entsoe_SFS_2015[[#This Row],[Country]],$Z$2:$AF$38,4,0)</f>
        <v>4662</v>
      </c>
    </row>
    <row r="67" spans="1:21" x14ac:dyDescent="0.25">
      <c r="A67" s="366" t="str">
        <f t="shared" si="9"/>
        <v>IS</v>
      </c>
      <c r="B67" s="366">
        <f t="shared" ref="B67:C67" si="37">B21</f>
        <v>2015</v>
      </c>
      <c r="C67" s="366" t="str">
        <f t="shared" si="37"/>
        <v>MW</v>
      </c>
      <c r="D67" s="144">
        <f t="shared" si="11"/>
        <v>0</v>
      </c>
      <c r="E67" s="144">
        <f t="shared" si="12"/>
        <v>0</v>
      </c>
      <c r="F67" s="167">
        <f t="shared" si="13"/>
        <v>0</v>
      </c>
      <c r="G67" s="167">
        <f t="shared" si="14"/>
        <v>0</v>
      </c>
      <c r="H67" s="422">
        <f t="shared" si="15"/>
        <v>11</v>
      </c>
      <c r="I67" s="167">
        <f t="shared" si="16"/>
        <v>2</v>
      </c>
      <c r="J67" s="144">
        <v>0</v>
      </c>
      <c r="K67" s="422">
        <f t="shared" si="17"/>
        <v>0</v>
      </c>
      <c r="L67" s="422">
        <f t="shared" si="18"/>
        <v>0</v>
      </c>
      <c r="M67" s="422">
        <f t="shared" si="19"/>
        <v>661</v>
      </c>
      <c r="N67" s="167">
        <f t="shared" si="4"/>
        <v>1972</v>
      </c>
      <c r="O67" s="167">
        <f t="shared" si="5"/>
        <v>0</v>
      </c>
      <c r="P67" s="422">
        <f t="shared" si="6"/>
        <v>0</v>
      </c>
      <c r="Q67" s="167">
        <f t="shared" si="7"/>
        <v>2646</v>
      </c>
      <c r="R67" s="167">
        <f t="shared" si="8"/>
        <v>2635</v>
      </c>
      <c r="S67" s="424">
        <f t="shared" si="20"/>
        <v>1.0041745730550284</v>
      </c>
      <c r="T67" s="443">
        <f>VLOOKUP(Capacity_Entsoe_SFS_2015[[#This Row],[Country]],$Z$2:$AF$38,7,0)</f>
        <v>1622</v>
      </c>
      <c r="U67" s="443">
        <f>VLOOKUP(Capacity_Entsoe_SFS_2015[[#This Row],[Country]],$Z$2:$AF$38,4,0)</f>
        <v>2327</v>
      </c>
    </row>
    <row r="68" spans="1:21" x14ac:dyDescent="0.25">
      <c r="A68" s="366" t="str">
        <f t="shared" si="9"/>
        <v>IT</v>
      </c>
      <c r="B68" s="366">
        <f t="shared" ref="B68:C68" si="38">B22</f>
        <v>2015</v>
      </c>
      <c r="C68" s="366" t="str">
        <f t="shared" si="38"/>
        <v>MW</v>
      </c>
      <c r="D68" s="144">
        <f t="shared" si="11"/>
        <v>0</v>
      </c>
      <c r="E68" s="144">
        <f t="shared" si="12"/>
        <v>0</v>
      </c>
      <c r="F68" s="167">
        <f t="shared" si="13"/>
        <v>8800</v>
      </c>
      <c r="G68" s="167">
        <f t="shared" si="14"/>
        <v>51500</v>
      </c>
      <c r="H68" s="422">
        <f t="shared" si="15"/>
        <v>9400</v>
      </c>
      <c r="I68" s="167">
        <f t="shared" si="16"/>
        <v>8750</v>
      </c>
      <c r="J68" s="144">
        <v>0</v>
      </c>
      <c r="K68" s="422">
        <f t="shared" si="17"/>
        <v>19100</v>
      </c>
      <c r="L68" s="422">
        <f t="shared" si="18"/>
        <v>3700</v>
      </c>
      <c r="M68" s="422">
        <f t="shared" si="19"/>
        <v>780</v>
      </c>
      <c r="N68" s="167">
        <f t="shared" si="4"/>
        <v>0</v>
      </c>
      <c r="O68" s="167">
        <f t="shared" si="5"/>
        <v>22150</v>
      </c>
      <c r="P68" s="422">
        <f t="shared" si="6"/>
        <v>0</v>
      </c>
      <c r="Q68" s="167">
        <f t="shared" si="7"/>
        <v>124180</v>
      </c>
      <c r="R68" s="167">
        <f t="shared" si="8"/>
        <v>124180</v>
      </c>
      <c r="S68" s="424">
        <f t="shared" si="20"/>
        <v>1</v>
      </c>
      <c r="T68" s="443">
        <f>VLOOKUP(Capacity_Entsoe_SFS_2015[[#This Row],[Country]],$Z$2:$AF$38,7,0)</f>
        <v>18785</v>
      </c>
      <c r="U68" s="443">
        <f>VLOOKUP(Capacity_Entsoe_SFS_2015[[#This Row],[Country]],$Z$2:$AF$38,4,0)</f>
        <v>59648</v>
      </c>
    </row>
    <row r="69" spans="1:21" x14ac:dyDescent="0.25">
      <c r="A69" s="366" t="str">
        <f t="shared" si="9"/>
        <v>LT</v>
      </c>
      <c r="B69" s="366">
        <f t="shared" ref="B69:C69" si="39">B23</f>
        <v>2015</v>
      </c>
      <c r="C69" s="366" t="str">
        <f t="shared" si="39"/>
        <v>MW</v>
      </c>
      <c r="D69" s="144">
        <f t="shared" si="11"/>
        <v>0</v>
      </c>
      <c r="E69" s="144">
        <f t="shared" si="12"/>
        <v>0</v>
      </c>
      <c r="F69" s="167">
        <f t="shared" si="13"/>
        <v>0</v>
      </c>
      <c r="G69" s="167">
        <f t="shared" si="14"/>
        <v>553</v>
      </c>
      <c r="H69" s="422">
        <f t="shared" si="15"/>
        <v>1779</v>
      </c>
      <c r="I69" s="167">
        <f t="shared" si="16"/>
        <v>290</v>
      </c>
      <c r="J69" s="144">
        <v>0</v>
      </c>
      <c r="K69" s="422">
        <f t="shared" si="17"/>
        <v>69</v>
      </c>
      <c r="L69" s="422">
        <f t="shared" si="18"/>
        <v>77</v>
      </c>
      <c r="M69" s="422">
        <f t="shared" si="19"/>
        <v>0</v>
      </c>
      <c r="N69" s="167">
        <f t="shared" si="4"/>
        <v>126</v>
      </c>
      <c r="O69" s="167">
        <f t="shared" si="5"/>
        <v>0</v>
      </c>
      <c r="P69" s="422">
        <f t="shared" si="6"/>
        <v>900</v>
      </c>
      <c r="Q69" s="167">
        <f t="shared" si="7"/>
        <v>3794</v>
      </c>
      <c r="R69" s="167">
        <f t="shared" si="8"/>
        <v>3794</v>
      </c>
      <c r="S69" s="424">
        <f t="shared" si="20"/>
        <v>1</v>
      </c>
      <c r="T69" s="443">
        <f>VLOOKUP(Capacity_Entsoe_SFS_2015[[#This Row],[Country]],$Z$2:$AF$38,7,0)</f>
        <v>784</v>
      </c>
      <c r="U69" s="443">
        <f>VLOOKUP(Capacity_Entsoe_SFS_2015[[#This Row],[Country]],$Z$2:$AF$38,4,0)</f>
        <v>1748</v>
      </c>
    </row>
    <row r="70" spans="1:21" x14ac:dyDescent="0.25">
      <c r="A70" s="366" t="str">
        <f t="shared" si="9"/>
        <v>LU</v>
      </c>
      <c r="B70" s="366">
        <f t="shared" ref="B70:C70" si="40">B24</f>
        <v>2015</v>
      </c>
      <c r="C70" s="366" t="str">
        <f t="shared" si="40"/>
        <v>MW</v>
      </c>
      <c r="D70" s="144">
        <f t="shared" si="11"/>
        <v>0</v>
      </c>
      <c r="E70" s="144">
        <f t="shared" si="12"/>
        <v>0</v>
      </c>
      <c r="F70" s="167">
        <f t="shared" si="13"/>
        <v>0</v>
      </c>
      <c r="G70" s="167">
        <f t="shared" si="14"/>
        <v>495</v>
      </c>
      <c r="H70" s="422">
        <f t="shared" si="15"/>
        <v>0</v>
      </c>
      <c r="I70" s="167">
        <f t="shared" si="16"/>
        <v>60</v>
      </c>
      <c r="J70" s="144">
        <v>0</v>
      </c>
      <c r="K70" s="422">
        <f t="shared" si="17"/>
        <v>116</v>
      </c>
      <c r="L70" s="422">
        <f t="shared" si="18"/>
        <v>11</v>
      </c>
      <c r="M70" s="422">
        <f t="shared" si="19"/>
        <v>0</v>
      </c>
      <c r="N70" s="167">
        <f t="shared" si="4"/>
        <v>44</v>
      </c>
      <c r="O70" s="167">
        <f t="shared" si="5"/>
        <v>1290</v>
      </c>
      <c r="P70" s="422">
        <f t="shared" si="6"/>
        <v>21</v>
      </c>
      <c r="Q70" s="167">
        <f t="shared" si="7"/>
        <v>2037</v>
      </c>
      <c r="R70" s="167">
        <f t="shared" si="8"/>
        <v>2037</v>
      </c>
      <c r="S70" s="424">
        <f t="shared" si="20"/>
        <v>1</v>
      </c>
      <c r="T70" s="443">
        <f>VLOOKUP(Capacity_Entsoe_SFS_2015[[#This Row],[Country]],$Z$2:$AF$38,7,0)</f>
        <v>339</v>
      </c>
      <c r="U70" s="443">
        <f>VLOOKUP(Capacity_Entsoe_SFS_2015[[#This Row],[Country]],$Z$2:$AF$38,4,0)</f>
        <v>1087</v>
      </c>
    </row>
    <row r="71" spans="1:21" x14ac:dyDescent="0.25">
      <c r="A71" s="366" t="str">
        <f t="shared" si="9"/>
        <v>LV</v>
      </c>
      <c r="B71" s="366">
        <f t="shared" ref="B71:C71" si="41">B27</f>
        <v>2015</v>
      </c>
      <c r="C71" s="366" t="str">
        <f t="shared" si="41"/>
        <v>MW</v>
      </c>
      <c r="D71" s="144">
        <f t="shared" si="11"/>
        <v>0</v>
      </c>
      <c r="E71" s="144">
        <f t="shared" si="12"/>
        <v>0</v>
      </c>
      <c r="F71" s="167">
        <f t="shared" si="13"/>
        <v>0</v>
      </c>
      <c r="G71" s="167">
        <f t="shared" si="14"/>
        <v>1031</v>
      </c>
      <c r="H71" s="422">
        <f t="shared" si="15"/>
        <v>113</v>
      </c>
      <c r="I71" s="167">
        <f t="shared" si="16"/>
        <v>70</v>
      </c>
      <c r="J71" s="144">
        <v>0</v>
      </c>
      <c r="K71" s="422">
        <f t="shared" si="17"/>
        <v>0</v>
      </c>
      <c r="L71" s="422">
        <f t="shared" si="18"/>
        <v>113</v>
      </c>
      <c r="M71" s="422">
        <f t="shared" si="19"/>
        <v>0</v>
      </c>
      <c r="N71" s="167">
        <f t="shared" si="4"/>
        <v>1556</v>
      </c>
      <c r="O71" s="167">
        <f t="shared" si="5"/>
        <v>0</v>
      </c>
      <c r="P71" s="422">
        <f t="shared" si="6"/>
        <v>0</v>
      </c>
      <c r="Q71" s="167">
        <f t="shared" si="7"/>
        <v>2883</v>
      </c>
      <c r="R71" s="167">
        <f t="shared" si="8"/>
        <v>2883</v>
      </c>
      <c r="S71" s="424">
        <f t="shared" si="20"/>
        <v>1</v>
      </c>
      <c r="T71" s="443">
        <f>VLOOKUP(Capacity_Entsoe_SFS_2015[[#This Row],[Country]],$Z$2:$AF$38,7,0)</f>
        <v>438</v>
      </c>
      <c r="U71" s="443">
        <f>VLOOKUP(Capacity_Entsoe_SFS_2015[[#This Row],[Country]],$Z$2:$AF$38,4,0)</f>
        <v>1225</v>
      </c>
    </row>
    <row r="72" spans="1:21" x14ac:dyDescent="0.25">
      <c r="A72" s="366" t="str">
        <f t="shared" si="9"/>
        <v>ME</v>
      </c>
      <c r="B72" s="366">
        <f t="shared" ref="B72:C72" si="42">B28</f>
        <v>2015</v>
      </c>
      <c r="C72" s="366" t="str">
        <f t="shared" si="42"/>
        <v>MW</v>
      </c>
      <c r="D72" s="144">
        <f t="shared" si="11"/>
        <v>0</v>
      </c>
      <c r="E72" s="144">
        <f t="shared" si="12"/>
        <v>220</v>
      </c>
      <c r="F72" s="167">
        <f t="shared" si="13"/>
        <v>0</v>
      </c>
      <c r="G72" s="167">
        <f t="shared" si="14"/>
        <v>0</v>
      </c>
      <c r="H72" s="422">
        <f t="shared" si="15"/>
        <v>0</v>
      </c>
      <c r="I72" s="167">
        <f t="shared" si="16"/>
        <v>0</v>
      </c>
      <c r="J72" s="144">
        <v>0</v>
      </c>
      <c r="K72" s="422">
        <f t="shared" si="17"/>
        <v>0</v>
      </c>
      <c r="L72" s="422">
        <f t="shared" si="18"/>
        <v>0</v>
      </c>
      <c r="M72" s="422">
        <f t="shared" si="19"/>
        <v>0</v>
      </c>
      <c r="N72" s="167">
        <f t="shared" si="4"/>
        <v>10</v>
      </c>
      <c r="O72" s="167">
        <f t="shared" si="5"/>
        <v>650</v>
      </c>
      <c r="P72" s="422">
        <f t="shared" si="6"/>
        <v>0</v>
      </c>
      <c r="Q72" s="167">
        <f t="shared" si="7"/>
        <v>880</v>
      </c>
      <c r="R72" s="167">
        <f t="shared" si="8"/>
        <v>880</v>
      </c>
      <c r="S72" s="424">
        <f t="shared" si="20"/>
        <v>1</v>
      </c>
      <c r="T72" s="443">
        <f>VLOOKUP(Capacity_Entsoe_SFS_2015[[#This Row],[Country]],$Z$2:$AF$38,7,0)</f>
        <v>225</v>
      </c>
      <c r="U72" s="443">
        <f>VLOOKUP(Capacity_Entsoe_SFS_2015[[#This Row],[Country]],$Z$2:$AF$38,4,0)</f>
        <v>583</v>
      </c>
    </row>
    <row r="73" spans="1:21" x14ac:dyDescent="0.25">
      <c r="A73" s="366" t="str">
        <f t="shared" si="9"/>
        <v>MK</v>
      </c>
      <c r="B73" s="366">
        <f t="shared" ref="B73:C73" si="43">B29</f>
        <v>2015</v>
      </c>
      <c r="C73" s="366" t="str">
        <f t="shared" si="43"/>
        <v>MW</v>
      </c>
      <c r="D73" s="144">
        <f t="shared" si="11"/>
        <v>0</v>
      </c>
      <c r="E73" s="144">
        <f t="shared" si="12"/>
        <v>718</v>
      </c>
      <c r="F73" s="167">
        <f t="shared" si="13"/>
        <v>0</v>
      </c>
      <c r="G73" s="167">
        <f t="shared" si="14"/>
        <v>250</v>
      </c>
      <c r="H73" s="422">
        <f t="shared" si="15"/>
        <v>189</v>
      </c>
      <c r="I73" s="167">
        <f t="shared" si="16"/>
        <v>36</v>
      </c>
      <c r="J73" s="144">
        <v>0</v>
      </c>
      <c r="K73" s="422">
        <f t="shared" si="17"/>
        <v>0</v>
      </c>
      <c r="L73" s="422">
        <f t="shared" si="18"/>
        <v>0</v>
      </c>
      <c r="M73" s="422">
        <f t="shared" si="19"/>
        <v>0</v>
      </c>
      <c r="N73" s="167">
        <f t="shared" si="4"/>
        <v>0</v>
      </c>
      <c r="O73" s="167">
        <f t="shared" si="5"/>
        <v>539</v>
      </c>
      <c r="P73" s="422">
        <f t="shared" si="6"/>
        <v>0</v>
      </c>
      <c r="Q73" s="167">
        <f t="shared" si="7"/>
        <v>1732</v>
      </c>
      <c r="R73" s="167">
        <f t="shared" si="8"/>
        <v>1732</v>
      </c>
      <c r="S73" s="424">
        <f t="shared" si="20"/>
        <v>1</v>
      </c>
      <c r="T73" s="443">
        <f>VLOOKUP(Capacity_Entsoe_SFS_2015[[#This Row],[Country]],$Z$2:$AF$38,7,0)</f>
        <v>530</v>
      </c>
      <c r="U73" s="443">
        <f>VLOOKUP(Capacity_Entsoe_SFS_2015[[#This Row],[Country]],$Z$2:$AF$38,4,0)</f>
        <v>1439</v>
      </c>
    </row>
    <row r="74" spans="1:21" x14ac:dyDescent="0.25">
      <c r="A74" s="366" t="str">
        <f t="shared" si="9"/>
        <v>NI</v>
      </c>
      <c r="B74" s="366">
        <f t="shared" ref="B74:C74" si="44">B30</f>
        <v>2015</v>
      </c>
      <c r="C74" s="366" t="str">
        <f t="shared" si="44"/>
        <v>MW</v>
      </c>
      <c r="D74" s="144">
        <f t="shared" si="11"/>
        <v>0</v>
      </c>
      <c r="E74" s="144">
        <f t="shared" si="12"/>
        <v>0</v>
      </c>
      <c r="F74" s="167">
        <f t="shared" si="13"/>
        <v>3836</v>
      </c>
      <c r="G74" s="167">
        <f t="shared" si="14"/>
        <v>2064</v>
      </c>
      <c r="H74" s="422">
        <f t="shared" si="15"/>
        <v>4</v>
      </c>
      <c r="I74" s="167">
        <f t="shared" si="16"/>
        <v>1447</v>
      </c>
      <c r="J74" s="144">
        <v>0</v>
      </c>
      <c r="K74" s="422">
        <f t="shared" si="17"/>
        <v>0</v>
      </c>
      <c r="L74" s="422">
        <f t="shared" si="18"/>
        <v>43</v>
      </c>
      <c r="M74" s="422">
        <f t="shared" si="19"/>
        <v>60</v>
      </c>
      <c r="N74" s="167">
        <f t="shared" si="4"/>
        <v>12</v>
      </c>
      <c r="O74" s="167">
        <f t="shared" si="5"/>
        <v>0</v>
      </c>
      <c r="P74" s="422">
        <f t="shared" si="6"/>
        <v>0</v>
      </c>
      <c r="Q74" s="167">
        <f t="shared" si="7"/>
        <v>7466</v>
      </c>
      <c r="R74" s="167">
        <f t="shared" si="8"/>
        <v>7466</v>
      </c>
      <c r="S74" s="424">
        <f t="shared" si="20"/>
        <v>1</v>
      </c>
      <c r="T74" s="443">
        <f>VLOOKUP(Capacity_Entsoe_SFS_2015[[#This Row],[Country]],$Z$2:$AF$38,7,0)</f>
        <v>538</v>
      </c>
      <c r="U74" s="443">
        <f>VLOOKUP(Capacity_Entsoe_SFS_2015[[#This Row],[Country]],$Z$2:$AF$38,4,0)</f>
        <v>1737</v>
      </c>
    </row>
    <row r="75" spans="1:21" x14ac:dyDescent="0.25">
      <c r="A75" s="366" t="str">
        <f t="shared" si="9"/>
        <v>NL</v>
      </c>
      <c r="B75" s="366">
        <f t="shared" ref="B75:C75" si="45">B31</f>
        <v>2015</v>
      </c>
      <c r="C75" s="366" t="str">
        <f t="shared" si="45"/>
        <v>MW</v>
      </c>
      <c r="D75" s="144">
        <f t="shared" si="11"/>
        <v>486</v>
      </c>
      <c r="E75" s="144">
        <f t="shared" si="12"/>
        <v>0</v>
      </c>
      <c r="F75" s="167">
        <f t="shared" si="13"/>
        <v>5658</v>
      </c>
      <c r="G75" s="167">
        <f t="shared" si="14"/>
        <v>19914</v>
      </c>
      <c r="H75" s="422">
        <f t="shared" si="15"/>
        <v>0</v>
      </c>
      <c r="I75" s="167">
        <f t="shared" si="16"/>
        <v>3641</v>
      </c>
      <c r="J75" s="144">
        <v>0</v>
      </c>
      <c r="K75" s="422">
        <f t="shared" si="17"/>
        <v>1429</v>
      </c>
      <c r="L75" s="422">
        <f t="shared" si="18"/>
        <v>398</v>
      </c>
      <c r="M75" s="422">
        <f t="shared" si="19"/>
        <v>0</v>
      </c>
      <c r="N75" s="167">
        <f t="shared" si="4"/>
        <v>38</v>
      </c>
      <c r="O75" s="167">
        <f t="shared" si="5"/>
        <v>0</v>
      </c>
      <c r="P75" s="422">
        <f t="shared" si="6"/>
        <v>674</v>
      </c>
      <c r="Q75" s="167">
        <f t="shared" si="7"/>
        <v>32238</v>
      </c>
      <c r="R75" s="167">
        <f t="shared" si="8"/>
        <v>32238</v>
      </c>
      <c r="S75" s="424">
        <f t="shared" si="20"/>
        <v>1</v>
      </c>
      <c r="T75" s="443">
        <f>VLOOKUP(Capacity_Entsoe_SFS_2015[[#This Row],[Country]],$Z$2:$AF$38,7,0)</f>
        <v>8892</v>
      </c>
      <c r="U75" s="443">
        <f>VLOOKUP(Capacity_Entsoe_SFS_2015[[#This Row],[Country]],$Z$2:$AF$38,4,0)</f>
        <v>17761</v>
      </c>
    </row>
    <row r="76" spans="1:21" x14ac:dyDescent="0.25">
      <c r="A76" s="366" t="str">
        <f t="shared" si="9"/>
        <v>NO</v>
      </c>
      <c r="B76" s="366">
        <f t="shared" ref="B76:C76" si="46">B32</f>
        <v>2015</v>
      </c>
      <c r="C76" s="366" t="str">
        <f t="shared" si="46"/>
        <v>MW</v>
      </c>
      <c r="D76" s="144">
        <f t="shared" si="11"/>
        <v>0</v>
      </c>
      <c r="E76" s="144">
        <f t="shared" si="12"/>
        <v>0</v>
      </c>
      <c r="F76" s="167">
        <f t="shared" si="13"/>
        <v>0</v>
      </c>
      <c r="G76" s="167">
        <f t="shared" si="14"/>
        <v>1600</v>
      </c>
      <c r="H76" s="422">
        <f t="shared" si="15"/>
        <v>0</v>
      </c>
      <c r="I76" s="167">
        <f t="shared" si="16"/>
        <v>860</v>
      </c>
      <c r="J76" s="144">
        <v>0</v>
      </c>
      <c r="K76" s="422">
        <f t="shared" si="17"/>
        <v>0</v>
      </c>
      <c r="L76" s="422">
        <f t="shared" si="18"/>
        <v>32</v>
      </c>
      <c r="M76" s="422">
        <f t="shared" si="19"/>
        <v>0</v>
      </c>
      <c r="N76" s="167">
        <f t="shared" si="4"/>
        <v>31200</v>
      </c>
      <c r="O76" s="167">
        <f t="shared" si="5"/>
        <v>0</v>
      </c>
      <c r="P76" s="422">
        <f t="shared" si="6"/>
        <v>0</v>
      </c>
      <c r="Q76" s="167">
        <f t="shared" si="7"/>
        <v>33692</v>
      </c>
      <c r="R76" s="167">
        <f t="shared" si="8"/>
        <v>33692</v>
      </c>
      <c r="S76" s="424">
        <f t="shared" si="20"/>
        <v>1</v>
      </c>
      <c r="T76" s="443">
        <f>VLOOKUP(Capacity_Entsoe_SFS_2015[[#This Row],[Country]],$Z$2:$AF$38,7,0)</f>
        <v>9527</v>
      </c>
      <c r="U76" s="443">
        <f>VLOOKUP(Capacity_Entsoe_SFS_2015[[#This Row],[Country]],$Z$2:$AF$38,4,0)</f>
        <v>22530</v>
      </c>
    </row>
    <row r="77" spans="1:21" x14ac:dyDescent="0.25">
      <c r="A77" s="366" t="str">
        <f t="shared" si="9"/>
        <v>PL</v>
      </c>
      <c r="B77" s="366">
        <f t="shared" ref="B77:C77" si="47">B34</f>
        <v>2015</v>
      </c>
      <c r="C77" s="366" t="str">
        <f t="shared" si="47"/>
        <v>MW</v>
      </c>
      <c r="D77" s="144">
        <f t="shared" si="11"/>
        <v>0</v>
      </c>
      <c r="E77" s="144">
        <f t="shared" si="12"/>
        <v>8525</v>
      </c>
      <c r="F77" s="167">
        <f t="shared" si="13"/>
        <v>17016</v>
      </c>
      <c r="G77" s="167">
        <f t="shared" si="14"/>
        <v>1354</v>
      </c>
      <c r="H77" s="422">
        <f t="shared" si="15"/>
        <v>2337</v>
      </c>
      <c r="I77" s="167">
        <f t="shared" si="16"/>
        <v>5186</v>
      </c>
      <c r="J77" s="144">
        <v>0</v>
      </c>
      <c r="K77" s="422">
        <f t="shared" si="17"/>
        <v>87</v>
      </c>
      <c r="L77" s="422">
        <f t="shared" si="18"/>
        <v>612</v>
      </c>
      <c r="M77" s="422">
        <f t="shared" si="19"/>
        <v>202</v>
      </c>
      <c r="N77" s="167">
        <f t="shared" si="4"/>
        <v>942</v>
      </c>
      <c r="O77" s="167">
        <f t="shared" si="5"/>
        <v>1413</v>
      </c>
      <c r="P77" s="422">
        <f t="shared" si="6"/>
        <v>0</v>
      </c>
      <c r="Q77" s="167">
        <f t="shared" si="7"/>
        <v>37674</v>
      </c>
      <c r="R77" s="167">
        <f t="shared" si="8"/>
        <v>37674</v>
      </c>
      <c r="S77" s="424">
        <f t="shared" si="20"/>
        <v>1</v>
      </c>
      <c r="T77" s="443">
        <f>VLOOKUP(Capacity_Entsoe_SFS_2015[[#This Row],[Country]],$Z$2:$AF$38,7,0)</f>
        <v>10143</v>
      </c>
      <c r="U77" s="443">
        <f>VLOOKUP(Capacity_Entsoe_SFS_2015[[#This Row],[Country]],$Z$2:$AF$38,4,0)</f>
        <v>23069</v>
      </c>
    </row>
    <row r="78" spans="1:21" x14ac:dyDescent="0.25">
      <c r="A78" s="366" t="str">
        <f t="shared" si="9"/>
        <v>PT</v>
      </c>
      <c r="B78" s="366">
        <f t="shared" ref="B78:C78" si="48">B35</f>
        <v>2015</v>
      </c>
      <c r="C78" s="366" t="str">
        <f t="shared" si="48"/>
        <v>MW</v>
      </c>
      <c r="D78" s="144">
        <f t="shared" si="11"/>
        <v>0</v>
      </c>
      <c r="E78" s="144">
        <f t="shared" si="12"/>
        <v>0</v>
      </c>
      <c r="F78" s="167">
        <f t="shared" si="13"/>
        <v>1756</v>
      </c>
      <c r="G78" s="167">
        <f t="shared" si="14"/>
        <v>4698</v>
      </c>
      <c r="H78" s="422">
        <f t="shared" si="15"/>
        <v>65</v>
      </c>
      <c r="I78" s="167">
        <f t="shared" si="16"/>
        <v>4826</v>
      </c>
      <c r="J78" s="144">
        <v>0</v>
      </c>
      <c r="K78" s="422">
        <f t="shared" si="17"/>
        <v>429</v>
      </c>
      <c r="L78" s="422">
        <f t="shared" si="18"/>
        <v>613</v>
      </c>
      <c r="M78" s="422">
        <f t="shared" si="19"/>
        <v>0</v>
      </c>
      <c r="N78" s="167">
        <f t="shared" si="4"/>
        <v>6146</v>
      </c>
      <c r="O78" s="167">
        <f t="shared" si="5"/>
        <v>0</v>
      </c>
      <c r="P78" s="422">
        <f t="shared" si="6"/>
        <v>0</v>
      </c>
      <c r="Q78" s="167">
        <f t="shared" si="7"/>
        <v>18533</v>
      </c>
      <c r="R78" s="167">
        <f t="shared" si="8"/>
        <v>18533</v>
      </c>
      <c r="S78" s="424">
        <f t="shared" si="20"/>
        <v>1</v>
      </c>
      <c r="T78" s="443">
        <f>VLOOKUP(Capacity_Entsoe_SFS_2015[[#This Row],[Country]],$Z$2:$AF$38,7,0)</f>
        <v>3419</v>
      </c>
      <c r="U78" s="443">
        <f>VLOOKUP(Capacity_Entsoe_SFS_2015[[#This Row],[Country]],$Z$2:$AF$38,4,0)</f>
        <v>8618</v>
      </c>
    </row>
    <row r="79" spans="1:21" x14ac:dyDescent="0.25">
      <c r="A79" s="366" t="str">
        <f t="shared" si="9"/>
        <v>RO</v>
      </c>
      <c r="B79" s="366">
        <f t="shared" ref="B79:C79" si="49">B36</f>
        <v>2015</v>
      </c>
      <c r="C79" s="366" t="str">
        <f t="shared" si="49"/>
        <v>MW</v>
      </c>
      <c r="D79" s="144">
        <f t="shared" si="11"/>
        <v>1300</v>
      </c>
      <c r="E79" s="144">
        <f t="shared" si="12"/>
        <v>3777</v>
      </c>
      <c r="F79" s="167">
        <f t="shared" si="13"/>
        <v>1148</v>
      </c>
      <c r="G79" s="167">
        <f t="shared" si="14"/>
        <v>1850</v>
      </c>
      <c r="H79" s="422">
        <f t="shared" si="15"/>
        <v>1721</v>
      </c>
      <c r="I79" s="167">
        <f t="shared" si="16"/>
        <v>2923</v>
      </c>
      <c r="J79" s="144">
        <v>0</v>
      </c>
      <c r="K79" s="422">
        <f t="shared" si="17"/>
        <v>1249</v>
      </c>
      <c r="L79" s="422">
        <f t="shared" si="18"/>
        <v>112</v>
      </c>
      <c r="M79" s="422">
        <f t="shared" si="19"/>
        <v>0</v>
      </c>
      <c r="N79" s="167">
        <f t="shared" si="4"/>
        <v>6339</v>
      </c>
      <c r="O79" s="167">
        <f t="shared" si="5"/>
        <v>0</v>
      </c>
      <c r="P79" s="422">
        <f t="shared" si="6"/>
        <v>0</v>
      </c>
      <c r="Q79" s="167">
        <f t="shared" si="7"/>
        <v>20419</v>
      </c>
      <c r="R79" s="167">
        <f t="shared" si="8"/>
        <v>20420</v>
      </c>
      <c r="S79" s="424">
        <f t="shared" si="20"/>
        <v>0.99995102840352601</v>
      </c>
      <c r="T79" s="443">
        <f>VLOOKUP(Capacity_Entsoe_SFS_2015[[#This Row],[Country]],$Z$2:$AF$38,7,0)</f>
        <v>3799</v>
      </c>
      <c r="U79" s="443">
        <f>VLOOKUP(Capacity_Entsoe_SFS_2015[[#This Row],[Country]],$Z$2:$AF$38,4,0)</f>
        <v>8488</v>
      </c>
    </row>
    <row r="80" spans="1:21" x14ac:dyDescent="0.25">
      <c r="A80" s="366" t="str">
        <f t="shared" si="9"/>
        <v>RS</v>
      </c>
      <c r="B80" s="366">
        <f>B3</f>
        <v>2015</v>
      </c>
      <c r="C80" s="366" t="str">
        <f>C3</f>
        <v>MW</v>
      </c>
      <c r="D80" s="144">
        <f t="shared" si="11"/>
        <v>0</v>
      </c>
      <c r="E80" s="144">
        <f t="shared" si="12"/>
        <v>5238</v>
      </c>
      <c r="F80" s="167">
        <f t="shared" si="13"/>
        <v>0</v>
      </c>
      <c r="G80" s="167">
        <f t="shared" si="14"/>
        <v>311</v>
      </c>
      <c r="H80" s="422">
        <f t="shared" si="15"/>
        <v>0</v>
      </c>
      <c r="I80" s="167">
        <f t="shared" si="16"/>
        <v>0</v>
      </c>
      <c r="J80" s="144">
        <v>0</v>
      </c>
      <c r="K80" s="422">
        <f t="shared" si="17"/>
        <v>0</v>
      </c>
      <c r="L80" s="422">
        <f t="shared" si="18"/>
        <v>0</v>
      </c>
      <c r="M80" s="422">
        <f t="shared" si="19"/>
        <v>0</v>
      </c>
      <c r="N80" s="167">
        <f t="shared" si="4"/>
        <v>2389</v>
      </c>
      <c r="O80" s="167">
        <f t="shared" si="5"/>
        <v>620</v>
      </c>
      <c r="P80" s="422">
        <f t="shared" si="6"/>
        <v>0</v>
      </c>
      <c r="Q80" s="167">
        <f t="shared" si="7"/>
        <v>8558</v>
      </c>
      <c r="R80" s="167">
        <f t="shared" si="8"/>
        <v>8558</v>
      </c>
      <c r="S80" s="424">
        <f>Q80/R80</f>
        <v>1</v>
      </c>
      <c r="T80" s="443">
        <f>VLOOKUP(Capacity_Entsoe_SFS_2015[[#This Row],[Country]],$Z$2:$AF$38,7,0)</f>
        <v>2486</v>
      </c>
      <c r="U80" s="443">
        <f>VLOOKUP(Capacity_Entsoe_SFS_2015[[#This Row],[Country]],$Z$2:$AF$38,4,0)</f>
        <v>6879</v>
      </c>
    </row>
    <row r="81" spans="1:21" x14ac:dyDescent="0.25">
      <c r="A81" s="366" t="str">
        <f t="shared" si="9"/>
        <v>SE</v>
      </c>
      <c r="B81" s="366">
        <f t="shared" ref="B81:C82" si="50">B25</f>
        <v>2015</v>
      </c>
      <c r="C81" s="366" t="str">
        <f t="shared" si="50"/>
        <v>MW</v>
      </c>
      <c r="D81" s="144">
        <f t="shared" si="11"/>
        <v>9714</v>
      </c>
      <c r="E81" s="144">
        <f t="shared" si="12"/>
        <v>0</v>
      </c>
      <c r="F81" s="167">
        <f t="shared" si="13"/>
        <v>225</v>
      </c>
      <c r="G81" s="167">
        <f t="shared" si="14"/>
        <v>879</v>
      </c>
      <c r="H81" s="422">
        <f t="shared" si="15"/>
        <v>3397</v>
      </c>
      <c r="I81" s="167">
        <f t="shared" si="16"/>
        <v>6029</v>
      </c>
      <c r="J81" s="144">
        <v>0</v>
      </c>
      <c r="K81" s="422">
        <f t="shared" si="17"/>
        <v>104</v>
      </c>
      <c r="L81" s="422">
        <f t="shared" si="18"/>
        <v>2978</v>
      </c>
      <c r="M81" s="422">
        <f t="shared" si="19"/>
        <v>441</v>
      </c>
      <c r="N81" s="167">
        <f t="shared" si="4"/>
        <v>16184</v>
      </c>
      <c r="O81" s="167">
        <f t="shared" si="5"/>
        <v>0</v>
      </c>
      <c r="P81" s="422">
        <f t="shared" si="6"/>
        <v>0</v>
      </c>
      <c r="Q81" s="167">
        <f t="shared" si="7"/>
        <v>39951</v>
      </c>
      <c r="R81" s="167">
        <f t="shared" si="8"/>
        <v>39951</v>
      </c>
      <c r="S81" s="424">
        <f>Q81/R81</f>
        <v>1</v>
      </c>
      <c r="T81" s="443">
        <f>VLOOKUP(Capacity_Entsoe_SFS_2015[[#This Row],[Country]],$Z$2:$AF$38,7,0)</f>
        <v>9242</v>
      </c>
      <c r="U81" s="443">
        <f>VLOOKUP(Capacity_Entsoe_SFS_2015[[#This Row],[Country]],$Z$2:$AF$38,4,0)</f>
        <v>23395</v>
      </c>
    </row>
    <row r="82" spans="1:21" x14ac:dyDescent="0.25">
      <c r="A82" s="366" t="str">
        <f t="shared" si="9"/>
        <v>SI</v>
      </c>
      <c r="B82" s="366">
        <f t="shared" si="50"/>
        <v>2015</v>
      </c>
      <c r="C82" s="366" t="str">
        <f t="shared" si="50"/>
        <v>MW</v>
      </c>
      <c r="D82" s="144">
        <f t="shared" si="11"/>
        <v>696</v>
      </c>
      <c r="E82" s="144">
        <f t="shared" si="12"/>
        <v>921</v>
      </c>
      <c r="F82" s="167">
        <f t="shared" si="13"/>
        <v>0</v>
      </c>
      <c r="G82" s="167">
        <f t="shared" si="14"/>
        <v>549</v>
      </c>
      <c r="H82" s="422">
        <f t="shared" si="15"/>
        <v>0</v>
      </c>
      <c r="I82" s="167">
        <f t="shared" si="16"/>
        <v>3</v>
      </c>
      <c r="J82" s="144">
        <v>0</v>
      </c>
      <c r="K82" s="422">
        <f t="shared" si="17"/>
        <v>263</v>
      </c>
      <c r="L82" s="422">
        <f t="shared" si="18"/>
        <v>17</v>
      </c>
      <c r="M82" s="422">
        <f t="shared" si="19"/>
        <v>0</v>
      </c>
      <c r="N82" s="167">
        <f t="shared" si="4"/>
        <v>1053</v>
      </c>
      <c r="O82" s="167">
        <f t="shared" si="5"/>
        <v>180</v>
      </c>
      <c r="P82" s="422">
        <f t="shared" si="6"/>
        <v>40</v>
      </c>
      <c r="Q82" s="167">
        <f t="shared" si="7"/>
        <v>3722</v>
      </c>
      <c r="R82" s="167">
        <f t="shared" si="8"/>
        <v>3722</v>
      </c>
      <c r="S82" s="424">
        <f>Q82/R82</f>
        <v>1</v>
      </c>
      <c r="T82" s="443">
        <f>VLOOKUP(Capacity_Entsoe_SFS_2015[[#This Row],[Country]],$Z$2:$AF$38,7,0)</f>
        <v>960</v>
      </c>
      <c r="U82" s="443">
        <f>VLOOKUP(Capacity_Entsoe_SFS_2015[[#This Row],[Country]],$Z$2:$AF$38,4,0)</f>
        <v>2086</v>
      </c>
    </row>
    <row r="83" spans="1:21" x14ac:dyDescent="0.25">
      <c r="A83" s="366" t="str">
        <f t="shared" si="9"/>
        <v>SK</v>
      </c>
      <c r="B83" s="366">
        <f>B33</f>
        <v>2015</v>
      </c>
      <c r="C83" s="366" t="str">
        <f>C33</f>
        <v>MW</v>
      </c>
      <c r="D83" s="144">
        <f t="shared" si="11"/>
        <v>1940</v>
      </c>
      <c r="E83" s="144">
        <f t="shared" si="12"/>
        <v>568</v>
      </c>
      <c r="F83" s="167">
        <f t="shared" si="13"/>
        <v>440</v>
      </c>
      <c r="G83" s="167">
        <f t="shared" si="14"/>
        <v>1093</v>
      </c>
      <c r="H83" s="422">
        <f t="shared" si="15"/>
        <v>617</v>
      </c>
      <c r="I83" s="167">
        <f t="shared" si="16"/>
        <v>3</v>
      </c>
      <c r="J83" s="144">
        <v>0</v>
      </c>
      <c r="K83" s="422">
        <f t="shared" si="17"/>
        <v>532</v>
      </c>
      <c r="L83" s="422">
        <f t="shared" si="18"/>
        <v>259</v>
      </c>
      <c r="M83" s="422">
        <f t="shared" si="19"/>
        <v>110</v>
      </c>
      <c r="N83" s="167">
        <f t="shared" si="4"/>
        <v>1617</v>
      </c>
      <c r="O83" s="167">
        <f t="shared" si="5"/>
        <v>916</v>
      </c>
      <c r="P83" s="422">
        <f t="shared" si="6"/>
        <v>0</v>
      </c>
      <c r="Q83" s="167">
        <f t="shared" si="7"/>
        <v>8095</v>
      </c>
      <c r="R83" s="167">
        <f t="shared" si="8"/>
        <v>8095</v>
      </c>
      <c r="S83" s="424">
        <f>Q83/R83</f>
        <v>1</v>
      </c>
      <c r="T83" s="443">
        <f>VLOOKUP(Capacity_Entsoe_SFS_2015[[#This Row],[Country]],$Z$2:$AF$38,7,0)</f>
        <v>2231</v>
      </c>
      <c r="U83" s="443">
        <f>VLOOKUP(Capacity_Entsoe_SFS_2015[[#This Row],[Country]],$Z$2:$AF$38,4,0)</f>
        <v>4145</v>
      </c>
    </row>
    <row r="84" spans="1:21" x14ac:dyDescent="0.25">
      <c r="A84" s="366" t="str">
        <f t="shared" si="9"/>
        <v>ENTSO-E</v>
      </c>
      <c r="B84" s="520">
        <f>B37</f>
        <v>2015</v>
      </c>
      <c r="C84" s="520" t="str">
        <f>C37</f>
        <v>MW</v>
      </c>
      <c r="D84" s="144">
        <f t="shared" si="11"/>
        <v>124551</v>
      </c>
      <c r="E84" s="144">
        <f t="shared" si="12"/>
        <v>62991</v>
      </c>
      <c r="F84" s="167">
        <f t="shared" si="13"/>
        <v>108450</v>
      </c>
      <c r="G84" s="167">
        <f t="shared" si="14"/>
        <v>217324</v>
      </c>
      <c r="H84" s="422">
        <f t="shared" si="15"/>
        <v>51762</v>
      </c>
      <c r="I84" s="167">
        <f t="shared" si="16"/>
        <v>136071</v>
      </c>
      <c r="J84" s="144">
        <v>0</v>
      </c>
      <c r="K84" s="422">
        <f t="shared" si="17"/>
        <v>94582</v>
      </c>
      <c r="L84" s="422">
        <f t="shared" si="18"/>
        <v>25383</v>
      </c>
      <c r="M84" s="422">
        <f t="shared" si="19"/>
        <v>2922</v>
      </c>
      <c r="N84" s="167">
        <f t="shared" si="4"/>
        <v>151575</v>
      </c>
      <c r="O84" s="167">
        <f t="shared" si="5"/>
        <v>50598</v>
      </c>
      <c r="P84" s="422">
        <f t="shared" si="6"/>
        <v>3503</v>
      </c>
      <c r="Q84" s="521">
        <f t="shared" si="7"/>
        <v>1029712</v>
      </c>
      <c r="R84" s="167">
        <f t="shared" si="8"/>
        <v>1029700</v>
      </c>
      <c r="S84" s="519">
        <f>Q84/R84</f>
        <v>1.0000116538797708</v>
      </c>
      <c r="T84" s="521">
        <f>VLOOKUP(Capacity_Entsoe_SFS_2015[[#This Row],[Country]],$Z$2:$AF$38,7,0)</f>
        <v>240673</v>
      </c>
      <c r="U84" s="521">
        <f>VLOOKUP(Capacity_Entsoe_SFS_2015[[#This Row],[Country]],$Z$2:$AF$38,4,0)</f>
        <v>528093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A1:AI35"/>
  <sheetViews>
    <sheetView zoomScale="70" zoomScaleNormal="70" workbookViewId="0">
      <selection activeCell="N48" sqref="N48"/>
    </sheetView>
  </sheetViews>
  <sheetFormatPr baseColWidth="10" defaultRowHeight="15" x14ac:dyDescent="0.25"/>
  <cols>
    <col min="1" max="1" width="8.5703125" bestFit="1" customWidth="1"/>
    <col min="2" max="2" width="5" bestFit="1" customWidth="1"/>
    <col min="3" max="3" width="19" bestFit="1" customWidth="1"/>
    <col min="4" max="4" width="6.5703125" bestFit="1" customWidth="1"/>
    <col min="5" max="5" width="6.7109375" bestFit="1" customWidth="1"/>
    <col min="6" max="6" width="12" bestFit="1" customWidth="1"/>
    <col min="7" max="7" width="11.140625" bestFit="1" customWidth="1"/>
    <col min="8" max="8" width="15.85546875" bestFit="1" customWidth="1"/>
    <col min="9" max="9" width="23" bestFit="1" customWidth="1"/>
    <col min="10" max="10" width="28.28515625" bestFit="1" customWidth="1"/>
    <col min="11" max="11" width="19.7109375" bestFit="1" customWidth="1"/>
    <col min="12" max="12" width="7.85546875" bestFit="1" customWidth="1"/>
    <col min="13" max="14" width="19.28515625" bestFit="1" customWidth="1"/>
    <col min="15" max="15" width="11" bestFit="1" customWidth="1"/>
    <col min="16" max="16" width="11.85546875" bestFit="1" customWidth="1"/>
    <col min="17" max="17" width="12" bestFit="1" customWidth="1"/>
    <col min="18" max="18" width="17.42578125" bestFit="1" customWidth="1"/>
    <col min="19" max="19" width="15.85546875" bestFit="1" customWidth="1"/>
    <col min="20" max="20" width="11" bestFit="1" customWidth="1"/>
    <col min="21" max="21" width="15.28515625" bestFit="1" customWidth="1"/>
    <col min="22" max="22" width="12" bestFit="1" customWidth="1"/>
    <col min="23" max="23" width="16.42578125" bestFit="1" customWidth="1"/>
    <col min="24" max="24" width="10" bestFit="1" customWidth="1"/>
    <col min="25" max="25" width="12.28515625" bestFit="1" customWidth="1"/>
    <col min="26" max="26" width="4.28515625" bestFit="1" customWidth="1"/>
    <col min="27" max="27" width="20.5703125" bestFit="1" customWidth="1"/>
    <col min="28" max="28" width="14.7109375" bestFit="1" customWidth="1"/>
    <col min="29" max="29" width="21.85546875" bestFit="1" customWidth="1"/>
    <col min="30" max="30" width="17.5703125" bestFit="1" customWidth="1"/>
    <col min="31" max="31" width="21.85546875" bestFit="1" customWidth="1"/>
    <col min="32" max="32" width="10.5703125" bestFit="1" customWidth="1"/>
    <col min="33" max="33" width="12" bestFit="1" customWidth="1"/>
    <col min="34" max="34" width="13.85546875" bestFit="1" customWidth="1"/>
    <col min="35" max="35" width="13.5703125" bestFit="1" customWidth="1"/>
  </cols>
  <sheetData>
    <row r="1" spans="1:35" s="23" customFormat="1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47</v>
      </c>
      <c r="F1" s="23" t="s">
        <v>66</v>
      </c>
      <c r="G1" s="23" t="s">
        <v>67</v>
      </c>
      <c r="H1" s="23" t="s">
        <v>68</v>
      </c>
      <c r="I1" s="23" t="s">
        <v>69</v>
      </c>
      <c r="J1" s="23" t="s">
        <v>70</v>
      </c>
      <c r="K1" s="23" t="s">
        <v>71</v>
      </c>
      <c r="L1" s="23" t="s">
        <v>72</v>
      </c>
      <c r="M1" s="23" t="s">
        <v>73</v>
      </c>
      <c r="N1" s="23" t="s">
        <v>74</v>
      </c>
      <c r="O1" s="23" t="s">
        <v>75</v>
      </c>
      <c r="P1" s="23" t="s">
        <v>76</v>
      </c>
      <c r="Q1" s="23" t="s">
        <v>77</v>
      </c>
      <c r="R1" s="23" t="s">
        <v>78</v>
      </c>
      <c r="S1" s="23" t="s">
        <v>79</v>
      </c>
      <c r="T1" s="23" t="s">
        <v>80</v>
      </c>
      <c r="U1" s="23" t="s">
        <v>81</v>
      </c>
      <c r="V1" s="23" t="s">
        <v>82</v>
      </c>
      <c r="W1" s="23" t="s">
        <v>83</v>
      </c>
      <c r="X1" s="23" t="s">
        <v>84</v>
      </c>
      <c r="Y1" s="23" t="s">
        <v>85</v>
      </c>
      <c r="Z1" s="23" t="s">
        <v>86</v>
      </c>
      <c r="AA1" s="23" t="s">
        <v>87</v>
      </c>
      <c r="AB1" s="23" t="s">
        <v>88</v>
      </c>
      <c r="AC1" s="23" t="s">
        <v>89</v>
      </c>
      <c r="AD1" s="23" t="s">
        <v>90</v>
      </c>
      <c r="AE1" s="23" t="s">
        <v>91</v>
      </c>
      <c r="AF1" s="23" t="s">
        <v>92</v>
      </c>
      <c r="AG1" s="23" t="s">
        <v>93</v>
      </c>
      <c r="AH1" s="23" t="s">
        <v>42</v>
      </c>
      <c r="AI1" s="23" t="s">
        <v>43</v>
      </c>
    </row>
    <row r="2" spans="1:35" x14ac:dyDescent="0.25">
      <c r="A2">
        <v>4712</v>
      </c>
      <c r="B2">
        <v>2017</v>
      </c>
      <c r="C2" t="s">
        <v>98</v>
      </c>
      <c r="F2">
        <v>28</v>
      </c>
      <c r="O2">
        <v>97</v>
      </c>
      <c r="R2">
        <v>30000</v>
      </c>
      <c r="V2">
        <v>322.60000000000002</v>
      </c>
      <c r="X2">
        <v>234.65</v>
      </c>
      <c r="AG2">
        <v>1732.5660499999999</v>
      </c>
      <c r="AI2">
        <v>0</v>
      </c>
    </row>
    <row r="3" spans="1:35" x14ac:dyDescent="0.25">
      <c r="A3">
        <v>4712</v>
      </c>
      <c r="B3">
        <v>2017</v>
      </c>
      <c r="C3" t="s">
        <v>99</v>
      </c>
      <c r="F3">
        <v>863.9</v>
      </c>
      <c r="G3">
        <v>0</v>
      </c>
      <c r="H3">
        <v>-30000</v>
      </c>
      <c r="I3">
        <v>69</v>
      </c>
      <c r="J3">
        <v>-69</v>
      </c>
      <c r="O3">
        <v>2149</v>
      </c>
      <c r="R3">
        <v>30000</v>
      </c>
      <c r="T3">
        <v>1346</v>
      </c>
      <c r="U3">
        <v>616</v>
      </c>
      <c r="V3">
        <v>1734</v>
      </c>
      <c r="W3">
        <v>109</v>
      </c>
      <c r="X3">
        <v>6</v>
      </c>
      <c r="Y3">
        <v>1200</v>
      </c>
      <c r="AB3">
        <v>-608</v>
      </c>
      <c r="AD3">
        <v>-291.5</v>
      </c>
      <c r="AE3">
        <v>270.66667000000001</v>
      </c>
      <c r="AG3">
        <v>16021</v>
      </c>
      <c r="AI3">
        <v>2844</v>
      </c>
    </row>
    <row r="4" spans="1:35" x14ac:dyDescent="0.25">
      <c r="A4">
        <v>4712</v>
      </c>
      <c r="B4">
        <v>2017</v>
      </c>
      <c r="C4" t="s">
        <v>100</v>
      </c>
      <c r="F4">
        <v>1.4545454550000001</v>
      </c>
      <c r="G4">
        <v>3260.4</v>
      </c>
      <c r="R4">
        <v>30000</v>
      </c>
      <c r="V4">
        <v>447.1</v>
      </c>
      <c r="Y4">
        <v>6.0606060609999997</v>
      </c>
      <c r="AF4">
        <v>978.15800000000002</v>
      </c>
      <c r="AG4">
        <v>3930.3343420000001</v>
      </c>
      <c r="AI4">
        <v>215.01818180000001</v>
      </c>
    </row>
    <row r="5" spans="1:35" x14ac:dyDescent="0.25">
      <c r="A5">
        <v>4712</v>
      </c>
      <c r="B5">
        <v>2017</v>
      </c>
      <c r="C5" t="s">
        <v>101</v>
      </c>
      <c r="F5">
        <v>900</v>
      </c>
      <c r="H5">
        <v>-20000</v>
      </c>
      <c r="I5">
        <v>0</v>
      </c>
      <c r="J5">
        <v>0</v>
      </c>
      <c r="O5">
        <v>3778</v>
      </c>
      <c r="Q5">
        <v>5918</v>
      </c>
      <c r="R5">
        <v>30000</v>
      </c>
      <c r="T5">
        <v>1822</v>
      </c>
      <c r="V5">
        <v>1102.5</v>
      </c>
      <c r="W5">
        <v>0</v>
      </c>
      <c r="X5">
        <v>210</v>
      </c>
      <c r="Y5">
        <v>3303</v>
      </c>
      <c r="AD5">
        <v>0</v>
      </c>
      <c r="AE5">
        <v>0</v>
      </c>
      <c r="AG5">
        <v>1307</v>
      </c>
      <c r="AH5">
        <v>877</v>
      </c>
      <c r="AI5">
        <v>1966</v>
      </c>
    </row>
    <row r="6" spans="1:35" x14ac:dyDescent="0.25">
      <c r="A6">
        <v>4712</v>
      </c>
      <c r="B6">
        <v>2017</v>
      </c>
      <c r="C6" t="s">
        <v>102</v>
      </c>
      <c r="F6">
        <v>153</v>
      </c>
      <c r="G6">
        <v>3472.05</v>
      </c>
      <c r="O6">
        <v>332.5</v>
      </c>
      <c r="Q6">
        <v>1906</v>
      </c>
      <c r="R6">
        <v>30000</v>
      </c>
      <c r="T6">
        <v>224.333</v>
      </c>
      <c r="U6">
        <v>237.5</v>
      </c>
      <c r="V6">
        <v>1409.5</v>
      </c>
      <c r="Y6">
        <v>1305</v>
      </c>
      <c r="AF6">
        <v>1351.375</v>
      </c>
      <c r="AG6">
        <v>2705.1959000000002</v>
      </c>
      <c r="AI6">
        <v>1095</v>
      </c>
    </row>
    <row r="7" spans="1:35" x14ac:dyDescent="0.25">
      <c r="A7">
        <v>4712</v>
      </c>
      <c r="B7">
        <v>2017</v>
      </c>
      <c r="C7" t="s">
        <v>103</v>
      </c>
      <c r="F7">
        <v>258</v>
      </c>
      <c r="H7">
        <v>-30000</v>
      </c>
      <c r="O7">
        <v>1739</v>
      </c>
      <c r="Q7">
        <v>2855</v>
      </c>
      <c r="R7">
        <v>30000</v>
      </c>
      <c r="T7">
        <v>37</v>
      </c>
      <c r="V7">
        <v>1776.2</v>
      </c>
      <c r="X7">
        <v>0</v>
      </c>
      <c r="Y7">
        <v>1679</v>
      </c>
      <c r="AG7">
        <v>15994</v>
      </c>
      <c r="AI7">
        <v>97</v>
      </c>
    </row>
    <row r="8" spans="1:35" x14ac:dyDescent="0.25">
      <c r="A8">
        <v>4712</v>
      </c>
      <c r="B8">
        <v>2017</v>
      </c>
      <c r="C8" t="s">
        <v>104</v>
      </c>
      <c r="F8">
        <v>800</v>
      </c>
      <c r="G8">
        <v>8601</v>
      </c>
      <c r="H8">
        <v>-30000</v>
      </c>
      <c r="O8">
        <v>827</v>
      </c>
      <c r="Q8">
        <v>4064</v>
      </c>
      <c r="R8">
        <v>30000</v>
      </c>
      <c r="T8">
        <v>194</v>
      </c>
      <c r="U8">
        <v>275</v>
      </c>
      <c r="V8">
        <v>2048.9</v>
      </c>
      <c r="Y8">
        <v>2040</v>
      </c>
      <c r="AF8">
        <v>1120</v>
      </c>
      <c r="AG8">
        <v>1615</v>
      </c>
      <c r="AI8">
        <v>308</v>
      </c>
    </row>
    <row r="9" spans="1:35" x14ac:dyDescent="0.25">
      <c r="A9">
        <v>4712</v>
      </c>
      <c r="B9">
        <v>2017</v>
      </c>
      <c r="C9" t="s">
        <v>105</v>
      </c>
      <c r="D9">
        <v>27</v>
      </c>
      <c r="F9">
        <v>8000</v>
      </c>
      <c r="G9">
        <v>19268.400000000001</v>
      </c>
      <c r="I9">
        <v>833</v>
      </c>
      <c r="J9">
        <v>-833</v>
      </c>
      <c r="M9">
        <v>-12</v>
      </c>
      <c r="N9">
        <v>-110</v>
      </c>
      <c r="O9">
        <v>11900</v>
      </c>
      <c r="P9">
        <v>37</v>
      </c>
      <c r="Q9">
        <v>10398</v>
      </c>
      <c r="R9">
        <v>30000</v>
      </c>
      <c r="S9">
        <v>823</v>
      </c>
      <c r="T9">
        <v>13956</v>
      </c>
      <c r="U9">
        <v>5597.5</v>
      </c>
      <c r="V9">
        <v>9100</v>
      </c>
      <c r="W9">
        <v>0</v>
      </c>
      <c r="X9">
        <v>3891</v>
      </c>
      <c r="Y9">
        <v>41999</v>
      </c>
      <c r="Z9">
        <v>-25</v>
      </c>
      <c r="AA9">
        <v>-7157</v>
      </c>
      <c r="AC9">
        <v>-50632</v>
      </c>
      <c r="AD9">
        <v>-3457</v>
      </c>
      <c r="AE9">
        <v>0</v>
      </c>
      <c r="AF9">
        <v>18038</v>
      </c>
      <c r="AG9">
        <v>10629</v>
      </c>
      <c r="AH9">
        <v>5771</v>
      </c>
      <c r="AI9">
        <v>52341</v>
      </c>
    </row>
    <row r="10" spans="1:35" x14ac:dyDescent="0.25">
      <c r="A10">
        <v>4712</v>
      </c>
      <c r="B10">
        <v>2017</v>
      </c>
      <c r="C10" t="s">
        <v>106</v>
      </c>
      <c r="F10">
        <v>1972</v>
      </c>
      <c r="H10">
        <v>-60000</v>
      </c>
      <c r="M10">
        <v>0</v>
      </c>
      <c r="N10">
        <v>0</v>
      </c>
      <c r="O10">
        <v>2003.3567</v>
      </c>
      <c r="R10">
        <v>60000</v>
      </c>
      <c r="T10">
        <v>1806.62725</v>
      </c>
      <c r="U10">
        <v>2832.6435000000001</v>
      </c>
      <c r="V10">
        <v>1409.2</v>
      </c>
      <c r="X10">
        <v>642.66399999999999</v>
      </c>
      <c r="Y10">
        <v>543.75</v>
      </c>
      <c r="AF10">
        <v>563.27499999999998</v>
      </c>
      <c r="AH10">
        <v>1560</v>
      </c>
      <c r="AI10">
        <v>3492</v>
      </c>
    </row>
    <row r="11" spans="1:35" x14ac:dyDescent="0.25">
      <c r="A11">
        <v>4712</v>
      </c>
      <c r="B11">
        <v>2017</v>
      </c>
      <c r="C11" t="s">
        <v>107</v>
      </c>
      <c r="F11">
        <v>1149</v>
      </c>
      <c r="G11">
        <v>1055.77</v>
      </c>
      <c r="H11">
        <v>-10000</v>
      </c>
      <c r="O11">
        <v>28105.161700000001</v>
      </c>
      <c r="Q11">
        <v>7116</v>
      </c>
      <c r="R11">
        <v>30000</v>
      </c>
      <c r="T11">
        <v>7684.8644000000004</v>
      </c>
      <c r="U11">
        <v>53.2</v>
      </c>
      <c r="V11">
        <v>10073.9</v>
      </c>
      <c r="X11">
        <v>662.10725000000002</v>
      </c>
      <c r="Y11">
        <v>5108</v>
      </c>
      <c r="AF11">
        <v>6196.4</v>
      </c>
      <c r="AG11">
        <v>18668.149799999999</v>
      </c>
      <c r="AI11">
        <v>23281</v>
      </c>
    </row>
    <row r="12" spans="1:35" x14ac:dyDescent="0.25">
      <c r="A12">
        <v>4712</v>
      </c>
      <c r="B12">
        <v>2017</v>
      </c>
      <c r="C12" t="s">
        <v>108</v>
      </c>
      <c r="G12">
        <v>1194.8150000000001</v>
      </c>
      <c r="H12">
        <v>-30000</v>
      </c>
      <c r="O12">
        <v>1049.2249999999999</v>
      </c>
      <c r="Q12">
        <v>4296</v>
      </c>
      <c r="R12">
        <v>30000</v>
      </c>
      <c r="T12">
        <v>1999.7072499999999</v>
      </c>
      <c r="U12">
        <v>1685.35175</v>
      </c>
      <c r="V12">
        <v>3211</v>
      </c>
      <c r="X12">
        <v>747.45</v>
      </c>
      <c r="AF12">
        <v>1916.454</v>
      </c>
      <c r="AG12">
        <v>3033.7802000000001</v>
      </c>
      <c r="AH12">
        <v>0</v>
      </c>
      <c r="AI12">
        <v>1030</v>
      </c>
    </row>
    <row r="13" spans="1:35" x14ac:dyDescent="0.25">
      <c r="A13">
        <v>4712</v>
      </c>
      <c r="B13">
        <v>2017</v>
      </c>
      <c r="C13" t="s">
        <v>109</v>
      </c>
      <c r="F13">
        <v>1873</v>
      </c>
      <c r="H13">
        <v>-30000</v>
      </c>
      <c r="K13">
        <v>352</v>
      </c>
      <c r="O13">
        <v>10517</v>
      </c>
      <c r="Q13">
        <v>60920</v>
      </c>
      <c r="R13">
        <v>45000</v>
      </c>
      <c r="T13">
        <v>2696</v>
      </c>
      <c r="U13">
        <v>415</v>
      </c>
      <c r="V13">
        <v>17344.599999999999</v>
      </c>
      <c r="W13">
        <v>1094</v>
      </c>
      <c r="X13">
        <v>1155</v>
      </c>
      <c r="Y13">
        <v>8024</v>
      </c>
      <c r="AF13">
        <v>2899</v>
      </c>
      <c r="AG13">
        <v>25333</v>
      </c>
      <c r="AH13">
        <v>0</v>
      </c>
      <c r="AI13">
        <v>12109</v>
      </c>
    </row>
    <row r="14" spans="1:35" x14ac:dyDescent="0.25">
      <c r="A14">
        <v>4712</v>
      </c>
      <c r="B14">
        <v>2017</v>
      </c>
      <c r="C14" t="s">
        <v>110</v>
      </c>
      <c r="F14">
        <v>4487</v>
      </c>
      <c r="O14">
        <v>41126.180399999997</v>
      </c>
      <c r="Q14">
        <v>8883</v>
      </c>
      <c r="R14">
        <v>45000</v>
      </c>
      <c r="T14">
        <v>4856.1934000000001</v>
      </c>
      <c r="U14">
        <v>249.755</v>
      </c>
      <c r="X14">
        <v>911.71</v>
      </c>
      <c r="Y14">
        <v>12263.747499999999</v>
      </c>
      <c r="AF14">
        <v>15521</v>
      </c>
      <c r="AG14">
        <v>4558.3971000000001</v>
      </c>
      <c r="AH14">
        <v>5731.8</v>
      </c>
      <c r="AI14">
        <v>11412.7317</v>
      </c>
    </row>
    <row r="15" spans="1:35" x14ac:dyDescent="0.25">
      <c r="A15">
        <v>4712</v>
      </c>
      <c r="B15">
        <v>2017</v>
      </c>
      <c r="C15" t="s">
        <v>111</v>
      </c>
      <c r="F15">
        <v>180</v>
      </c>
      <c r="G15">
        <v>4632.6750000000002</v>
      </c>
      <c r="H15">
        <v>-30000</v>
      </c>
      <c r="O15">
        <v>3882.7354999999998</v>
      </c>
      <c r="R15">
        <v>30000</v>
      </c>
      <c r="T15">
        <v>1261.4039</v>
      </c>
      <c r="V15">
        <v>2326.8000000000002</v>
      </c>
      <c r="X15">
        <v>1498.7789</v>
      </c>
      <c r="Y15">
        <v>2717</v>
      </c>
      <c r="AG15">
        <v>3176.8114</v>
      </c>
      <c r="AH15">
        <v>100</v>
      </c>
      <c r="AI15">
        <v>5430</v>
      </c>
    </row>
    <row r="16" spans="1:35" x14ac:dyDescent="0.25">
      <c r="A16">
        <v>4712</v>
      </c>
      <c r="B16">
        <v>2017</v>
      </c>
      <c r="C16" t="s">
        <v>112</v>
      </c>
      <c r="F16">
        <v>103.32727269999999</v>
      </c>
      <c r="O16">
        <v>952.85</v>
      </c>
      <c r="R16">
        <v>30000</v>
      </c>
      <c r="T16">
        <v>585.20000000000005</v>
      </c>
      <c r="V16">
        <v>668.9</v>
      </c>
      <c r="X16">
        <v>399</v>
      </c>
      <c r="Y16">
        <v>36.363636360000001</v>
      </c>
      <c r="AF16">
        <v>334.875</v>
      </c>
      <c r="AG16">
        <v>2018.1258499999999</v>
      </c>
      <c r="AI16">
        <v>338.95454549999999</v>
      </c>
    </row>
    <row r="17" spans="1:35" x14ac:dyDescent="0.25">
      <c r="A17">
        <v>4712</v>
      </c>
      <c r="B17">
        <v>2017</v>
      </c>
      <c r="C17" t="s">
        <v>113</v>
      </c>
      <c r="F17">
        <v>380.8</v>
      </c>
      <c r="G17">
        <v>884</v>
      </c>
      <c r="H17">
        <v>-30000</v>
      </c>
      <c r="O17">
        <v>3931.3649999999998</v>
      </c>
      <c r="Q17">
        <v>1900</v>
      </c>
      <c r="R17">
        <v>30000</v>
      </c>
      <c r="T17">
        <v>279</v>
      </c>
      <c r="V17">
        <v>1300.0999999999999</v>
      </c>
      <c r="X17">
        <v>165.6344</v>
      </c>
      <c r="Y17">
        <v>594</v>
      </c>
      <c r="AF17">
        <v>102</v>
      </c>
      <c r="AG17">
        <v>51</v>
      </c>
      <c r="AI17">
        <v>330</v>
      </c>
    </row>
    <row r="18" spans="1:35" x14ac:dyDescent="0.25">
      <c r="A18">
        <v>4712</v>
      </c>
      <c r="B18">
        <v>2017</v>
      </c>
      <c r="C18" t="s">
        <v>114</v>
      </c>
      <c r="O18">
        <v>13000</v>
      </c>
    </row>
    <row r="19" spans="1:35" x14ac:dyDescent="0.25">
      <c r="A19">
        <v>4712</v>
      </c>
      <c r="B19">
        <v>2017</v>
      </c>
      <c r="C19" t="s">
        <v>115</v>
      </c>
      <c r="F19">
        <v>4663.7388763099998</v>
      </c>
      <c r="O19">
        <v>46107.813999999998</v>
      </c>
      <c r="R19">
        <v>180000</v>
      </c>
      <c r="V19">
        <v>69059.399999999994</v>
      </c>
      <c r="X19">
        <v>1448.6</v>
      </c>
      <c r="Y19">
        <v>21526</v>
      </c>
      <c r="AF19">
        <v>7266</v>
      </c>
      <c r="AG19">
        <v>22176</v>
      </c>
      <c r="AI19">
        <v>9457.0300000000007</v>
      </c>
    </row>
    <row r="20" spans="1:35" x14ac:dyDescent="0.25">
      <c r="A20">
        <v>4712</v>
      </c>
      <c r="B20">
        <v>2017</v>
      </c>
      <c r="C20" t="s">
        <v>116</v>
      </c>
      <c r="H20">
        <v>-30000</v>
      </c>
      <c r="R20">
        <v>30000</v>
      </c>
      <c r="T20">
        <v>1554</v>
      </c>
      <c r="V20">
        <v>60</v>
      </c>
      <c r="AG20">
        <v>1250</v>
      </c>
      <c r="AI20">
        <v>600</v>
      </c>
    </row>
    <row r="21" spans="1:35" x14ac:dyDescent="0.25">
      <c r="A21">
        <v>4712</v>
      </c>
      <c r="B21">
        <v>2017</v>
      </c>
      <c r="C21" t="s">
        <v>117</v>
      </c>
      <c r="F21">
        <v>10</v>
      </c>
      <c r="O21">
        <v>365.75</v>
      </c>
      <c r="Y21">
        <v>93</v>
      </c>
      <c r="AG21">
        <v>1286.04475</v>
      </c>
      <c r="AI21">
        <v>74</v>
      </c>
    </row>
    <row r="22" spans="1:35" x14ac:dyDescent="0.25">
      <c r="A22">
        <v>4712</v>
      </c>
      <c r="B22">
        <v>2017</v>
      </c>
      <c r="C22" t="s">
        <v>118</v>
      </c>
      <c r="F22">
        <v>14.69090909</v>
      </c>
      <c r="G22">
        <v>220</v>
      </c>
      <c r="H22">
        <v>-30000</v>
      </c>
      <c r="R22">
        <v>30000</v>
      </c>
      <c r="V22">
        <v>158.9</v>
      </c>
      <c r="Y22">
        <v>10.3030303</v>
      </c>
      <c r="AG22">
        <v>829.92</v>
      </c>
      <c r="AI22">
        <v>126.54545450000001</v>
      </c>
    </row>
    <row r="23" spans="1:35" x14ac:dyDescent="0.25">
      <c r="A23">
        <v>4712</v>
      </c>
      <c r="B23">
        <v>2017</v>
      </c>
      <c r="C23" t="s">
        <v>119</v>
      </c>
      <c r="F23">
        <v>9.1666666669999994</v>
      </c>
      <c r="G23">
        <v>1034</v>
      </c>
      <c r="H23">
        <v>-30000</v>
      </c>
      <c r="O23">
        <v>490</v>
      </c>
      <c r="R23">
        <v>30000</v>
      </c>
      <c r="S23">
        <v>250</v>
      </c>
      <c r="V23">
        <v>364.4</v>
      </c>
      <c r="Y23">
        <v>7</v>
      </c>
      <c r="AG23">
        <v>614.60799999999995</v>
      </c>
      <c r="AI23">
        <v>63</v>
      </c>
    </row>
    <row r="24" spans="1:35" x14ac:dyDescent="0.25">
      <c r="A24">
        <v>4712</v>
      </c>
      <c r="B24">
        <v>2017</v>
      </c>
      <c r="C24" t="s">
        <v>120</v>
      </c>
      <c r="F24">
        <v>1100</v>
      </c>
      <c r="M24">
        <v>-0.37</v>
      </c>
      <c r="N24">
        <v>-6.94</v>
      </c>
      <c r="O24">
        <v>6367</v>
      </c>
      <c r="Q24">
        <v>490</v>
      </c>
      <c r="T24">
        <v>7087.0576000000001</v>
      </c>
      <c r="V24">
        <v>3061.2</v>
      </c>
      <c r="W24">
        <v>200</v>
      </c>
      <c r="X24">
        <v>144</v>
      </c>
      <c r="Y24">
        <v>2640</v>
      </c>
      <c r="AD24">
        <v>-350</v>
      </c>
      <c r="AE24">
        <v>150</v>
      </c>
      <c r="AF24">
        <v>4645</v>
      </c>
      <c r="AG24">
        <v>38</v>
      </c>
      <c r="AH24">
        <v>1464</v>
      </c>
      <c r="AI24">
        <v>3750</v>
      </c>
    </row>
    <row r="25" spans="1:35" x14ac:dyDescent="0.25">
      <c r="A25">
        <v>4712</v>
      </c>
      <c r="B25">
        <v>2017</v>
      </c>
      <c r="C25" t="s">
        <v>121</v>
      </c>
      <c r="F25">
        <v>231.9735</v>
      </c>
      <c r="H25">
        <v>-150000</v>
      </c>
      <c r="M25">
        <v>0</v>
      </c>
      <c r="N25">
        <v>0</v>
      </c>
      <c r="O25">
        <v>1228</v>
      </c>
      <c r="R25">
        <v>150000</v>
      </c>
      <c r="T25">
        <v>350.26499999999999</v>
      </c>
      <c r="V25">
        <v>5355.8</v>
      </c>
      <c r="X25">
        <v>62.034999999999997</v>
      </c>
      <c r="Y25">
        <v>0.18333333299999999</v>
      </c>
      <c r="AF25">
        <v>213</v>
      </c>
      <c r="AG25">
        <v>29848.169406289999</v>
      </c>
      <c r="AH25">
        <v>0</v>
      </c>
      <c r="AI25">
        <v>1983</v>
      </c>
    </row>
    <row r="26" spans="1:35" x14ac:dyDescent="0.25">
      <c r="A26">
        <v>4712</v>
      </c>
      <c r="B26">
        <v>2017</v>
      </c>
      <c r="C26" t="s">
        <v>122</v>
      </c>
      <c r="E26">
        <v>300</v>
      </c>
      <c r="F26">
        <v>1325</v>
      </c>
      <c r="G26">
        <v>9315</v>
      </c>
      <c r="H26">
        <v>-30000</v>
      </c>
      <c r="R26">
        <v>30000</v>
      </c>
      <c r="T26">
        <v>1832.7</v>
      </c>
      <c r="U26">
        <v>6936.9260000000004</v>
      </c>
      <c r="V26">
        <v>4937.3999999999996</v>
      </c>
      <c r="Y26">
        <v>281</v>
      </c>
      <c r="AF26">
        <v>16013.5</v>
      </c>
      <c r="AG26">
        <v>2337.5</v>
      </c>
      <c r="AH26">
        <v>0</v>
      </c>
      <c r="AI26">
        <v>5850</v>
      </c>
    </row>
    <row r="27" spans="1:35" x14ac:dyDescent="0.25">
      <c r="A27">
        <v>4712</v>
      </c>
      <c r="B27">
        <v>2017</v>
      </c>
      <c r="C27" t="s">
        <v>123</v>
      </c>
      <c r="F27">
        <v>613</v>
      </c>
      <c r="H27">
        <v>-5000</v>
      </c>
      <c r="O27">
        <v>4151.6000000000004</v>
      </c>
      <c r="R27">
        <v>30000</v>
      </c>
      <c r="T27">
        <v>1058.3042</v>
      </c>
      <c r="V27">
        <v>2262.4</v>
      </c>
      <c r="X27">
        <v>75.521199999999993</v>
      </c>
      <c r="Y27">
        <v>617</v>
      </c>
      <c r="AF27">
        <v>1765.2</v>
      </c>
      <c r="AG27">
        <v>5566.1221999999998</v>
      </c>
      <c r="AH27">
        <v>40</v>
      </c>
      <c r="AI27">
        <v>6040</v>
      </c>
    </row>
    <row r="28" spans="1:35" x14ac:dyDescent="0.25">
      <c r="A28">
        <v>4712</v>
      </c>
      <c r="B28">
        <v>2017</v>
      </c>
      <c r="C28" t="s">
        <v>124</v>
      </c>
      <c r="F28">
        <v>695.29541719999997</v>
      </c>
      <c r="G28">
        <v>3321.2</v>
      </c>
      <c r="H28">
        <v>-5000</v>
      </c>
      <c r="O28">
        <v>1938</v>
      </c>
      <c r="Q28">
        <v>1368</v>
      </c>
      <c r="R28">
        <v>30000</v>
      </c>
      <c r="S28">
        <v>1553.25</v>
      </c>
      <c r="T28">
        <v>1228.825</v>
      </c>
      <c r="U28">
        <v>20</v>
      </c>
      <c r="V28">
        <v>1941.4</v>
      </c>
      <c r="Y28">
        <v>418</v>
      </c>
      <c r="AF28">
        <v>959.5</v>
      </c>
      <c r="AG28">
        <v>6194.8646500000004</v>
      </c>
      <c r="AI28">
        <v>3125</v>
      </c>
    </row>
    <row r="29" spans="1:35" x14ac:dyDescent="0.25">
      <c r="A29">
        <v>4712</v>
      </c>
      <c r="B29">
        <v>2017</v>
      </c>
      <c r="C29" t="s">
        <v>125</v>
      </c>
      <c r="F29">
        <v>10</v>
      </c>
      <c r="G29">
        <v>4884.75</v>
      </c>
      <c r="H29">
        <v>-30000</v>
      </c>
      <c r="R29">
        <v>30000</v>
      </c>
      <c r="T29">
        <v>232.75</v>
      </c>
      <c r="V29">
        <v>1596</v>
      </c>
      <c r="AF29">
        <v>99</v>
      </c>
      <c r="AG29">
        <v>2068.0796999999998</v>
      </c>
      <c r="AI29">
        <v>300</v>
      </c>
    </row>
    <row r="30" spans="1:35" x14ac:dyDescent="0.25">
      <c r="A30">
        <v>4712</v>
      </c>
      <c r="B30">
        <v>2017</v>
      </c>
      <c r="C30" t="s">
        <v>126</v>
      </c>
      <c r="F30">
        <v>3108</v>
      </c>
      <c r="H30">
        <v>-120000</v>
      </c>
      <c r="M30">
        <v>0</v>
      </c>
      <c r="N30">
        <v>0</v>
      </c>
      <c r="Q30">
        <v>8995</v>
      </c>
      <c r="R30">
        <v>120000</v>
      </c>
      <c r="T30">
        <v>1453.5669499999999</v>
      </c>
      <c r="U30">
        <v>73.900000000000006</v>
      </c>
      <c r="V30">
        <v>6209.2</v>
      </c>
      <c r="X30">
        <v>1825</v>
      </c>
      <c r="Y30">
        <v>475.5</v>
      </c>
      <c r="AG30">
        <v>16450.993549999999</v>
      </c>
      <c r="AH30">
        <v>100</v>
      </c>
      <c r="AI30">
        <v>6695.7499999989996</v>
      </c>
    </row>
    <row r="31" spans="1:35" x14ac:dyDescent="0.25">
      <c r="A31">
        <v>4712</v>
      </c>
      <c r="B31">
        <v>2017</v>
      </c>
      <c r="C31" t="s">
        <v>127</v>
      </c>
      <c r="F31">
        <v>93</v>
      </c>
      <c r="G31">
        <v>589</v>
      </c>
      <c r="H31">
        <v>-30000</v>
      </c>
      <c r="O31">
        <v>302.10000000000002</v>
      </c>
      <c r="Q31">
        <v>671.65</v>
      </c>
      <c r="R31">
        <v>30000</v>
      </c>
      <c r="T31">
        <v>71.772499999999994</v>
      </c>
      <c r="U31">
        <v>225</v>
      </c>
      <c r="V31">
        <v>560.6</v>
      </c>
      <c r="AG31">
        <v>1027.5066999999999</v>
      </c>
      <c r="AI31">
        <v>60</v>
      </c>
    </row>
    <row r="32" spans="1:35" x14ac:dyDescent="0.25">
      <c r="A32">
        <v>4712</v>
      </c>
      <c r="B32">
        <v>2017</v>
      </c>
      <c r="C32" t="s">
        <v>128</v>
      </c>
      <c r="G32">
        <v>600.495</v>
      </c>
      <c r="H32">
        <v>-30000</v>
      </c>
      <c r="O32">
        <v>2744.55</v>
      </c>
      <c r="Q32">
        <v>1654</v>
      </c>
      <c r="R32">
        <v>30000</v>
      </c>
      <c r="T32">
        <v>319.76620000000003</v>
      </c>
      <c r="U32">
        <v>52.25</v>
      </c>
      <c r="V32">
        <v>922.8</v>
      </c>
      <c r="AF32">
        <v>684</v>
      </c>
      <c r="AG32">
        <v>2881.4535500000002</v>
      </c>
    </row>
    <row r="33" spans="1:24" x14ac:dyDescent="0.25">
      <c r="A33">
        <v>4712</v>
      </c>
      <c r="B33">
        <v>2017</v>
      </c>
      <c r="C33" t="s">
        <v>129</v>
      </c>
      <c r="X33">
        <v>15000</v>
      </c>
    </row>
    <row r="34" spans="1:24" x14ac:dyDescent="0.25">
      <c r="A34">
        <v>4712</v>
      </c>
      <c r="B34">
        <v>2017</v>
      </c>
      <c r="C34" t="s">
        <v>130</v>
      </c>
      <c r="Q34">
        <v>15000</v>
      </c>
    </row>
    <row r="35" spans="1:24" x14ac:dyDescent="0.25">
      <c r="A35">
        <v>4712</v>
      </c>
      <c r="B35">
        <v>2017</v>
      </c>
      <c r="C35" t="s">
        <v>131</v>
      </c>
      <c r="L35">
        <v>11750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theme="8"/>
  </sheetPr>
  <dimension ref="A1:AQ85"/>
  <sheetViews>
    <sheetView topLeftCell="A43" zoomScale="70" zoomScaleNormal="70" workbookViewId="0">
      <selection activeCell="N48" sqref="N48"/>
    </sheetView>
  </sheetViews>
  <sheetFormatPr baseColWidth="10" defaultColWidth="8" defaultRowHeight="12" x14ac:dyDescent="0.25"/>
  <cols>
    <col min="1" max="1" width="9" style="144" customWidth="1"/>
    <col min="2" max="2" width="10.7109375" style="144" bestFit="1" customWidth="1"/>
    <col min="3" max="3" width="6" style="144" customWidth="1"/>
    <col min="4" max="4" width="12.140625" style="144" bestFit="1" customWidth="1"/>
    <col min="5" max="5" width="8.28515625" style="144" customWidth="1"/>
    <col min="6" max="6" width="10.7109375" style="144" customWidth="1"/>
    <col min="7" max="7" width="13.28515625" style="144" customWidth="1"/>
    <col min="8" max="8" width="17" style="144" customWidth="1"/>
    <col min="9" max="9" width="14.28515625" style="144" customWidth="1"/>
    <col min="10" max="10" width="14.42578125" style="144" customWidth="1"/>
    <col min="11" max="11" width="9.5703125" style="144" customWidth="1"/>
    <col min="12" max="13" width="11.140625" style="144" customWidth="1"/>
    <col min="14" max="14" width="20.5703125" style="144" customWidth="1"/>
    <col min="15" max="15" width="16.85546875" style="144" customWidth="1"/>
    <col min="16" max="16" width="14.7109375" style="144" customWidth="1"/>
    <col min="17" max="17" width="17" style="144" customWidth="1"/>
    <col min="18" max="18" width="16.5703125" style="144" customWidth="1"/>
    <col min="19" max="19" width="17.42578125" style="144" customWidth="1"/>
    <col min="20" max="20" width="9.85546875" style="144" bestFit="1" customWidth="1"/>
    <col min="21" max="21" width="6.42578125" style="144" bestFit="1" customWidth="1"/>
    <col min="22" max="22" width="7.42578125" style="144" bestFit="1" customWidth="1"/>
    <col min="23" max="23" width="6.42578125" style="144" bestFit="1" customWidth="1"/>
    <col min="24" max="24" width="5.42578125" style="144" bestFit="1" customWidth="1"/>
    <col min="25" max="25" width="6.42578125" style="144" bestFit="1" customWidth="1"/>
    <col min="26" max="28" width="5.42578125" style="144" bestFit="1" customWidth="1"/>
    <col min="29" max="29" width="7.42578125" style="144" bestFit="1" customWidth="1"/>
    <col min="30" max="30" width="7.7109375" style="144" bestFit="1" customWidth="1"/>
    <col min="31" max="31" width="14.5703125" style="144" bestFit="1" customWidth="1"/>
    <col min="32" max="32" width="10" style="144" bestFit="1" customWidth="1"/>
    <col min="33" max="34" width="5.42578125" style="144" bestFit="1" customWidth="1"/>
    <col min="35" max="35" width="8.85546875" style="144" bestFit="1" customWidth="1"/>
    <col min="36" max="16384" width="8" style="144"/>
  </cols>
  <sheetData>
    <row r="1" spans="1:43" ht="50.25" x14ac:dyDescent="0.2">
      <c r="A1" s="95">
        <v>2016</v>
      </c>
      <c r="B1" s="95"/>
      <c r="C1" s="95"/>
      <c r="D1" s="96" t="s">
        <v>320</v>
      </c>
      <c r="E1" s="97" t="s">
        <v>321</v>
      </c>
      <c r="F1" s="97" t="s">
        <v>322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323</v>
      </c>
      <c r="Q1" s="99" t="s">
        <v>324</v>
      </c>
      <c r="R1" s="99" t="s">
        <v>325</v>
      </c>
      <c r="S1" s="99" t="s">
        <v>326</v>
      </c>
      <c r="T1" s="100" t="s">
        <v>327</v>
      </c>
      <c r="U1" s="101" t="s">
        <v>328</v>
      </c>
      <c r="V1" s="101" t="s">
        <v>329</v>
      </c>
      <c r="W1" s="101" t="s">
        <v>330</v>
      </c>
      <c r="X1" s="101" t="s">
        <v>331</v>
      </c>
      <c r="Y1" s="101" t="s">
        <v>332</v>
      </c>
      <c r="Z1" s="101" t="s">
        <v>333</v>
      </c>
      <c r="AA1" s="101" t="s">
        <v>334</v>
      </c>
      <c r="AB1" s="101" t="s">
        <v>335</v>
      </c>
      <c r="AC1" s="101" t="s">
        <v>336</v>
      </c>
      <c r="AD1" s="101" t="s">
        <v>337</v>
      </c>
      <c r="AE1" s="101" t="s">
        <v>338</v>
      </c>
      <c r="AF1" s="101" t="s">
        <v>339</v>
      </c>
      <c r="AG1" s="101" t="s">
        <v>340</v>
      </c>
      <c r="AH1" s="101" t="s">
        <v>341</v>
      </c>
      <c r="AI1" s="102" t="s">
        <v>319</v>
      </c>
      <c r="AJ1" s="107"/>
    </row>
    <row r="2" spans="1:43" ht="36" x14ac:dyDescent="0.2">
      <c r="A2" s="280"/>
      <c r="B2" s="324"/>
      <c r="C2" s="324"/>
      <c r="D2" s="281" t="s">
        <v>342</v>
      </c>
      <c r="E2" s="282" t="s">
        <v>343</v>
      </c>
      <c r="F2" s="282" t="s">
        <v>343</v>
      </c>
      <c r="G2" s="282" t="s">
        <v>343</v>
      </c>
      <c r="H2" s="282" t="s">
        <v>343</v>
      </c>
      <c r="I2" s="282" t="s">
        <v>343</v>
      </c>
      <c r="J2" s="282" t="s">
        <v>343</v>
      </c>
      <c r="K2" s="282" t="s">
        <v>343</v>
      </c>
      <c r="L2" s="282" t="s">
        <v>343</v>
      </c>
      <c r="M2" s="282" t="s">
        <v>343</v>
      </c>
      <c r="N2" s="282" t="s">
        <v>343</v>
      </c>
      <c r="O2" s="282" t="s">
        <v>343</v>
      </c>
      <c r="P2" s="282" t="s">
        <v>343</v>
      </c>
      <c r="Q2" s="282" t="s">
        <v>343</v>
      </c>
      <c r="R2" s="283" t="s">
        <v>343</v>
      </c>
      <c r="S2" s="283" t="s">
        <v>343</v>
      </c>
      <c r="T2" s="284" t="s">
        <v>342</v>
      </c>
      <c r="U2" s="285" t="s">
        <v>343</v>
      </c>
      <c r="V2" s="285" t="s">
        <v>343</v>
      </c>
      <c r="W2" s="285" t="s">
        <v>343</v>
      </c>
      <c r="X2" s="286" t="s">
        <v>343</v>
      </c>
      <c r="Y2" s="285" t="s">
        <v>343</v>
      </c>
      <c r="Z2" s="285" t="s">
        <v>343</v>
      </c>
      <c r="AA2" s="286" t="s">
        <v>343</v>
      </c>
      <c r="AB2" s="285" t="s">
        <v>343</v>
      </c>
      <c r="AC2" s="285" t="s">
        <v>343</v>
      </c>
      <c r="AD2" s="285" t="s">
        <v>343</v>
      </c>
      <c r="AE2" s="285" t="s">
        <v>343</v>
      </c>
      <c r="AF2" s="285" t="s">
        <v>343</v>
      </c>
      <c r="AG2" s="286" t="s">
        <v>343</v>
      </c>
      <c r="AH2" s="287" t="s">
        <v>343</v>
      </c>
      <c r="AI2" s="288" t="s">
        <v>342</v>
      </c>
      <c r="AK2" s="479" t="s">
        <v>536</v>
      </c>
      <c r="AL2" s="479"/>
      <c r="AM2" s="479"/>
      <c r="AN2" s="479" t="s">
        <v>537</v>
      </c>
      <c r="AO2" s="480" t="s">
        <v>538</v>
      </c>
      <c r="AP2" s="481" t="s">
        <v>539</v>
      </c>
      <c r="AQ2" s="479" t="s">
        <v>537</v>
      </c>
    </row>
    <row r="3" spans="1:43" ht="18" x14ac:dyDescent="0.25">
      <c r="A3" s="289" t="s">
        <v>99</v>
      </c>
      <c r="B3" s="325">
        <v>2016</v>
      </c>
      <c r="C3" s="325" t="s">
        <v>205</v>
      </c>
      <c r="D3" s="290">
        <v>7149</v>
      </c>
      <c r="E3" s="291"/>
      <c r="F3" s="292">
        <v>7059</v>
      </c>
      <c r="G3" s="291"/>
      <c r="H3" s="291"/>
      <c r="I3" s="292">
        <v>4820</v>
      </c>
      <c r="J3" s="292">
        <v>1171</v>
      </c>
      <c r="K3" s="293">
        <v>174</v>
      </c>
      <c r="L3" s="291"/>
      <c r="M3" s="291"/>
      <c r="N3" s="293">
        <v>480</v>
      </c>
      <c r="O3" s="293">
        <v>414</v>
      </c>
      <c r="P3" s="291"/>
      <c r="Q3" s="291"/>
      <c r="R3" s="294"/>
      <c r="S3" s="295">
        <v>90</v>
      </c>
      <c r="T3" s="290">
        <v>17497</v>
      </c>
      <c r="U3" s="291"/>
      <c r="V3" s="292">
        <v>2489</v>
      </c>
      <c r="W3" s="293">
        <v>732</v>
      </c>
      <c r="X3" s="294"/>
      <c r="Y3" s="293">
        <v>514</v>
      </c>
      <c r="Z3" s="293">
        <v>82</v>
      </c>
      <c r="AA3" s="295">
        <v>1</v>
      </c>
      <c r="AB3" s="293">
        <v>23</v>
      </c>
      <c r="AC3" s="291"/>
      <c r="AD3" s="292">
        <v>5662</v>
      </c>
      <c r="AE3" s="292">
        <v>7994</v>
      </c>
      <c r="AF3" s="291"/>
      <c r="AG3" s="294"/>
      <c r="AH3" s="291"/>
      <c r="AI3" s="290">
        <v>24646</v>
      </c>
      <c r="AK3" s="493" t="s">
        <v>99</v>
      </c>
      <c r="AL3" s="483">
        <v>19.010000000000002</v>
      </c>
      <c r="AM3" s="484" t="s">
        <v>540</v>
      </c>
      <c r="AN3" s="485">
        <v>11728</v>
      </c>
      <c r="AO3" s="486">
        <v>14.08</v>
      </c>
      <c r="AP3" s="484" t="s">
        <v>541</v>
      </c>
      <c r="AQ3" s="485">
        <v>4664</v>
      </c>
    </row>
    <row r="4" spans="1:43" ht="18" x14ac:dyDescent="0.25">
      <c r="A4" s="289" t="s">
        <v>100</v>
      </c>
      <c r="B4" s="325">
        <v>2016</v>
      </c>
      <c r="C4" s="325" t="s">
        <v>205</v>
      </c>
      <c r="D4" s="296">
        <v>2316</v>
      </c>
      <c r="E4" s="297"/>
      <c r="F4" s="298">
        <v>1876</v>
      </c>
      <c r="G4" s="298">
        <v>1876</v>
      </c>
      <c r="H4" s="297"/>
      <c r="I4" s="297"/>
      <c r="J4" s="297"/>
      <c r="K4" s="297"/>
      <c r="L4" s="297"/>
      <c r="M4" s="297"/>
      <c r="N4" s="297"/>
      <c r="O4" s="297"/>
      <c r="P4" s="297"/>
      <c r="Q4" s="299">
        <v>440</v>
      </c>
      <c r="R4" s="300"/>
      <c r="S4" s="300"/>
      <c r="T4" s="301">
        <v>1656</v>
      </c>
      <c r="U4" s="302"/>
      <c r="V4" s="302"/>
      <c r="W4" s="302"/>
      <c r="X4" s="303"/>
      <c r="Y4" s="302"/>
      <c r="Z4" s="302"/>
      <c r="AA4" s="303"/>
      <c r="AB4" s="302"/>
      <c r="AC4" s="304">
        <v>1656</v>
      </c>
      <c r="AD4" s="302"/>
      <c r="AE4" s="302"/>
      <c r="AF4" s="302"/>
      <c r="AG4" s="303"/>
      <c r="AH4" s="305"/>
      <c r="AI4" s="306">
        <v>3972</v>
      </c>
      <c r="AK4" s="482" t="s">
        <v>425</v>
      </c>
      <c r="AL4" s="483">
        <v>31.12</v>
      </c>
      <c r="AM4" s="484" t="s">
        <v>540</v>
      </c>
      <c r="AN4" s="485">
        <v>2142</v>
      </c>
      <c r="AO4" s="486">
        <v>23.05</v>
      </c>
      <c r="AP4" s="484" t="s">
        <v>541</v>
      </c>
      <c r="AQ4" s="487">
        <v>868</v>
      </c>
    </row>
    <row r="5" spans="1:43" x14ac:dyDescent="0.25">
      <c r="A5" s="289" t="s">
        <v>101</v>
      </c>
      <c r="B5" s="325">
        <v>2016</v>
      </c>
      <c r="C5" s="325" t="s">
        <v>205</v>
      </c>
      <c r="D5" s="290">
        <v>14312</v>
      </c>
      <c r="E5" s="292">
        <v>5926</v>
      </c>
      <c r="F5" s="292">
        <v>6706</v>
      </c>
      <c r="G5" s="291"/>
      <c r="H5" s="291"/>
      <c r="I5" s="292">
        <v>6546</v>
      </c>
      <c r="J5" s="291"/>
      <c r="K5" s="293">
        <v>160</v>
      </c>
      <c r="L5" s="291"/>
      <c r="M5" s="291"/>
      <c r="N5" s="291"/>
      <c r="O5" s="291"/>
      <c r="P5" s="292">
        <v>1308</v>
      </c>
      <c r="Q5" s="291"/>
      <c r="R5" s="295">
        <v>313</v>
      </c>
      <c r="S5" s="295">
        <v>59</v>
      </c>
      <c r="T5" s="290">
        <v>6324</v>
      </c>
      <c r="U5" s="293">
        <v>712</v>
      </c>
      <c r="V5" s="292">
        <v>1580</v>
      </c>
      <c r="W5" s="292">
        <v>3087</v>
      </c>
      <c r="X5" s="294"/>
      <c r="Y5" s="293">
        <v>823</v>
      </c>
      <c r="Z5" s="291"/>
      <c r="AA5" s="294"/>
      <c r="AB5" s="291"/>
      <c r="AC5" s="291"/>
      <c r="AD5" s="293">
        <v>122</v>
      </c>
      <c r="AE5" s="291"/>
      <c r="AF5" s="291"/>
      <c r="AG5" s="294"/>
      <c r="AH5" s="291"/>
      <c r="AI5" s="290">
        <v>20636</v>
      </c>
      <c r="AK5" s="493" t="s">
        <v>101</v>
      </c>
      <c r="AL5" s="483">
        <v>19.010000000000002</v>
      </c>
      <c r="AM5" s="484" t="s">
        <v>542</v>
      </c>
      <c r="AN5" s="485">
        <v>13147</v>
      </c>
      <c r="AO5" s="488">
        <v>5.05</v>
      </c>
      <c r="AP5" s="484" t="s">
        <v>543</v>
      </c>
      <c r="AQ5" s="485">
        <v>6012</v>
      </c>
    </row>
    <row r="6" spans="1:43" ht="18" x14ac:dyDescent="0.25">
      <c r="A6" s="289" t="s">
        <v>102</v>
      </c>
      <c r="B6" s="325">
        <v>2016</v>
      </c>
      <c r="C6" s="325" t="s">
        <v>205</v>
      </c>
      <c r="D6" s="296">
        <v>8680</v>
      </c>
      <c r="E6" s="298">
        <v>2000</v>
      </c>
      <c r="F6" s="298">
        <v>5683</v>
      </c>
      <c r="G6" s="298">
        <v>4199</v>
      </c>
      <c r="H6" s="297"/>
      <c r="I6" s="299">
        <v>775</v>
      </c>
      <c r="J6" s="299">
        <v>708</v>
      </c>
      <c r="K6" s="297"/>
      <c r="L6" s="297"/>
      <c r="M6" s="297"/>
      <c r="N6" s="297"/>
      <c r="O6" s="297"/>
      <c r="P6" s="299">
        <v>864</v>
      </c>
      <c r="Q6" s="299">
        <v>133</v>
      </c>
      <c r="R6" s="300"/>
      <c r="S6" s="300"/>
      <c r="T6" s="301">
        <v>4021</v>
      </c>
      <c r="U6" s="302"/>
      <c r="V6" s="307">
        <v>701</v>
      </c>
      <c r="W6" s="304">
        <v>1043</v>
      </c>
      <c r="X6" s="303"/>
      <c r="Y6" s="307">
        <v>69</v>
      </c>
      <c r="Z6" s="302"/>
      <c r="AA6" s="303"/>
      <c r="AB6" s="302"/>
      <c r="AC6" s="304">
        <v>1537</v>
      </c>
      <c r="AD6" s="307">
        <v>613</v>
      </c>
      <c r="AE6" s="307">
        <v>57</v>
      </c>
      <c r="AF6" s="302"/>
      <c r="AG6" s="303"/>
      <c r="AH6" s="305"/>
      <c r="AI6" s="306">
        <v>12701</v>
      </c>
      <c r="AK6" s="482" t="s">
        <v>429</v>
      </c>
      <c r="AL6" s="489">
        <v>4.01</v>
      </c>
      <c r="AM6" s="484" t="s">
        <v>540</v>
      </c>
      <c r="AN6" s="485">
        <v>7105</v>
      </c>
      <c r="AO6" s="486">
        <v>24.05</v>
      </c>
      <c r="AP6" s="484" t="s">
        <v>544</v>
      </c>
      <c r="AQ6" s="485">
        <v>2662</v>
      </c>
    </row>
    <row r="7" spans="1:43" ht="18" x14ac:dyDescent="0.25">
      <c r="A7" s="289" t="s">
        <v>103</v>
      </c>
      <c r="B7" s="325">
        <v>2016</v>
      </c>
      <c r="C7" s="325" t="s">
        <v>205</v>
      </c>
      <c r="D7" s="290">
        <v>5217</v>
      </c>
      <c r="E7" s="292">
        <v>3333</v>
      </c>
      <c r="F7" s="293">
        <v>501</v>
      </c>
      <c r="G7" s="291"/>
      <c r="H7" s="291"/>
      <c r="I7" s="291"/>
      <c r="J7" s="291"/>
      <c r="K7" s="291"/>
      <c r="L7" s="291"/>
      <c r="M7" s="291"/>
      <c r="N7" s="291"/>
      <c r="O7" s="293">
        <v>501</v>
      </c>
      <c r="P7" s="292">
        <v>1383</v>
      </c>
      <c r="Q7" s="291"/>
      <c r="R7" s="294"/>
      <c r="S7" s="294"/>
      <c r="T7" s="290">
        <v>13731</v>
      </c>
      <c r="U7" s="291"/>
      <c r="V7" s="293">
        <v>60</v>
      </c>
      <c r="W7" s="292">
        <v>1061</v>
      </c>
      <c r="X7" s="294"/>
      <c r="Y7" s="293">
        <v>247</v>
      </c>
      <c r="Z7" s="293">
        <v>1</v>
      </c>
      <c r="AA7" s="294"/>
      <c r="AB7" s="291"/>
      <c r="AC7" s="292">
        <v>7966</v>
      </c>
      <c r="AD7" s="292">
        <v>3941</v>
      </c>
      <c r="AE7" s="293">
        <v>455</v>
      </c>
      <c r="AF7" s="291"/>
      <c r="AG7" s="294"/>
      <c r="AH7" s="293">
        <v>244</v>
      </c>
      <c r="AI7" s="290">
        <v>19192</v>
      </c>
      <c r="AK7" s="482" t="s">
        <v>431</v>
      </c>
      <c r="AL7" s="483">
        <v>19.010000000000002</v>
      </c>
      <c r="AM7" s="484" t="s">
        <v>545</v>
      </c>
      <c r="AN7" s="485">
        <v>10178</v>
      </c>
      <c r="AO7" s="488">
        <v>1.08</v>
      </c>
      <c r="AP7" s="484" t="s">
        <v>546</v>
      </c>
      <c r="AQ7" s="485">
        <v>4547</v>
      </c>
    </row>
    <row r="8" spans="1:43" ht="18" x14ac:dyDescent="0.25">
      <c r="A8" s="289" t="s">
        <v>198</v>
      </c>
      <c r="B8" s="325">
        <v>2016</v>
      </c>
      <c r="C8" s="325" t="s">
        <v>205</v>
      </c>
      <c r="D8" s="296">
        <v>1478</v>
      </c>
      <c r="E8" s="297"/>
      <c r="F8" s="298">
        <v>1478</v>
      </c>
      <c r="G8" s="297"/>
      <c r="H8" s="297"/>
      <c r="I8" s="297"/>
      <c r="J8" s="297"/>
      <c r="K8" s="298">
        <v>1478</v>
      </c>
      <c r="L8" s="297"/>
      <c r="M8" s="297"/>
      <c r="N8" s="297"/>
      <c r="O8" s="297"/>
      <c r="P8" s="297"/>
      <c r="Q8" s="297"/>
      <c r="R8" s="300"/>
      <c r="S8" s="300"/>
      <c r="T8" s="308">
        <v>253</v>
      </c>
      <c r="U8" s="302"/>
      <c r="V8" s="307">
        <v>155</v>
      </c>
      <c r="W8" s="302"/>
      <c r="X8" s="303"/>
      <c r="Y8" s="302"/>
      <c r="Z8" s="302"/>
      <c r="AA8" s="303"/>
      <c r="AB8" s="302"/>
      <c r="AC8" s="302"/>
      <c r="AD8" s="302"/>
      <c r="AE8" s="302"/>
      <c r="AF8" s="302"/>
      <c r="AG8" s="309">
        <v>98</v>
      </c>
      <c r="AH8" s="305"/>
      <c r="AI8" s="306">
        <v>1731</v>
      </c>
      <c r="AK8" s="482" t="s">
        <v>434</v>
      </c>
      <c r="AL8" s="489">
        <v>2.08</v>
      </c>
      <c r="AM8" s="484" t="s">
        <v>543</v>
      </c>
      <c r="AN8" s="487">
        <v>966</v>
      </c>
      <c r="AO8" s="486">
        <v>24.04</v>
      </c>
      <c r="AP8" s="484" t="s">
        <v>547</v>
      </c>
      <c r="AQ8" s="487">
        <v>285</v>
      </c>
    </row>
    <row r="9" spans="1:43" ht="18" x14ac:dyDescent="0.25">
      <c r="A9" s="289" t="s">
        <v>104</v>
      </c>
      <c r="B9" s="325">
        <v>2016</v>
      </c>
      <c r="C9" s="325" t="s">
        <v>205</v>
      </c>
      <c r="D9" s="290">
        <v>15947</v>
      </c>
      <c r="E9" s="292">
        <v>4040</v>
      </c>
      <c r="F9" s="292">
        <v>10735</v>
      </c>
      <c r="G9" s="292">
        <v>7929</v>
      </c>
      <c r="H9" s="293">
        <v>380</v>
      </c>
      <c r="I9" s="292">
        <v>1226</v>
      </c>
      <c r="J9" s="292">
        <v>1200</v>
      </c>
      <c r="K9" s="291"/>
      <c r="L9" s="291"/>
      <c r="M9" s="291"/>
      <c r="N9" s="291"/>
      <c r="O9" s="291"/>
      <c r="P9" s="292">
        <v>1172</v>
      </c>
      <c r="Q9" s="291"/>
      <c r="R9" s="294"/>
      <c r="S9" s="294"/>
      <c r="T9" s="290">
        <v>4241</v>
      </c>
      <c r="U9" s="291"/>
      <c r="V9" s="293">
        <v>277</v>
      </c>
      <c r="W9" s="292">
        <v>2027</v>
      </c>
      <c r="X9" s="294"/>
      <c r="Y9" s="293">
        <v>350</v>
      </c>
      <c r="Z9" s="293">
        <v>500</v>
      </c>
      <c r="AA9" s="294"/>
      <c r="AB9" s="291"/>
      <c r="AC9" s="293">
        <v>753</v>
      </c>
      <c r="AD9" s="293">
        <v>334</v>
      </c>
      <c r="AE9" s="291"/>
      <c r="AF9" s="291"/>
      <c r="AG9" s="294"/>
      <c r="AH9" s="291"/>
      <c r="AI9" s="290">
        <v>20188</v>
      </c>
      <c r="AK9" s="482" t="s">
        <v>436</v>
      </c>
      <c r="AL9" s="489">
        <v>5.12</v>
      </c>
      <c r="AM9" s="484" t="s">
        <v>548</v>
      </c>
      <c r="AN9" s="485">
        <v>10512</v>
      </c>
      <c r="AO9" s="488">
        <v>7.08</v>
      </c>
      <c r="AP9" s="484" t="s">
        <v>547</v>
      </c>
      <c r="AQ9" s="485">
        <v>4446</v>
      </c>
    </row>
    <row r="10" spans="1:43" ht="18" x14ac:dyDescent="0.25">
      <c r="A10" s="289" t="s">
        <v>105</v>
      </c>
      <c r="B10" s="325">
        <v>2016</v>
      </c>
      <c r="C10" s="325" t="s">
        <v>205</v>
      </c>
      <c r="D10" s="296">
        <v>101960</v>
      </c>
      <c r="E10" s="298">
        <v>10793</v>
      </c>
      <c r="F10" s="298">
        <v>84174</v>
      </c>
      <c r="G10" s="298">
        <v>20863</v>
      </c>
      <c r="H10" s="297"/>
      <c r="I10" s="298">
        <v>28596</v>
      </c>
      <c r="J10" s="298">
        <v>26818</v>
      </c>
      <c r="K10" s="298">
        <v>4889</v>
      </c>
      <c r="L10" s="297"/>
      <c r="M10" s="297"/>
      <c r="N10" s="298">
        <v>3008</v>
      </c>
      <c r="O10" s="297"/>
      <c r="P10" s="298">
        <v>5283</v>
      </c>
      <c r="Q10" s="298">
        <v>1062</v>
      </c>
      <c r="R10" s="310">
        <v>649</v>
      </c>
      <c r="S10" s="300"/>
      <c r="T10" s="301">
        <v>101149</v>
      </c>
      <c r="U10" s="304">
        <v>4122</v>
      </c>
      <c r="V10" s="304">
        <v>45004</v>
      </c>
      <c r="W10" s="304">
        <v>39791</v>
      </c>
      <c r="X10" s="303"/>
      <c r="Y10" s="304">
        <v>6908</v>
      </c>
      <c r="Z10" s="302"/>
      <c r="AA10" s="309">
        <v>38</v>
      </c>
      <c r="AB10" s="307">
        <v>649</v>
      </c>
      <c r="AC10" s="307">
        <v>287</v>
      </c>
      <c r="AD10" s="304">
        <v>3843</v>
      </c>
      <c r="AE10" s="302"/>
      <c r="AF10" s="302"/>
      <c r="AG10" s="309">
        <v>508</v>
      </c>
      <c r="AH10" s="305"/>
      <c r="AI10" s="306">
        <v>203109</v>
      </c>
      <c r="AK10" s="482" t="s">
        <v>439</v>
      </c>
      <c r="AL10" s="489">
        <v>7.12</v>
      </c>
      <c r="AM10" s="484" t="s">
        <v>540</v>
      </c>
      <c r="AN10" s="485">
        <v>81945</v>
      </c>
      <c r="AO10" s="488">
        <v>3.07</v>
      </c>
      <c r="AP10" s="484" t="s">
        <v>547</v>
      </c>
      <c r="AQ10" s="485">
        <v>36670</v>
      </c>
    </row>
    <row r="11" spans="1:43" ht="18" x14ac:dyDescent="0.25">
      <c r="A11" s="289" t="s">
        <v>106</v>
      </c>
      <c r="B11" s="325">
        <v>2016</v>
      </c>
      <c r="C11" s="325" t="s">
        <v>205</v>
      </c>
      <c r="D11" s="290">
        <v>7864</v>
      </c>
      <c r="E11" s="291"/>
      <c r="F11" s="292">
        <v>7864</v>
      </c>
      <c r="G11" s="291"/>
      <c r="H11" s="291"/>
      <c r="I11" s="292">
        <v>2431</v>
      </c>
      <c r="J11" s="292">
        <v>4550</v>
      </c>
      <c r="K11" s="293">
        <v>839</v>
      </c>
      <c r="L11" s="291"/>
      <c r="M11" s="291"/>
      <c r="N11" s="293">
        <v>44</v>
      </c>
      <c r="O11" s="291"/>
      <c r="P11" s="291"/>
      <c r="Q11" s="291"/>
      <c r="R11" s="294"/>
      <c r="S11" s="294"/>
      <c r="T11" s="290">
        <v>7661</v>
      </c>
      <c r="U11" s="292">
        <v>1271</v>
      </c>
      <c r="V11" s="292">
        <v>3978</v>
      </c>
      <c r="W11" s="293">
        <v>851</v>
      </c>
      <c r="X11" s="294"/>
      <c r="Y11" s="292">
        <v>1068</v>
      </c>
      <c r="Z11" s="293">
        <v>110</v>
      </c>
      <c r="AA11" s="294"/>
      <c r="AB11" s="293">
        <v>376</v>
      </c>
      <c r="AC11" s="291"/>
      <c r="AD11" s="293">
        <v>8</v>
      </c>
      <c r="AE11" s="291"/>
      <c r="AF11" s="291"/>
      <c r="AG11" s="294"/>
      <c r="AH11" s="291"/>
      <c r="AI11" s="290">
        <v>15525</v>
      </c>
      <c r="AK11" s="482" t="s">
        <v>441</v>
      </c>
      <c r="AL11" s="489">
        <v>7.01</v>
      </c>
      <c r="AM11" s="484" t="s">
        <v>540</v>
      </c>
      <c r="AN11" s="485">
        <v>6115</v>
      </c>
      <c r="AO11" s="486">
        <v>17.07</v>
      </c>
      <c r="AP11" s="484" t="s">
        <v>547</v>
      </c>
      <c r="AQ11" s="485">
        <v>2213</v>
      </c>
    </row>
    <row r="12" spans="1:43" ht="18" x14ac:dyDescent="0.25">
      <c r="A12" s="289" t="s">
        <v>199</v>
      </c>
      <c r="B12" s="325">
        <v>2016</v>
      </c>
      <c r="C12" s="325" t="s">
        <v>205</v>
      </c>
      <c r="D12" s="296">
        <v>2470</v>
      </c>
      <c r="E12" s="297"/>
      <c r="F12" s="298">
        <v>2443</v>
      </c>
      <c r="G12" s="297"/>
      <c r="H12" s="297"/>
      <c r="I12" s="299">
        <v>204</v>
      </c>
      <c r="J12" s="297"/>
      <c r="K12" s="299">
        <v>9</v>
      </c>
      <c r="L12" s="298">
        <v>1711</v>
      </c>
      <c r="M12" s="297"/>
      <c r="N12" s="299">
        <v>520</v>
      </c>
      <c r="O12" s="297"/>
      <c r="P12" s="297"/>
      <c r="Q12" s="297"/>
      <c r="R12" s="310">
        <v>17</v>
      </c>
      <c r="S12" s="310">
        <v>10</v>
      </c>
      <c r="T12" s="308">
        <v>470</v>
      </c>
      <c r="U12" s="302"/>
      <c r="V12" s="307">
        <v>375</v>
      </c>
      <c r="W12" s="307">
        <v>1</v>
      </c>
      <c r="X12" s="303"/>
      <c r="Y12" s="307">
        <v>76</v>
      </c>
      <c r="Z12" s="307">
        <v>6</v>
      </c>
      <c r="AA12" s="303"/>
      <c r="AB12" s="307">
        <v>4</v>
      </c>
      <c r="AC12" s="302"/>
      <c r="AD12" s="307">
        <v>8</v>
      </c>
      <c r="AE12" s="302"/>
      <c r="AF12" s="302"/>
      <c r="AG12" s="311"/>
      <c r="AH12" s="305"/>
      <c r="AI12" s="306">
        <v>2940</v>
      </c>
      <c r="AK12" s="482" t="s">
        <v>442</v>
      </c>
      <c r="AL12" s="489">
        <v>8.01</v>
      </c>
      <c r="AM12" s="484" t="s">
        <v>549</v>
      </c>
      <c r="AN12" s="485">
        <v>1538</v>
      </c>
      <c r="AO12" s="486">
        <v>24.06</v>
      </c>
      <c r="AP12" s="484" t="s">
        <v>550</v>
      </c>
      <c r="AQ12" s="487">
        <v>493</v>
      </c>
    </row>
    <row r="13" spans="1:43" ht="18" x14ac:dyDescent="0.25">
      <c r="A13" s="289" t="s">
        <v>107</v>
      </c>
      <c r="B13" s="325">
        <v>2016</v>
      </c>
      <c r="C13" s="325" t="s">
        <v>205</v>
      </c>
      <c r="D13" s="290">
        <v>57358</v>
      </c>
      <c r="E13" s="292">
        <v>7573</v>
      </c>
      <c r="F13" s="292">
        <v>45752</v>
      </c>
      <c r="G13" s="292">
        <v>1056</v>
      </c>
      <c r="H13" s="291"/>
      <c r="I13" s="292">
        <v>32323</v>
      </c>
      <c r="J13" s="292">
        <v>8949</v>
      </c>
      <c r="K13" s="292">
        <v>3425</v>
      </c>
      <c r="L13" s="291"/>
      <c r="M13" s="291"/>
      <c r="N13" s="291"/>
      <c r="O13" s="291"/>
      <c r="P13" s="292">
        <v>3329</v>
      </c>
      <c r="Q13" s="291"/>
      <c r="R13" s="295">
        <v>648</v>
      </c>
      <c r="S13" s="295">
        <v>57</v>
      </c>
      <c r="T13" s="290">
        <v>47921</v>
      </c>
      <c r="U13" s="291"/>
      <c r="V13" s="292">
        <v>23057</v>
      </c>
      <c r="W13" s="292">
        <v>4674</v>
      </c>
      <c r="X13" s="312">
        <v>2299</v>
      </c>
      <c r="Y13" s="293">
        <v>511</v>
      </c>
      <c r="Z13" s="293">
        <v>233</v>
      </c>
      <c r="AA13" s="294"/>
      <c r="AB13" s="293">
        <v>107</v>
      </c>
      <c r="AC13" s="292">
        <v>11234</v>
      </c>
      <c r="AD13" s="292">
        <v>2718</v>
      </c>
      <c r="AE13" s="292">
        <v>3073</v>
      </c>
      <c r="AF13" s="291"/>
      <c r="AG13" s="295">
        <v>16</v>
      </c>
      <c r="AH13" s="291"/>
      <c r="AI13" s="290">
        <v>105279</v>
      </c>
      <c r="AK13" s="482" t="s">
        <v>444</v>
      </c>
      <c r="AL13" s="489">
        <v>6.09</v>
      </c>
      <c r="AM13" s="484" t="s">
        <v>551</v>
      </c>
      <c r="AN13" s="485">
        <v>40144</v>
      </c>
      <c r="AO13" s="488">
        <v>1.01</v>
      </c>
      <c r="AP13" s="484" t="s">
        <v>547</v>
      </c>
      <c r="AQ13" s="485">
        <v>18054</v>
      </c>
    </row>
    <row r="14" spans="1:43" ht="18" x14ac:dyDescent="0.25">
      <c r="A14" s="289" t="s">
        <v>108</v>
      </c>
      <c r="B14" s="325">
        <v>2016</v>
      </c>
      <c r="C14" s="325" t="s">
        <v>205</v>
      </c>
      <c r="D14" s="296">
        <v>10624</v>
      </c>
      <c r="E14" s="298">
        <v>2782</v>
      </c>
      <c r="F14" s="298">
        <v>7716</v>
      </c>
      <c r="G14" s="297"/>
      <c r="H14" s="297"/>
      <c r="I14" s="298">
        <v>1795</v>
      </c>
      <c r="J14" s="298">
        <v>2854</v>
      </c>
      <c r="K14" s="298">
        <v>1427</v>
      </c>
      <c r="L14" s="297"/>
      <c r="M14" s="298">
        <v>1077</v>
      </c>
      <c r="N14" s="299">
        <v>563</v>
      </c>
      <c r="O14" s="297"/>
      <c r="P14" s="297"/>
      <c r="Q14" s="297"/>
      <c r="R14" s="310">
        <v>126</v>
      </c>
      <c r="S14" s="313"/>
      <c r="T14" s="301">
        <v>6387</v>
      </c>
      <c r="U14" s="302"/>
      <c r="V14" s="304">
        <v>1432</v>
      </c>
      <c r="W14" s="302"/>
      <c r="X14" s="303"/>
      <c r="Y14" s="304">
        <v>1663</v>
      </c>
      <c r="Z14" s="302"/>
      <c r="AA14" s="303"/>
      <c r="AB14" s="302"/>
      <c r="AC14" s="302"/>
      <c r="AD14" s="304">
        <v>3207</v>
      </c>
      <c r="AE14" s="302"/>
      <c r="AF14" s="302"/>
      <c r="AG14" s="309">
        <v>85</v>
      </c>
      <c r="AH14" s="305"/>
      <c r="AI14" s="306">
        <v>17011</v>
      </c>
      <c r="AK14" s="482" t="s">
        <v>446</v>
      </c>
      <c r="AL14" s="489">
        <v>7.01</v>
      </c>
      <c r="AM14" s="484" t="s">
        <v>548</v>
      </c>
      <c r="AN14" s="485">
        <v>15177</v>
      </c>
      <c r="AO14" s="486">
        <v>26.06</v>
      </c>
      <c r="AP14" s="484" t="s">
        <v>541</v>
      </c>
      <c r="AQ14" s="485">
        <v>5534</v>
      </c>
    </row>
    <row r="15" spans="1:43" ht="18" x14ac:dyDescent="0.25">
      <c r="A15" s="289" t="s">
        <v>109</v>
      </c>
      <c r="B15" s="325">
        <v>2016</v>
      </c>
      <c r="C15" s="325" t="s">
        <v>205</v>
      </c>
      <c r="D15" s="290">
        <v>84936</v>
      </c>
      <c r="E15" s="292">
        <v>63130</v>
      </c>
      <c r="F15" s="292">
        <v>21806</v>
      </c>
      <c r="G15" s="291"/>
      <c r="H15" s="291"/>
      <c r="I15" s="292">
        <v>11679</v>
      </c>
      <c r="J15" s="292">
        <v>2997</v>
      </c>
      <c r="K15" s="292">
        <v>7130</v>
      </c>
      <c r="L15" s="291"/>
      <c r="M15" s="291"/>
      <c r="N15" s="291"/>
      <c r="O15" s="291"/>
      <c r="P15" s="291"/>
      <c r="Q15" s="291"/>
      <c r="R15" s="314"/>
      <c r="S15" s="294"/>
      <c r="T15" s="290">
        <v>45938</v>
      </c>
      <c r="U15" s="291"/>
      <c r="V15" s="292">
        <v>11762</v>
      </c>
      <c r="W15" s="292">
        <v>6772</v>
      </c>
      <c r="X15" s="314"/>
      <c r="Y15" s="293">
        <v>656</v>
      </c>
      <c r="Z15" s="293">
        <v>390</v>
      </c>
      <c r="AA15" s="294"/>
      <c r="AB15" s="293">
        <v>881</v>
      </c>
      <c r="AC15" s="291"/>
      <c r="AD15" s="292">
        <v>21056</v>
      </c>
      <c r="AE15" s="292">
        <v>2455</v>
      </c>
      <c r="AF15" s="293">
        <v>240</v>
      </c>
      <c r="AG15" s="312">
        <v>1728</v>
      </c>
      <c r="AH15" s="291"/>
      <c r="AI15" s="290">
        <v>130874</v>
      </c>
      <c r="AK15" s="482" t="s">
        <v>447</v>
      </c>
      <c r="AL15" s="483">
        <v>18.010000000000002</v>
      </c>
      <c r="AM15" s="484" t="s">
        <v>542</v>
      </c>
      <c r="AN15" s="485">
        <v>88571</v>
      </c>
      <c r="AO15" s="488">
        <v>7.08</v>
      </c>
      <c r="AP15" s="484" t="s">
        <v>546</v>
      </c>
      <c r="AQ15" s="485">
        <v>30584</v>
      </c>
    </row>
    <row r="16" spans="1:43" ht="18" x14ac:dyDescent="0.25">
      <c r="A16" s="289" t="s">
        <v>110</v>
      </c>
      <c r="B16" s="325">
        <v>2016</v>
      </c>
      <c r="C16" s="325" t="s">
        <v>205</v>
      </c>
      <c r="D16" s="296">
        <v>56160</v>
      </c>
      <c r="E16" s="298">
        <v>9230</v>
      </c>
      <c r="F16" s="298">
        <v>46930</v>
      </c>
      <c r="G16" s="297"/>
      <c r="H16" s="297"/>
      <c r="I16" s="298">
        <v>30600</v>
      </c>
      <c r="J16" s="298">
        <v>15450</v>
      </c>
      <c r="K16" s="299">
        <v>880</v>
      </c>
      <c r="L16" s="297"/>
      <c r="M16" s="297"/>
      <c r="N16" s="297"/>
      <c r="O16" s="297"/>
      <c r="P16" s="297"/>
      <c r="Q16" s="297"/>
      <c r="R16" s="300"/>
      <c r="S16" s="300"/>
      <c r="T16" s="301">
        <v>31797</v>
      </c>
      <c r="U16" s="304">
        <v>5000</v>
      </c>
      <c r="V16" s="304">
        <v>10000</v>
      </c>
      <c r="W16" s="304">
        <v>11500</v>
      </c>
      <c r="X16" s="303"/>
      <c r="Y16" s="304">
        <v>1377</v>
      </c>
      <c r="Z16" s="302"/>
      <c r="AA16" s="303"/>
      <c r="AB16" s="302"/>
      <c r="AC16" s="304">
        <v>2830</v>
      </c>
      <c r="AD16" s="302"/>
      <c r="AE16" s="304">
        <v>1090</v>
      </c>
      <c r="AF16" s="302"/>
      <c r="AG16" s="303"/>
      <c r="AH16" s="305"/>
      <c r="AI16" s="306">
        <v>87957</v>
      </c>
      <c r="AK16" s="493" t="s">
        <v>110</v>
      </c>
      <c r="AL16" s="483">
        <v>18.010000000000002</v>
      </c>
      <c r="AM16" s="484" t="s">
        <v>540</v>
      </c>
      <c r="AN16" s="485">
        <v>69392</v>
      </c>
      <c r="AO16" s="488">
        <v>7.08</v>
      </c>
      <c r="AP16" s="484" t="s">
        <v>546</v>
      </c>
      <c r="AQ16" s="485">
        <v>22590</v>
      </c>
    </row>
    <row r="17" spans="1:43" ht="18" x14ac:dyDescent="0.25">
      <c r="A17" s="289" t="s">
        <v>111</v>
      </c>
      <c r="B17" s="325">
        <v>2016</v>
      </c>
      <c r="C17" s="325" t="s">
        <v>205</v>
      </c>
      <c r="D17" s="290">
        <v>12520</v>
      </c>
      <c r="E17" s="291"/>
      <c r="F17" s="292">
        <v>12520</v>
      </c>
      <c r="G17" s="292">
        <v>4456</v>
      </c>
      <c r="H17" s="291"/>
      <c r="I17" s="292">
        <v>5613</v>
      </c>
      <c r="J17" s="291"/>
      <c r="K17" s="292">
        <v>2451</v>
      </c>
      <c r="L17" s="291"/>
      <c r="M17" s="291"/>
      <c r="N17" s="291"/>
      <c r="O17" s="291"/>
      <c r="P17" s="291"/>
      <c r="Q17" s="291"/>
      <c r="R17" s="294"/>
      <c r="S17" s="294"/>
      <c r="T17" s="290">
        <v>8377</v>
      </c>
      <c r="U17" s="291"/>
      <c r="V17" s="292">
        <v>2092</v>
      </c>
      <c r="W17" s="292">
        <v>2605</v>
      </c>
      <c r="X17" s="294"/>
      <c r="Y17" s="293">
        <v>52</v>
      </c>
      <c r="Z17" s="291"/>
      <c r="AA17" s="294"/>
      <c r="AB17" s="291"/>
      <c r="AC17" s="292">
        <v>2470</v>
      </c>
      <c r="AD17" s="293">
        <v>224</v>
      </c>
      <c r="AE17" s="293">
        <v>699</v>
      </c>
      <c r="AF17" s="291"/>
      <c r="AG17" s="295">
        <v>235</v>
      </c>
      <c r="AH17" s="291"/>
      <c r="AI17" s="290">
        <v>20897</v>
      </c>
      <c r="AK17" s="482" t="s">
        <v>448</v>
      </c>
      <c r="AL17" s="483">
        <v>31.12</v>
      </c>
      <c r="AM17" s="484" t="s">
        <v>540</v>
      </c>
      <c r="AN17" s="485">
        <v>9207</v>
      </c>
      <c r="AO17" s="488">
        <v>2.0499999999999998</v>
      </c>
      <c r="AP17" s="484" t="s">
        <v>547</v>
      </c>
      <c r="AQ17" s="485">
        <v>3314</v>
      </c>
    </row>
    <row r="18" spans="1:43" ht="18" x14ac:dyDescent="0.25">
      <c r="A18" s="289" t="s">
        <v>112</v>
      </c>
      <c r="B18" s="325">
        <v>2016</v>
      </c>
      <c r="C18" s="325" t="s">
        <v>205</v>
      </c>
      <c r="D18" s="296">
        <v>2005</v>
      </c>
      <c r="E18" s="297"/>
      <c r="F18" s="298">
        <v>2005</v>
      </c>
      <c r="G18" s="297"/>
      <c r="H18" s="297"/>
      <c r="I18" s="299">
        <v>731</v>
      </c>
      <c r="J18" s="299">
        <v>325</v>
      </c>
      <c r="K18" s="299">
        <v>320</v>
      </c>
      <c r="L18" s="297"/>
      <c r="M18" s="297"/>
      <c r="N18" s="299">
        <v>629</v>
      </c>
      <c r="O18" s="297"/>
      <c r="P18" s="297"/>
      <c r="Q18" s="297"/>
      <c r="R18" s="300"/>
      <c r="S18" s="300"/>
      <c r="T18" s="301">
        <v>2665</v>
      </c>
      <c r="U18" s="302"/>
      <c r="V18" s="307">
        <v>429</v>
      </c>
      <c r="W18" s="307">
        <v>48</v>
      </c>
      <c r="X18" s="303"/>
      <c r="Y18" s="307">
        <v>26</v>
      </c>
      <c r="Z18" s="307">
        <v>28</v>
      </c>
      <c r="AA18" s="303"/>
      <c r="AB18" s="302"/>
      <c r="AC18" s="304">
        <v>1397</v>
      </c>
      <c r="AD18" s="307">
        <v>439</v>
      </c>
      <c r="AE18" s="307">
        <v>276</v>
      </c>
      <c r="AF18" s="302"/>
      <c r="AG18" s="309">
        <v>22</v>
      </c>
      <c r="AH18" s="305"/>
      <c r="AI18" s="306">
        <v>4670</v>
      </c>
      <c r="AK18" s="482" t="s">
        <v>450</v>
      </c>
      <c r="AL18" s="483">
        <v>12.07</v>
      </c>
      <c r="AM18" s="484" t="s">
        <v>551</v>
      </c>
      <c r="AN18" s="485">
        <v>2869</v>
      </c>
      <c r="AO18" s="486">
        <v>22.05</v>
      </c>
      <c r="AP18" s="484" t="s">
        <v>547</v>
      </c>
      <c r="AQ18" s="485">
        <v>1155</v>
      </c>
    </row>
    <row r="19" spans="1:43" ht="18" x14ac:dyDescent="0.25">
      <c r="A19" s="289" t="s">
        <v>113</v>
      </c>
      <c r="B19" s="325">
        <v>2016</v>
      </c>
      <c r="C19" s="325" t="s">
        <v>205</v>
      </c>
      <c r="D19" s="290">
        <v>7498</v>
      </c>
      <c r="E19" s="292">
        <v>1887</v>
      </c>
      <c r="F19" s="292">
        <v>5611</v>
      </c>
      <c r="G19" s="292">
        <v>1049</v>
      </c>
      <c r="H19" s="291"/>
      <c r="I19" s="292">
        <v>3860</v>
      </c>
      <c r="J19" s="293">
        <v>292</v>
      </c>
      <c r="K19" s="293">
        <v>410</v>
      </c>
      <c r="L19" s="291"/>
      <c r="M19" s="291"/>
      <c r="N19" s="291"/>
      <c r="O19" s="291"/>
      <c r="P19" s="291"/>
      <c r="Q19" s="291"/>
      <c r="R19" s="294"/>
      <c r="S19" s="294"/>
      <c r="T19" s="315">
        <v>738</v>
      </c>
      <c r="U19" s="291"/>
      <c r="V19" s="293">
        <v>328</v>
      </c>
      <c r="W19" s="293">
        <v>49</v>
      </c>
      <c r="X19" s="294"/>
      <c r="Y19" s="293">
        <v>216</v>
      </c>
      <c r="Z19" s="293">
        <v>60</v>
      </c>
      <c r="AA19" s="294"/>
      <c r="AB19" s="293">
        <v>28</v>
      </c>
      <c r="AC19" s="293">
        <v>29</v>
      </c>
      <c r="AD19" s="293">
        <v>28</v>
      </c>
      <c r="AE19" s="291"/>
      <c r="AF19" s="291"/>
      <c r="AG19" s="294"/>
      <c r="AH19" s="291"/>
      <c r="AI19" s="290">
        <v>8236</v>
      </c>
      <c r="AK19" s="482" t="s">
        <v>451</v>
      </c>
      <c r="AL19" s="489">
        <v>8.1199999999999992</v>
      </c>
      <c r="AM19" s="484" t="s">
        <v>548</v>
      </c>
      <c r="AN19" s="485">
        <v>6437</v>
      </c>
      <c r="AO19" s="486">
        <v>16.05</v>
      </c>
      <c r="AP19" s="484" t="s">
        <v>547</v>
      </c>
      <c r="AQ19" s="485">
        <v>2994</v>
      </c>
    </row>
    <row r="20" spans="1:43" ht="18" x14ac:dyDescent="0.25">
      <c r="A20" s="289" t="s">
        <v>114</v>
      </c>
      <c r="B20" s="325">
        <v>2016</v>
      </c>
      <c r="C20" s="325" t="s">
        <v>205</v>
      </c>
      <c r="D20" s="296">
        <v>6514</v>
      </c>
      <c r="E20" s="297"/>
      <c r="F20" s="298">
        <v>6214</v>
      </c>
      <c r="G20" s="297"/>
      <c r="H20" s="297"/>
      <c r="I20" s="298">
        <v>4215</v>
      </c>
      <c r="J20" s="299">
        <v>855</v>
      </c>
      <c r="K20" s="299">
        <v>916</v>
      </c>
      <c r="L20" s="297"/>
      <c r="M20" s="299">
        <v>228</v>
      </c>
      <c r="N20" s="297"/>
      <c r="O20" s="297"/>
      <c r="P20" s="299">
        <v>292</v>
      </c>
      <c r="Q20" s="297"/>
      <c r="R20" s="310">
        <v>8</v>
      </c>
      <c r="S20" s="300"/>
      <c r="T20" s="301">
        <v>3325</v>
      </c>
      <c r="U20" s="302"/>
      <c r="V20" s="304">
        <v>2740</v>
      </c>
      <c r="W20" s="302"/>
      <c r="X20" s="303"/>
      <c r="Y20" s="302"/>
      <c r="Z20" s="302"/>
      <c r="AA20" s="303"/>
      <c r="AB20" s="307">
        <v>9</v>
      </c>
      <c r="AC20" s="302"/>
      <c r="AD20" s="307">
        <v>238</v>
      </c>
      <c r="AE20" s="302"/>
      <c r="AF20" s="302"/>
      <c r="AG20" s="309">
        <v>338</v>
      </c>
      <c r="AH20" s="316">
        <v>269</v>
      </c>
      <c r="AI20" s="306">
        <v>10108</v>
      </c>
      <c r="AK20" s="482" t="s">
        <v>453</v>
      </c>
      <c r="AL20" s="483">
        <v>21.11</v>
      </c>
      <c r="AM20" s="484" t="s">
        <v>542</v>
      </c>
      <c r="AN20" s="485">
        <v>4737</v>
      </c>
      <c r="AO20" s="486">
        <v>31.07</v>
      </c>
      <c r="AP20" s="484" t="s">
        <v>552</v>
      </c>
      <c r="AQ20" s="485">
        <v>1798</v>
      </c>
    </row>
    <row r="21" spans="1:43" ht="18" x14ac:dyDescent="0.25">
      <c r="A21" s="289" t="s">
        <v>200</v>
      </c>
      <c r="B21" s="325">
        <v>2016</v>
      </c>
      <c r="C21" s="325" t="s">
        <v>205</v>
      </c>
      <c r="D21" s="315">
        <v>11</v>
      </c>
      <c r="E21" s="291"/>
      <c r="F21" s="293">
        <v>11</v>
      </c>
      <c r="G21" s="291"/>
      <c r="H21" s="291"/>
      <c r="I21" s="291"/>
      <c r="J21" s="291"/>
      <c r="K21" s="293">
        <v>11</v>
      </c>
      <c r="L21" s="291"/>
      <c r="M21" s="291"/>
      <c r="N21" s="291"/>
      <c r="O21" s="291"/>
      <c r="P21" s="291"/>
      <c r="Q21" s="291"/>
      <c r="R21" s="294"/>
      <c r="S21" s="294"/>
      <c r="T21" s="290">
        <v>2635</v>
      </c>
      <c r="U21" s="291"/>
      <c r="V21" s="293">
        <v>2</v>
      </c>
      <c r="W21" s="291"/>
      <c r="X21" s="294"/>
      <c r="Y21" s="291"/>
      <c r="Z21" s="291"/>
      <c r="AA21" s="295">
        <v>661</v>
      </c>
      <c r="AB21" s="291"/>
      <c r="AC21" s="292">
        <v>1948</v>
      </c>
      <c r="AD21" s="293">
        <v>25</v>
      </c>
      <c r="AE21" s="291"/>
      <c r="AF21" s="291"/>
      <c r="AG21" s="294"/>
      <c r="AH21" s="291"/>
      <c r="AI21" s="290">
        <v>2646</v>
      </c>
      <c r="AK21" s="482" t="s">
        <v>454</v>
      </c>
      <c r="AL21" s="483">
        <v>29.11</v>
      </c>
      <c r="AM21" s="484" t="s">
        <v>553</v>
      </c>
      <c r="AN21" s="485">
        <v>2320</v>
      </c>
      <c r="AO21" s="486">
        <v>16.09</v>
      </c>
      <c r="AP21" s="484" t="s">
        <v>547</v>
      </c>
      <c r="AQ21" s="485">
        <v>1692</v>
      </c>
    </row>
    <row r="22" spans="1:43" ht="18" x14ac:dyDescent="0.25">
      <c r="A22" s="289" t="s">
        <v>115</v>
      </c>
      <c r="B22" s="325">
        <v>2016</v>
      </c>
      <c r="C22" s="325" t="s">
        <v>205</v>
      </c>
      <c r="D22" s="296">
        <v>77344</v>
      </c>
      <c r="E22" s="297"/>
      <c r="F22" s="298">
        <v>68867</v>
      </c>
      <c r="G22" s="297"/>
      <c r="H22" s="299">
        <v>779</v>
      </c>
      <c r="I22" s="298">
        <v>39510</v>
      </c>
      <c r="J22" s="298">
        <v>6357</v>
      </c>
      <c r="K22" s="298">
        <v>22221</v>
      </c>
      <c r="L22" s="297"/>
      <c r="M22" s="297"/>
      <c r="N22" s="297"/>
      <c r="O22" s="297"/>
      <c r="P22" s="298">
        <v>4753</v>
      </c>
      <c r="Q22" s="297"/>
      <c r="R22" s="310">
        <v>163</v>
      </c>
      <c r="S22" s="317">
        <v>3561</v>
      </c>
      <c r="T22" s="301">
        <v>55911</v>
      </c>
      <c r="U22" s="302"/>
      <c r="V22" s="304">
        <v>9416</v>
      </c>
      <c r="W22" s="304">
        <v>19288</v>
      </c>
      <c r="X22" s="303"/>
      <c r="Y22" s="304">
        <v>2247</v>
      </c>
      <c r="Z22" s="304">
        <v>1724</v>
      </c>
      <c r="AA22" s="309">
        <v>962</v>
      </c>
      <c r="AB22" s="307">
        <v>163</v>
      </c>
      <c r="AC22" s="304">
        <v>5148</v>
      </c>
      <c r="AD22" s="304">
        <v>12447</v>
      </c>
      <c r="AE22" s="304">
        <v>4179</v>
      </c>
      <c r="AF22" s="302"/>
      <c r="AG22" s="309">
        <v>337</v>
      </c>
      <c r="AH22" s="305"/>
      <c r="AI22" s="306">
        <v>133255</v>
      </c>
      <c r="AK22" s="482" t="s">
        <v>455</v>
      </c>
      <c r="AL22" s="483">
        <v>19.010000000000002</v>
      </c>
      <c r="AM22" s="484" t="s">
        <v>540</v>
      </c>
      <c r="AN22" s="485">
        <v>53748</v>
      </c>
      <c r="AO22" s="486">
        <v>26.12</v>
      </c>
      <c r="AP22" s="484" t="s">
        <v>541</v>
      </c>
      <c r="AQ22" s="485">
        <v>18656</v>
      </c>
    </row>
    <row r="23" spans="1:43" ht="18" x14ac:dyDescent="0.25">
      <c r="A23" s="289" t="s">
        <v>116</v>
      </c>
      <c r="B23" s="325">
        <v>2016</v>
      </c>
      <c r="C23" s="325" t="s">
        <v>205</v>
      </c>
      <c r="D23" s="290">
        <v>2666</v>
      </c>
      <c r="E23" s="291"/>
      <c r="F23" s="292">
        <v>1734</v>
      </c>
      <c r="G23" s="291"/>
      <c r="H23" s="291"/>
      <c r="I23" s="293">
        <v>615</v>
      </c>
      <c r="J23" s="291"/>
      <c r="K23" s="291"/>
      <c r="L23" s="291"/>
      <c r="M23" s="291"/>
      <c r="N23" s="292">
        <v>1119</v>
      </c>
      <c r="O23" s="291"/>
      <c r="P23" s="293">
        <v>900</v>
      </c>
      <c r="Q23" s="291"/>
      <c r="R23" s="295">
        <v>20</v>
      </c>
      <c r="S23" s="295">
        <v>12</v>
      </c>
      <c r="T23" s="315">
        <v>715</v>
      </c>
      <c r="U23" s="291"/>
      <c r="V23" s="293">
        <v>438</v>
      </c>
      <c r="W23" s="293">
        <v>73</v>
      </c>
      <c r="X23" s="294"/>
      <c r="Y23" s="293">
        <v>48</v>
      </c>
      <c r="Z23" s="293">
        <v>30</v>
      </c>
      <c r="AA23" s="294"/>
      <c r="AB23" s="291"/>
      <c r="AC23" s="291"/>
      <c r="AD23" s="293">
        <v>126</v>
      </c>
      <c r="AE23" s="291"/>
      <c r="AF23" s="291"/>
      <c r="AG23" s="294"/>
      <c r="AH23" s="291"/>
      <c r="AI23" s="290">
        <v>3381</v>
      </c>
      <c r="AK23" s="482" t="s">
        <v>456</v>
      </c>
      <c r="AL23" s="489">
        <v>8.01</v>
      </c>
      <c r="AM23" s="484" t="s">
        <v>549</v>
      </c>
      <c r="AN23" s="485">
        <v>1979</v>
      </c>
      <c r="AO23" s="486">
        <v>10.07</v>
      </c>
      <c r="AP23" s="484" t="s">
        <v>541</v>
      </c>
      <c r="AQ23" s="487">
        <v>813</v>
      </c>
    </row>
    <row r="24" spans="1:43" ht="18" x14ac:dyDescent="0.25">
      <c r="A24" s="289" t="s">
        <v>117</v>
      </c>
      <c r="B24" s="325">
        <v>2016</v>
      </c>
      <c r="C24" s="325" t="s">
        <v>205</v>
      </c>
      <c r="D24" s="296">
        <v>1806</v>
      </c>
      <c r="E24" s="297"/>
      <c r="F24" s="299">
        <v>495</v>
      </c>
      <c r="G24" s="297"/>
      <c r="H24" s="297"/>
      <c r="I24" s="299">
        <v>495</v>
      </c>
      <c r="J24" s="297"/>
      <c r="K24" s="297"/>
      <c r="L24" s="297"/>
      <c r="M24" s="297"/>
      <c r="N24" s="297"/>
      <c r="O24" s="297"/>
      <c r="P24" s="298">
        <v>1290</v>
      </c>
      <c r="Q24" s="297"/>
      <c r="R24" s="310">
        <v>21</v>
      </c>
      <c r="S24" s="300"/>
      <c r="T24" s="308">
        <v>284</v>
      </c>
      <c r="U24" s="302"/>
      <c r="V24" s="307">
        <v>120</v>
      </c>
      <c r="W24" s="307">
        <v>121</v>
      </c>
      <c r="X24" s="303"/>
      <c r="Y24" s="302"/>
      <c r="Z24" s="307">
        <v>11</v>
      </c>
      <c r="AA24" s="303"/>
      <c r="AB24" s="302"/>
      <c r="AC24" s="307">
        <v>17</v>
      </c>
      <c r="AD24" s="307">
        <v>15</v>
      </c>
      <c r="AE24" s="302"/>
      <c r="AF24" s="302"/>
      <c r="AG24" s="303"/>
      <c r="AH24" s="305"/>
      <c r="AI24" s="306">
        <v>2090</v>
      </c>
      <c r="AK24" s="482" t="s">
        <v>457</v>
      </c>
      <c r="AL24" s="483">
        <v>22.01</v>
      </c>
      <c r="AM24" s="484" t="s">
        <v>545</v>
      </c>
      <c r="AN24" s="485">
        <v>1025</v>
      </c>
      <c r="AO24" s="486">
        <v>15.08</v>
      </c>
      <c r="AP24" s="484" t="s">
        <v>541</v>
      </c>
      <c r="AQ24" s="487">
        <v>394</v>
      </c>
    </row>
    <row r="25" spans="1:43" ht="18" x14ac:dyDescent="0.25">
      <c r="A25" s="289" t="s">
        <v>201</v>
      </c>
      <c r="B25" s="325">
        <v>2016</v>
      </c>
      <c r="C25" s="325" t="s">
        <v>205</v>
      </c>
      <c r="D25" s="290">
        <v>1149</v>
      </c>
      <c r="E25" s="291"/>
      <c r="F25" s="292">
        <v>1149</v>
      </c>
      <c r="G25" s="291"/>
      <c r="H25" s="291"/>
      <c r="I25" s="292">
        <v>1031</v>
      </c>
      <c r="J25" s="291"/>
      <c r="K25" s="291"/>
      <c r="L25" s="291"/>
      <c r="M25" s="291"/>
      <c r="N25" s="293">
        <v>118</v>
      </c>
      <c r="O25" s="291"/>
      <c r="P25" s="291"/>
      <c r="Q25" s="291"/>
      <c r="R25" s="294"/>
      <c r="S25" s="294"/>
      <c r="T25" s="290">
        <v>1785</v>
      </c>
      <c r="U25" s="291"/>
      <c r="V25" s="293">
        <v>71</v>
      </c>
      <c r="W25" s="291"/>
      <c r="X25" s="294"/>
      <c r="Y25" s="293">
        <v>68</v>
      </c>
      <c r="Z25" s="293">
        <v>68</v>
      </c>
      <c r="AA25" s="294"/>
      <c r="AB25" s="291"/>
      <c r="AC25" s="291"/>
      <c r="AD25" s="292">
        <v>1578</v>
      </c>
      <c r="AE25" s="291"/>
      <c r="AF25" s="291"/>
      <c r="AG25" s="294"/>
      <c r="AH25" s="291"/>
      <c r="AI25" s="290">
        <v>2934</v>
      </c>
      <c r="AK25" s="482" t="s">
        <v>458</v>
      </c>
      <c r="AL25" s="489">
        <v>8.01</v>
      </c>
      <c r="AM25" s="484" t="s">
        <v>554</v>
      </c>
      <c r="AN25" s="485">
        <v>1300</v>
      </c>
      <c r="AO25" s="486">
        <v>24.06</v>
      </c>
      <c r="AP25" s="484" t="s">
        <v>541</v>
      </c>
      <c r="AQ25" s="487">
        <v>449</v>
      </c>
    </row>
    <row r="26" spans="1:43" ht="18" x14ac:dyDescent="0.25">
      <c r="A26" s="289" t="s">
        <v>118</v>
      </c>
      <c r="B26" s="325">
        <v>2016</v>
      </c>
      <c r="C26" s="325" t="s">
        <v>205</v>
      </c>
      <c r="D26" s="318">
        <v>220</v>
      </c>
      <c r="E26" s="297"/>
      <c r="F26" s="299">
        <v>220</v>
      </c>
      <c r="G26" s="299">
        <v>220</v>
      </c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300"/>
      <c r="S26" s="300"/>
      <c r="T26" s="308">
        <v>660</v>
      </c>
      <c r="U26" s="302"/>
      <c r="V26" s="302"/>
      <c r="W26" s="302"/>
      <c r="X26" s="303"/>
      <c r="Y26" s="302"/>
      <c r="Z26" s="302"/>
      <c r="AA26" s="303"/>
      <c r="AB26" s="302"/>
      <c r="AC26" s="307">
        <v>660</v>
      </c>
      <c r="AD26" s="302"/>
      <c r="AE26" s="302"/>
      <c r="AF26" s="302"/>
      <c r="AG26" s="303"/>
      <c r="AH26" s="305"/>
      <c r="AI26" s="319">
        <v>880</v>
      </c>
      <c r="AK26" s="482" t="s">
        <v>459</v>
      </c>
      <c r="AL26" s="483">
        <v>24.01</v>
      </c>
      <c r="AM26" s="484" t="s">
        <v>555</v>
      </c>
      <c r="AN26" s="487">
        <v>576</v>
      </c>
      <c r="AO26" s="486">
        <v>13.06</v>
      </c>
      <c r="AP26" s="484" t="s">
        <v>541</v>
      </c>
      <c r="AQ26" s="487">
        <v>174</v>
      </c>
    </row>
    <row r="27" spans="1:43" ht="18" x14ac:dyDescent="0.25">
      <c r="A27" s="289" t="s">
        <v>119</v>
      </c>
      <c r="B27" s="325">
        <v>2016</v>
      </c>
      <c r="C27" s="325" t="s">
        <v>205</v>
      </c>
      <c r="D27" s="290">
        <v>1157</v>
      </c>
      <c r="E27" s="291"/>
      <c r="F27" s="292">
        <v>1157</v>
      </c>
      <c r="G27" s="293">
        <v>718</v>
      </c>
      <c r="H27" s="291"/>
      <c r="I27" s="293">
        <v>250</v>
      </c>
      <c r="J27" s="291"/>
      <c r="K27" s="293">
        <v>189</v>
      </c>
      <c r="L27" s="291"/>
      <c r="M27" s="291"/>
      <c r="N27" s="291"/>
      <c r="O27" s="291"/>
      <c r="P27" s="291"/>
      <c r="Q27" s="291"/>
      <c r="R27" s="294"/>
      <c r="S27" s="294"/>
      <c r="T27" s="315">
        <v>733</v>
      </c>
      <c r="U27" s="291"/>
      <c r="V27" s="293">
        <v>36</v>
      </c>
      <c r="W27" s="293">
        <v>17</v>
      </c>
      <c r="X27" s="294"/>
      <c r="Y27" s="291"/>
      <c r="Z27" s="293">
        <v>4</v>
      </c>
      <c r="AA27" s="294"/>
      <c r="AB27" s="291"/>
      <c r="AC27" s="293">
        <v>567</v>
      </c>
      <c r="AD27" s="293">
        <v>109</v>
      </c>
      <c r="AE27" s="291"/>
      <c r="AF27" s="291"/>
      <c r="AG27" s="294"/>
      <c r="AH27" s="291"/>
      <c r="AI27" s="290">
        <v>1890</v>
      </c>
      <c r="AK27" s="482" t="s">
        <v>460</v>
      </c>
      <c r="AL27" s="483">
        <v>24.01</v>
      </c>
      <c r="AM27" s="484" t="s">
        <v>542</v>
      </c>
      <c r="AN27" s="485">
        <v>1457</v>
      </c>
      <c r="AO27" s="486">
        <v>31.05</v>
      </c>
      <c r="AP27" s="484" t="s">
        <v>541</v>
      </c>
      <c r="AQ27" s="487">
        <v>487</v>
      </c>
    </row>
    <row r="28" spans="1:43" ht="18" x14ac:dyDescent="0.25">
      <c r="A28" s="289" t="s">
        <v>120</v>
      </c>
      <c r="B28" s="325">
        <v>2016</v>
      </c>
      <c r="C28" s="325" t="s">
        <v>205</v>
      </c>
      <c r="D28" s="296">
        <v>24391</v>
      </c>
      <c r="E28" s="299">
        <v>486</v>
      </c>
      <c r="F28" s="298">
        <v>23905</v>
      </c>
      <c r="G28" s="297"/>
      <c r="H28" s="297"/>
      <c r="I28" s="298">
        <v>19297</v>
      </c>
      <c r="J28" s="298">
        <v>4608</v>
      </c>
      <c r="K28" s="297"/>
      <c r="L28" s="297"/>
      <c r="M28" s="297"/>
      <c r="N28" s="297"/>
      <c r="O28" s="297"/>
      <c r="P28" s="297"/>
      <c r="Q28" s="297"/>
      <c r="R28" s="300"/>
      <c r="S28" s="300"/>
      <c r="T28" s="301">
        <v>7358</v>
      </c>
      <c r="U28" s="307">
        <v>638</v>
      </c>
      <c r="V28" s="304">
        <v>3479</v>
      </c>
      <c r="W28" s="304">
        <v>2039</v>
      </c>
      <c r="X28" s="303"/>
      <c r="Y28" s="307">
        <v>486</v>
      </c>
      <c r="Z28" s="302"/>
      <c r="AA28" s="303"/>
      <c r="AB28" s="307">
        <v>678</v>
      </c>
      <c r="AC28" s="302"/>
      <c r="AD28" s="307">
        <v>38</v>
      </c>
      <c r="AE28" s="302"/>
      <c r="AF28" s="302"/>
      <c r="AG28" s="303"/>
      <c r="AH28" s="305"/>
      <c r="AI28" s="306">
        <v>31749</v>
      </c>
      <c r="AK28" s="482" t="s">
        <v>461</v>
      </c>
      <c r="AL28" s="483">
        <v>20.12</v>
      </c>
      <c r="AM28" s="484" t="s">
        <v>540</v>
      </c>
      <c r="AN28" s="485">
        <v>18243</v>
      </c>
      <c r="AO28" s="486">
        <v>30.04</v>
      </c>
      <c r="AP28" s="484" t="s">
        <v>550</v>
      </c>
      <c r="AQ28" s="485">
        <v>9115</v>
      </c>
    </row>
    <row r="29" spans="1:43" ht="18" x14ac:dyDescent="0.25">
      <c r="A29" s="289" t="s">
        <v>121</v>
      </c>
      <c r="B29" s="325">
        <v>2016</v>
      </c>
      <c r="C29" s="325" t="s">
        <v>205</v>
      </c>
      <c r="D29" s="315">
        <v>445</v>
      </c>
      <c r="E29" s="291"/>
      <c r="F29" s="293">
        <v>445</v>
      </c>
      <c r="G29" s="291"/>
      <c r="H29" s="291"/>
      <c r="I29" s="293">
        <v>445</v>
      </c>
      <c r="J29" s="291"/>
      <c r="K29" s="291"/>
      <c r="L29" s="291"/>
      <c r="M29" s="291"/>
      <c r="N29" s="291"/>
      <c r="O29" s="291"/>
      <c r="P29" s="291"/>
      <c r="Q29" s="291"/>
      <c r="R29" s="294"/>
      <c r="S29" s="294"/>
      <c r="T29" s="290">
        <v>31637</v>
      </c>
      <c r="U29" s="291"/>
      <c r="V29" s="293">
        <v>869</v>
      </c>
      <c r="W29" s="291"/>
      <c r="X29" s="294"/>
      <c r="Y29" s="293">
        <v>2</v>
      </c>
      <c r="Z29" s="291"/>
      <c r="AA29" s="294"/>
      <c r="AB29" s="291"/>
      <c r="AC29" s="292">
        <v>30767</v>
      </c>
      <c r="AD29" s="291"/>
      <c r="AE29" s="291"/>
      <c r="AF29" s="291"/>
      <c r="AG29" s="294"/>
      <c r="AH29" s="293">
        <v>0</v>
      </c>
      <c r="AI29" s="290">
        <v>32083</v>
      </c>
      <c r="AK29" s="482" t="s">
        <v>462</v>
      </c>
      <c r="AL29" s="483">
        <v>21.01</v>
      </c>
      <c r="AM29" s="484" t="s">
        <v>554</v>
      </c>
      <c r="AN29" s="485">
        <v>24485</v>
      </c>
      <c r="AO29" s="486">
        <v>24.07</v>
      </c>
      <c r="AP29" s="484" t="s">
        <v>547</v>
      </c>
      <c r="AQ29" s="485">
        <v>9156</v>
      </c>
    </row>
    <row r="30" spans="1:43" ht="18" x14ac:dyDescent="0.25">
      <c r="A30" s="289" t="s">
        <v>122</v>
      </c>
      <c r="B30" s="325">
        <v>2016</v>
      </c>
      <c r="C30" s="325" t="s">
        <v>205</v>
      </c>
      <c r="D30" s="296">
        <v>30495</v>
      </c>
      <c r="E30" s="297"/>
      <c r="F30" s="298">
        <v>28198</v>
      </c>
      <c r="G30" s="298">
        <v>8576</v>
      </c>
      <c r="H30" s="299">
        <v>144</v>
      </c>
      <c r="I30" s="298">
        <v>1240</v>
      </c>
      <c r="J30" s="298">
        <v>17906</v>
      </c>
      <c r="K30" s="299">
        <v>332</v>
      </c>
      <c r="L30" s="297"/>
      <c r="M30" s="297"/>
      <c r="N30" s="297"/>
      <c r="O30" s="297"/>
      <c r="P30" s="298">
        <v>1394</v>
      </c>
      <c r="Q30" s="297"/>
      <c r="R30" s="300"/>
      <c r="S30" s="310">
        <v>903</v>
      </c>
      <c r="T30" s="301">
        <v>7783</v>
      </c>
      <c r="U30" s="302"/>
      <c r="V30" s="304">
        <v>5697</v>
      </c>
      <c r="W30" s="307">
        <v>186</v>
      </c>
      <c r="X30" s="303"/>
      <c r="Y30" s="307">
        <v>730</v>
      </c>
      <c r="Z30" s="307">
        <v>203</v>
      </c>
      <c r="AA30" s="303"/>
      <c r="AB30" s="302"/>
      <c r="AC30" s="307">
        <v>175</v>
      </c>
      <c r="AD30" s="307">
        <v>414</v>
      </c>
      <c r="AE30" s="307">
        <v>378</v>
      </c>
      <c r="AF30" s="302"/>
      <c r="AG30" s="303"/>
      <c r="AH30" s="305"/>
      <c r="AI30" s="306">
        <v>38278</v>
      </c>
      <c r="AK30" s="493" t="s">
        <v>122</v>
      </c>
      <c r="AL30" s="483">
        <v>15.12</v>
      </c>
      <c r="AM30" s="484" t="s">
        <v>548</v>
      </c>
      <c r="AN30" s="485">
        <v>23779</v>
      </c>
      <c r="AO30" s="486">
        <v>15.08</v>
      </c>
      <c r="AP30" s="484" t="s">
        <v>547</v>
      </c>
      <c r="AQ30" s="485">
        <v>10509</v>
      </c>
    </row>
    <row r="31" spans="1:43" ht="18" x14ac:dyDescent="0.25">
      <c r="A31" s="289" t="s">
        <v>123</v>
      </c>
      <c r="B31" s="325">
        <v>2016</v>
      </c>
      <c r="C31" s="325" t="s">
        <v>205</v>
      </c>
      <c r="D31" s="290">
        <v>6455</v>
      </c>
      <c r="E31" s="291"/>
      <c r="F31" s="292">
        <v>6455</v>
      </c>
      <c r="G31" s="291"/>
      <c r="H31" s="291"/>
      <c r="I31" s="292">
        <v>4657</v>
      </c>
      <c r="J31" s="292">
        <v>1756</v>
      </c>
      <c r="K31" s="293">
        <v>42</v>
      </c>
      <c r="L31" s="291"/>
      <c r="M31" s="291"/>
      <c r="N31" s="291"/>
      <c r="O31" s="291"/>
      <c r="P31" s="291"/>
      <c r="Q31" s="291"/>
      <c r="R31" s="294"/>
      <c r="S31" s="294"/>
      <c r="T31" s="290">
        <v>13045</v>
      </c>
      <c r="U31" s="291"/>
      <c r="V31" s="292">
        <v>5046</v>
      </c>
      <c r="W31" s="293">
        <v>439</v>
      </c>
      <c r="X31" s="294"/>
      <c r="Y31" s="293">
        <v>615</v>
      </c>
      <c r="Z31" s="291"/>
      <c r="AA31" s="294"/>
      <c r="AB31" s="291"/>
      <c r="AC31" s="292">
        <v>1515</v>
      </c>
      <c r="AD31" s="292">
        <v>2871</v>
      </c>
      <c r="AE31" s="292">
        <v>2559</v>
      </c>
      <c r="AF31" s="291"/>
      <c r="AG31" s="294"/>
      <c r="AH31" s="291"/>
      <c r="AI31" s="290">
        <v>19500</v>
      </c>
      <c r="AK31" s="482" t="s">
        <v>464</v>
      </c>
      <c r="AL31" s="483">
        <v>17.02</v>
      </c>
      <c r="AM31" s="484" t="s">
        <v>555</v>
      </c>
      <c r="AN31" s="485">
        <v>8139</v>
      </c>
      <c r="AO31" s="488">
        <v>1.01</v>
      </c>
      <c r="AP31" s="484" t="s">
        <v>546</v>
      </c>
      <c r="AQ31" s="485">
        <v>3458</v>
      </c>
    </row>
    <row r="32" spans="1:43" ht="18" x14ac:dyDescent="0.25">
      <c r="A32" s="289" t="s">
        <v>124</v>
      </c>
      <c r="B32" s="325">
        <v>2016</v>
      </c>
      <c r="C32" s="325" t="s">
        <v>205</v>
      </c>
      <c r="D32" s="296">
        <v>9485</v>
      </c>
      <c r="E32" s="298">
        <v>1300</v>
      </c>
      <c r="F32" s="298">
        <v>8185</v>
      </c>
      <c r="G32" s="298">
        <v>3448</v>
      </c>
      <c r="H32" s="297"/>
      <c r="I32" s="298">
        <v>1881</v>
      </c>
      <c r="J32" s="298">
        <v>1148</v>
      </c>
      <c r="K32" s="297"/>
      <c r="L32" s="297"/>
      <c r="M32" s="297"/>
      <c r="N32" s="298">
        <v>1708</v>
      </c>
      <c r="O32" s="297"/>
      <c r="P32" s="297"/>
      <c r="Q32" s="297"/>
      <c r="R32" s="300"/>
      <c r="S32" s="300"/>
      <c r="T32" s="301">
        <v>10789</v>
      </c>
      <c r="U32" s="302"/>
      <c r="V32" s="304">
        <v>2965</v>
      </c>
      <c r="W32" s="304">
        <v>1301</v>
      </c>
      <c r="X32" s="303"/>
      <c r="Y32" s="307">
        <v>118</v>
      </c>
      <c r="Z32" s="302"/>
      <c r="AA32" s="303"/>
      <c r="AB32" s="302"/>
      <c r="AC32" s="304">
        <v>3761</v>
      </c>
      <c r="AD32" s="304">
        <v>2644</v>
      </c>
      <c r="AE32" s="302"/>
      <c r="AF32" s="302"/>
      <c r="AG32" s="303"/>
      <c r="AH32" s="305"/>
      <c r="AI32" s="306">
        <v>20274</v>
      </c>
      <c r="AK32" s="482" t="s">
        <v>465</v>
      </c>
      <c r="AL32" s="483">
        <v>19.12</v>
      </c>
      <c r="AM32" s="484" t="s">
        <v>548</v>
      </c>
      <c r="AN32" s="485">
        <v>8752</v>
      </c>
      <c r="AO32" s="488">
        <v>2.0499999999999998</v>
      </c>
      <c r="AP32" s="484" t="s">
        <v>547</v>
      </c>
      <c r="AQ32" s="485">
        <v>3785</v>
      </c>
    </row>
    <row r="33" spans="1:43" ht="18" x14ac:dyDescent="0.25">
      <c r="A33" s="289" t="s">
        <v>125</v>
      </c>
      <c r="B33" s="325">
        <v>2016</v>
      </c>
      <c r="C33" s="325" t="s">
        <v>205</v>
      </c>
      <c r="D33" s="290">
        <v>6214</v>
      </c>
      <c r="E33" s="291"/>
      <c r="F33" s="292">
        <v>5594</v>
      </c>
      <c r="G33" s="292">
        <v>5283</v>
      </c>
      <c r="H33" s="291"/>
      <c r="I33" s="293">
        <v>311</v>
      </c>
      <c r="J33" s="291"/>
      <c r="K33" s="291"/>
      <c r="L33" s="291"/>
      <c r="M33" s="291"/>
      <c r="N33" s="291"/>
      <c r="O33" s="291"/>
      <c r="P33" s="293">
        <v>620</v>
      </c>
      <c r="Q33" s="291"/>
      <c r="R33" s="294"/>
      <c r="S33" s="294"/>
      <c r="T33" s="290">
        <v>2395</v>
      </c>
      <c r="U33" s="291"/>
      <c r="V33" s="291"/>
      <c r="W33" s="291"/>
      <c r="X33" s="294"/>
      <c r="Y33" s="291"/>
      <c r="Z33" s="291"/>
      <c r="AA33" s="294"/>
      <c r="AB33" s="291"/>
      <c r="AC33" s="293">
        <v>404</v>
      </c>
      <c r="AD33" s="292">
        <v>1991</v>
      </c>
      <c r="AE33" s="291"/>
      <c r="AF33" s="291"/>
      <c r="AG33" s="294"/>
      <c r="AH33" s="291"/>
      <c r="AI33" s="290">
        <v>8609</v>
      </c>
      <c r="AK33" s="482" t="s">
        <v>467</v>
      </c>
      <c r="AL33" s="483">
        <v>31.12</v>
      </c>
      <c r="AM33" s="484" t="s">
        <v>540</v>
      </c>
      <c r="AN33" s="485">
        <v>6958</v>
      </c>
      <c r="AO33" s="488">
        <v>5.0599999999999996</v>
      </c>
      <c r="AP33" s="484" t="s">
        <v>547</v>
      </c>
      <c r="AQ33" s="485">
        <v>2414</v>
      </c>
    </row>
    <row r="34" spans="1:43" ht="18" x14ac:dyDescent="0.25">
      <c r="A34" s="289" t="s">
        <v>126</v>
      </c>
      <c r="B34" s="325">
        <v>2016</v>
      </c>
      <c r="C34" s="325" t="s">
        <v>205</v>
      </c>
      <c r="D34" s="296">
        <v>14215</v>
      </c>
      <c r="E34" s="298">
        <v>9714</v>
      </c>
      <c r="F34" s="298">
        <v>4501</v>
      </c>
      <c r="G34" s="297"/>
      <c r="H34" s="297"/>
      <c r="I34" s="299">
        <v>879</v>
      </c>
      <c r="J34" s="299">
        <v>225</v>
      </c>
      <c r="K34" s="298">
        <v>3277</v>
      </c>
      <c r="L34" s="297"/>
      <c r="M34" s="297"/>
      <c r="N34" s="299">
        <v>120</v>
      </c>
      <c r="O34" s="297"/>
      <c r="P34" s="297"/>
      <c r="Q34" s="297"/>
      <c r="R34" s="313"/>
      <c r="S34" s="300"/>
      <c r="T34" s="301">
        <v>25191</v>
      </c>
      <c r="U34" s="302"/>
      <c r="V34" s="304">
        <v>6029</v>
      </c>
      <c r="W34" s="302"/>
      <c r="X34" s="303"/>
      <c r="Y34" s="304">
        <v>2978</v>
      </c>
      <c r="Z34" s="302"/>
      <c r="AA34" s="303"/>
      <c r="AB34" s="302"/>
      <c r="AC34" s="304">
        <v>16184</v>
      </c>
      <c r="AD34" s="302"/>
      <c r="AE34" s="302"/>
      <c r="AF34" s="302"/>
      <c r="AG34" s="303"/>
      <c r="AH34" s="305"/>
      <c r="AI34" s="306">
        <v>39406</v>
      </c>
      <c r="AK34" s="482" t="s">
        <v>468</v>
      </c>
      <c r="AL34" s="483">
        <v>15.01</v>
      </c>
      <c r="AM34" s="484" t="s">
        <v>554</v>
      </c>
      <c r="AN34" s="485">
        <v>26576</v>
      </c>
      <c r="AO34" s="486">
        <v>26.06</v>
      </c>
      <c r="AP34" s="484" t="s">
        <v>550</v>
      </c>
      <c r="AQ34" s="485">
        <v>8722</v>
      </c>
    </row>
    <row r="35" spans="1:43" ht="18" x14ac:dyDescent="0.25">
      <c r="A35" s="289" t="s">
        <v>127</v>
      </c>
      <c r="B35" s="325">
        <v>2016</v>
      </c>
      <c r="C35" s="325" t="s">
        <v>205</v>
      </c>
      <c r="D35" s="290">
        <v>2370</v>
      </c>
      <c r="E35" s="293">
        <v>696</v>
      </c>
      <c r="F35" s="292">
        <v>1379</v>
      </c>
      <c r="G35" s="293">
        <v>924</v>
      </c>
      <c r="H35" s="291"/>
      <c r="I35" s="293">
        <v>455</v>
      </c>
      <c r="J35" s="291"/>
      <c r="K35" s="291"/>
      <c r="L35" s="291"/>
      <c r="M35" s="291"/>
      <c r="N35" s="291"/>
      <c r="O35" s="291"/>
      <c r="P35" s="291"/>
      <c r="Q35" s="293">
        <v>180</v>
      </c>
      <c r="R35" s="295">
        <v>8</v>
      </c>
      <c r="S35" s="295">
        <v>107</v>
      </c>
      <c r="T35" s="290">
        <v>1431</v>
      </c>
      <c r="U35" s="291"/>
      <c r="V35" s="293">
        <v>3</v>
      </c>
      <c r="W35" s="293">
        <v>271</v>
      </c>
      <c r="X35" s="294"/>
      <c r="Y35" s="293">
        <v>12</v>
      </c>
      <c r="Z35" s="293">
        <v>29</v>
      </c>
      <c r="AA35" s="294"/>
      <c r="AB35" s="291"/>
      <c r="AC35" s="291"/>
      <c r="AD35" s="292">
        <v>1117</v>
      </c>
      <c r="AE35" s="291"/>
      <c r="AF35" s="291"/>
      <c r="AG35" s="314"/>
      <c r="AH35" s="291"/>
      <c r="AI35" s="290">
        <v>3802</v>
      </c>
      <c r="AK35" s="482" t="s">
        <v>469</v>
      </c>
      <c r="AL35" s="483">
        <v>21.12</v>
      </c>
      <c r="AM35" s="484" t="s">
        <v>540</v>
      </c>
      <c r="AN35" s="485">
        <v>2144</v>
      </c>
      <c r="AO35" s="488">
        <v>2.0499999999999998</v>
      </c>
      <c r="AP35" s="484" t="s">
        <v>541</v>
      </c>
      <c r="AQ35" s="487">
        <v>929</v>
      </c>
    </row>
    <row r="36" spans="1:43" ht="18" x14ac:dyDescent="0.25">
      <c r="A36" s="289" t="s">
        <v>128</v>
      </c>
      <c r="B36" s="325">
        <v>2016</v>
      </c>
      <c r="C36" s="325" t="s">
        <v>205</v>
      </c>
      <c r="D36" s="296">
        <v>5169</v>
      </c>
      <c r="E36" s="298">
        <v>1940</v>
      </c>
      <c r="F36" s="298">
        <v>2476</v>
      </c>
      <c r="G36" s="299">
        <v>458</v>
      </c>
      <c r="H36" s="297"/>
      <c r="I36" s="298">
        <v>1121</v>
      </c>
      <c r="J36" s="299">
        <v>220</v>
      </c>
      <c r="K36" s="299">
        <v>255</v>
      </c>
      <c r="L36" s="297"/>
      <c r="M36" s="297"/>
      <c r="N36" s="299">
        <v>422</v>
      </c>
      <c r="O36" s="297"/>
      <c r="P36" s="299">
        <v>734</v>
      </c>
      <c r="Q36" s="297"/>
      <c r="R36" s="310">
        <v>19</v>
      </c>
      <c r="S36" s="300"/>
      <c r="T36" s="301">
        <v>2679</v>
      </c>
      <c r="U36" s="302"/>
      <c r="V36" s="307">
        <v>3</v>
      </c>
      <c r="W36" s="307">
        <v>530</v>
      </c>
      <c r="X36" s="303"/>
      <c r="Y36" s="307">
        <v>224</v>
      </c>
      <c r="Z36" s="307">
        <v>105</v>
      </c>
      <c r="AA36" s="303"/>
      <c r="AB36" s="302"/>
      <c r="AC36" s="307">
        <v>318</v>
      </c>
      <c r="AD36" s="304">
        <v>1244</v>
      </c>
      <c r="AE36" s="307">
        <v>241</v>
      </c>
      <c r="AF36" s="302"/>
      <c r="AG36" s="309">
        <v>14</v>
      </c>
      <c r="AH36" s="305"/>
      <c r="AI36" s="306">
        <v>7848</v>
      </c>
      <c r="AK36" s="482" t="s">
        <v>470</v>
      </c>
      <c r="AL36" s="483">
        <v>14.12</v>
      </c>
      <c r="AM36" s="484" t="s">
        <v>548</v>
      </c>
      <c r="AN36" s="485">
        <v>4360</v>
      </c>
      <c r="AO36" s="486">
        <v>12.06</v>
      </c>
      <c r="AP36" s="484" t="s">
        <v>547</v>
      </c>
      <c r="AQ36" s="485">
        <v>2285</v>
      </c>
    </row>
    <row r="37" spans="1:43" ht="18" x14ac:dyDescent="0.25">
      <c r="A37" s="289" t="s">
        <v>129</v>
      </c>
      <c r="B37" s="325">
        <v>2016</v>
      </c>
      <c r="C37" s="325" t="s">
        <v>205</v>
      </c>
      <c r="D37" s="290">
        <v>43923</v>
      </c>
      <c r="E37" s="291"/>
      <c r="F37" s="292">
        <v>43923</v>
      </c>
      <c r="G37" s="292">
        <v>9755</v>
      </c>
      <c r="H37" s="291"/>
      <c r="I37" s="292">
        <v>25569</v>
      </c>
      <c r="J37" s="292">
        <v>8229</v>
      </c>
      <c r="K37" s="293">
        <v>363</v>
      </c>
      <c r="L37" s="291"/>
      <c r="M37" s="291"/>
      <c r="N37" s="293">
        <v>6</v>
      </c>
      <c r="O37" s="293">
        <v>2</v>
      </c>
      <c r="P37" s="291"/>
      <c r="Q37" s="291"/>
      <c r="R37" s="294"/>
      <c r="S37" s="294"/>
      <c r="T37" s="290">
        <v>34575</v>
      </c>
      <c r="U37" s="291"/>
      <c r="V37" s="292">
        <v>5751</v>
      </c>
      <c r="W37" s="293">
        <v>833</v>
      </c>
      <c r="X37" s="294"/>
      <c r="Y37" s="293">
        <v>489</v>
      </c>
      <c r="Z37" s="291"/>
      <c r="AA37" s="295">
        <v>821</v>
      </c>
      <c r="AB37" s="291"/>
      <c r="AC37" s="292">
        <v>19559</v>
      </c>
      <c r="AD37" s="292">
        <v>7123</v>
      </c>
      <c r="AE37" s="291"/>
      <c r="AF37" s="291"/>
      <c r="AG37" s="294"/>
      <c r="AH37" s="291"/>
      <c r="AI37" s="290">
        <v>78498</v>
      </c>
      <c r="AK37" s="482" t="s">
        <v>471</v>
      </c>
      <c r="AL37" s="483">
        <v>11.08</v>
      </c>
      <c r="AM37" s="484" t="s">
        <v>543</v>
      </c>
      <c r="AN37" s="485">
        <v>44341</v>
      </c>
      <c r="AO37" s="486">
        <v>13.09</v>
      </c>
      <c r="AP37" s="484" t="s">
        <v>546</v>
      </c>
      <c r="AQ37" s="485">
        <v>17796</v>
      </c>
    </row>
    <row r="38" spans="1:43" ht="18" x14ac:dyDescent="0.25">
      <c r="A38" s="320" t="s">
        <v>315</v>
      </c>
      <c r="B38" s="325">
        <v>2016</v>
      </c>
      <c r="C38" s="325" t="s">
        <v>205</v>
      </c>
      <c r="D38" s="296">
        <v>632523</v>
      </c>
      <c r="E38" s="296">
        <v>124830</v>
      </c>
      <c r="F38" s="296">
        <v>475767</v>
      </c>
      <c r="G38" s="296">
        <v>70809</v>
      </c>
      <c r="H38" s="296">
        <v>1303</v>
      </c>
      <c r="I38" s="296">
        <v>233169</v>
      </c>
      <c r="J38" s="296">
        <v>106617</v>
      </c>
      <c r="K38" s="296">
        <v>51197</v>
      </c>
      <c r="L38" s="296">
        <v>1711</v>
      </c>
      <c r="M38" s="296">
        <v>1305</v>
      </c>
      <c r="N38" s="296">
        <v>8737</v>
      </c>
      <c r="O38" s="318">
        <v>917</v>
      </c>
      <c r="P38" s="296">
        <v>23322</v>
      </c>
      <c r="Q38" s="296">
        <v>1815</v>
      </c>
      <c r="R38" s="321">
        <v>1992</v>
      </c>
      <c r="S38" s="321">
        <v>4798</v>
      </c>
      <c r="T38" s="301">
        <v>503759</v>
      </c>
      <c r="U38" s="301">
        <v>11743</v>
      </c>
      <c r="V38" s="301">
        <v>146384</v>
      </c>
      <c r="W38" s="301">
        <v>99338</v>
      </c>
      <c r="X38" s="322">
        <v>2299</v>
      </c>
      <c r="Y38" s="301">
        <v>22573</v>
      </c>
      <c r="Z38" s="301">
        <v>3583</v>
      </c>
      <c r="AA38" s="322">
        <v>2483</v>
      </c>
      <c r="AB38" s="301">
        <v>2916</v>
      </c>
      <c r="AC38" s="301">
        <v>111182</v>
      </c>
      <c r="AD38" s="301">
        <v>74181</v>
      </c>
      <c r="AE38" s="301">
        <v>23456</v>
      </c>
      <c r="AF38" s="308">
        <v>240</v>
      </c>
      <c r="AG38" s="322">
        <v>3380</v>
      </c>
      <c r="AH38" s="319">
        <v>513</v>
      </c>
      <c r="AI38" s="306">
        <v>1136795</v>
      </c>
      <c r="AK38" s="526" t="s">
        <v>643</v>
      </c>
      <c r="AL38" s="490">
        <v>19.010000000000002</v>
      </c>
      <c r="AM38" s="479" t="s">
        <v>556</v>
      </c>
      <c r="AN38" s="491">
        <v>586133</v>
      </c>
      <c r="AO38" s="492">
        <v>29.05</v>
      </c>
      <c r="AP38" s="479" t="s">
        <v>557</v>
      </c>
      <c r="AQ38" s="491">
        <v>264721</v>
      </c>
    </row>
    <row r="39" spans="1:43" x14ac:dyDescent="0.25">
      <c r="A39" s="320" t="s">
        <v>318</v>
      </c>
      <c r="B39" s="325">
        <v>2016</v>
      </c>
      <c r="C39" s="325" t="s">
        <v>205</v>
      </c>
      <c r="D39" s="296">
        <v>573020</v>
      </c>
      <c r="E39" s="296">
        <v>121497</v>
      </c>
      <c r="F39" s="296">
        <v>422039</v>
      </c>
      <c r="G39" s="296">
        <v>52958</v>
      </c>
      <c r="H39" s="296">
        <v>1303</v>
      </c>
      <c r="I39" s="296">
        <v>206594</v>
      </c>
      <c r="J39" s="296">
        <v>98389</v>
      </c>
      <c r="K39" s="296">
        <v>50635</v>
      </c>
      <c r="L39" s="296">
        <v>1711</v>
      </c>
      <c r="M39" s="296">
        <v>1305</v>
      </c>
      <c r="N39" s="296">
        <v>8731</v>
      </c>
      <c r="O39" s="318">
        <v>414</v>
      </c>
      <c r="P39" s="296">
        <v>21319</v>
      </c>
      <c r="Q39" s="296">
        <v>1375</v>
      </c>
      <c r="R39" s="321">
        <v>1992</v>
      </c>
      <c r="S39" s="321">
        <v>4798</v>
      </c>
      <c r="T39" s="301">
        <v>415736</v>
      </c>
      <c r="U39" s="301">
        <v>11743</v>
      </c>
      <c r="V39" s="301">
        <v>139666</v>
      </c>
      <c r="W39" s="301">
        <v>97428</v>
      </c>
      <c r="X39" s="322">
        <v>2299</v>
      </c>
      <c r="Y39" s="301">
        <v>21836</v>
      </c>
      <c r="Z39" s="301">
        <v>3578</v>
      </c>
      <c r="AA39" s="323">
        <v>1001</v>
      </c>
      <c r="AB39" s="301">
        <v>2916</v>
      </c>
      <c r="AC39" s="301">
        <v>47655</v>
      </c>
      <c r="AD39" s="301">
        <v>60993</v>
      </c>
      <c r="AE39" s="301">
        <v>23001</v>
      </c>
      <c r="AF39" s="308">
        <v>240</v>
      </c>
      <c r="AG39" s="323">
        <v>3380</v>
      </c>
      <c r="AH39" s="319">
        <v>269</v>
      </c>
      <c r="AI39" s="306">
        <v>989025</v>
      </c>
    </row>
    <row r="48" spans="1:43" ht="12.75" x14ac:dyDescent="0.25">
      <c r="A48" s="1" t="s">
        <v>197</v>
      </c>
      <c r="B48" s="1" t="s">
        <v>63</v>
      </c>
      <c r="C48" s="1" t="s">
        <v>393</v>
      </c>
      <c r="D48" s="144" t="s">
        <v>57</v>
      </c>
      <c r="E48" s="144" t="s">
        <v>348</v>
      </c>
      <c r="F48" s="144" t="s">
        <v>349</v>
      </c>
      <c r="G48" s="144" t="s">
        <v>595</v>
      </c>
      <c r="H48" s="144" t="s">
        <v>352</v>
      </c>
      <c r="I48" s="144" t="s">
        <v>43</v>
      </c>
      <c r="J48" s="144" t="s">
        <v>42</v>
      </c>
      <c r="K48" s="144" t="s">
        <v>44</v>
      </c>
      <c r="L48" s="144" t="s">
        <v>397</v>
      </c>
      <c r="M48" s="144" t="s">
        <v>394</v>
      </c>
      <c r="N48" s="144" t="s">
        <v>357</v>
      </c>
      <c r="O48" s="144" t="s">
        <v>647</v>
      </c>
      <c r="P48" s="144" t="s">
        <v>359</v>
      </c>
      <c r="Q48" s="144" t="s">
        <v>396</v>
      </c>
      <c r="R48" s="144" t="s">
        <v>395</v>
      </c>
      <c r="S48" s="144" t="s">
        <v>392</v>
      </c>
      <c r="T48" s="508" t="s">
        <v>597</v>
      </c>
      <c r="U48" s="508" t="s">
        <v>596</v>
      </c>
      <c r="V48" s="508"/>
    </row>
    <row r="49" spans="1:21" x14ac:dyDescent="0.25">
      <c r="A49" s="425" t="str">
        <f>A3</f>
        <v>AT</v>
      </c>
      <c r="B49" s="366">
        <f>B3</f>
        <v>2016</v>
      </c>
      <c r="C49" s="366" t="str">
        <f>C3</f>
        <v>MW</v>
      </c>
      <c r="D49" s="144">
        <f>E3</f>
        <v>0</v>
      </c>
      <c r="E49" s="144">
        <f>G3</f>
        <v>0</v>
      </c>
      <c r="F49" s="167">
        <f>J3</f>
        <v>1171</v>
      </c>
      <c r="G49" s="167">
        <f>H3+I3</f>
        <v>4820</v>
      </c>
      <c r="H49" s="422">
        <f>M3+N3+O3+L3+K3</f>
        <v>1068</v>
      </c>
      <c r="I49" s="167">
        <f>V3</f>
        <v>2489</v>
      </c>
      <c r="J49" s="144">
        <f>U3</f>
        <v>0</v>
      </c>
      <c r="K49" s="422">
        <f>W3</f>
        <v>732</v>
      </c>
      <c r="L49" s="422">
        <f>Y3+Z3</f>
        <v>596</v>
      </c>
      <c r="M49" s="422">
        <f>X3+AA3+AB3+AG3+AH3</f>
        <v>24</v>
      </c>
      <c r="N49" s="167">
        <f t="shared" ref="N49:N85" si="0">SUM(AC3,AD3,AE3,AF3)</f>
        <v>13656</v>
      </c>
      <c r="O49" s="167">
        <f t="shared" ref="O49:O85" si="1">SUM(P3,Q3)</f>
        <v>0</v>
      </c>
      <c r="P49" s="422">
        <f t="shared" ref="P49:P85" si="2">SUM(R3:S3)</f>
        <v>90</v>
      </c>
      <c r="Q49" s="167">
        <f t="shared" ref="Q49:Q85" si="3">SUM(D49:P49)</f>
        <v>24646</v>
      </c>
      <c r="R49" s="167">
        <f>AI3</f>
        <v>24646</v>
      </c>
      <c r="S49" s="424">
        <f>Q49/R49</f>
        <v>1</v>
      </c>
      <c r="T49" s="443">
        <f>IFERROR(VLOOKUP(Capacity_Entsoe_SFS_2016[[#This Row],[Country]],$AK$3:$AQ$38,7,0),0)</f>
        <v>4664</v>
      </c>
      <c r="U49" s="443">
        <f>IFERROR(VLOOKUP(Capacity_Entsoe_SFS_2016[[#This Row],[Country]],$AK$3:$AQ$38,4,0),0)</f>
        <v>11728</v>
      </c>
    </row>
    <row r="50" spans="1:21" x14ac:dyDescent="0.25">
      <c r="A50" s="425" t="str">
        <f t="shared" ref="A50:A85" si="4">A4</f>
        <v>BA</v>
      </c>
      <c r="B50" s="366">
        <f t="shared" ref="B50:C70" si="5">B5</f>
        <v>2016</v>
      </c>
      <c r="C50" s="366" t="str">
        <f t="shared" si="5"/>
        <v>MW</v>
      </c>
      <c r="D50" s="144">
        <f t="shared" ref="D50:D85" si="6">E4</f>
        <v>0</v>
      </c>
      <c r="E50" s="144">
        <f t="shared" ref="E50:E85" si="7">G4</f>
        <v>1876</v>
      </c>
      <c r="F50" s="167">
        <f t="shared" ref="F50:F85" si="8">J4</f>
        <v>0</v>
      </c>
      <c r="G50" s="167">
        <f t="shared" ref="G50:G85" si="9">H4+I4</f>
        <v>0</v>
      </c>
      <c r="H50" s="422">
        <f t="shared" ref="H50:H85" si="10">M4+N4+O4+L4+K4</f>
        <v>0</v>
      </c>
      <c r="I50" s="167">
        <f t="shared" ref="I50:I85" si="11">V4</f>
        <v>0</v>
      </c>
      <c r="J50" s="144">
        <f t="shared" ref="J50:J85" si="12">U4</f>
        <v>0</v>
      </c>
      <c r="K50" s="422">
        <f t="shared" ref="K50:K85" si="13">W4</f>
        <v>0</v>
      </c>
      <c r="L50" s="422">
        <f t="shared" ref="L50:L85" si="14">Y4+Z4</f>
        <v>0</v>
      </c>
      <c r="M50" s="422">
        <f t="shared" ref="M50:M85" si="15">X4+AA4+AB4+AG4+AH4</f>
        <v>0</v>
      </c>
      <c r="N50" s="167">
        <f t="shared" si="0"/>
        <v>1656</v>
      </c>
      <c r="O50" s="167">
        <f t="shared" si="1"/>
        <v>440</v>
      </c>
      <c r="P50" s="422">
        <f t="shared" si="2"/>
        <v>0</v>
      </c>
      <c r="Q50" s="167">
        <f t="shared" si="3"/>
        <v>3972</v>
      </c>
      <c r="R50" s="167">
        <f t="shared" ref="R50:R85" si="16">AI4</f>
        <v>3972</v>
      </c>
      <c r="S50" s="424">
        <f t="shared" ref="S50:S79" si="17">Q50/R50</f>
        <v>1</v>
      </c>
      <c r="T50" s="443">
        <f>IFERROR(VLOOKUP(Capacity_Entsoe_SFS_2016[[#This Row],[Country]],$AK$3:$AQ$38,7,0),0)</f>
        <v>868</v>
      </c>
      <c r="U50" s="443">
        <f>IFERROR(VLOOKUP(Capacity_Entsoe_SFS_2016[[#This Row],[Country]],$AK$3:$AQ$38,4,0),0)</f>
        <v>2142</v>
      </c>
    </row>
    <row r="51" spans="1:21" x14ac:dyDescent="0.25">
      <c r="A51" s="425" t="str">
        <f t="shared" si="4"/>
        <v>BE</v>
      </c>
      <c r="B51" s="366">
        <f t="shared" si="5"/>
        <v>2016</v>
      </c>
      <c r="C51" s="366" t="str">
        <f t="shared" si="5"/>
        <v>MW</v>
      </c>
      <c r="D51" s="144">
        <f t="shared" si="6"/>
        <v>5926</v>
      </c>
      <c r="E51" s="144">
        <f t="shared" si="7"/>
        <v>0</v>
      </c>
      <c r="F51" s="167">
        <f t="shared" si="8"/>
        <v>0</v>
      </c>
      <c r="G51" s="167">
        <f t="shared" si="9"/>
        <v>6546</v>
      </c>
      <c r="H51" s="422">
        <f t="shared" si="10"/>
        <v>160</v>
      </c>
      <c r="I51" s="167">
        <f t="shared" si="11"/>
        <v>1580</v>
      </c>
      <c r="J51" s="144">
        <f t="shared" si="12"/>
        <v>712</v>
      </c>
      <c r="K51" s="422">
        <f t="shared" si="13"/>
        <v>3087</v>
      </c>
      <c r="L51" s="422">
        <f t="shared" si="14"/>
        <v>823</v>
      </c>
      <c r="M51" s="422">
        <f t="shared" si="15"/>
        <v>0</v>
      </c>
      <c r="N51" s="167">
        <f t="shared" si="0"/>
        <v>122</v>
      </c>
      <c r="O51" s="167">
        <f t="shared" si="1"/>
        <v>1308</v>
      </c>
      <c r="P51" s="422">
        <f t="shared" si="2"/>
        <v>372</v>
      </c>
      <c r="Q51" s="167">
        <f t="shared" si="3"/>
        <v>20636</v>
      </c>
      <c r="R51" s="167">
        <f t="shared" si="16"/>
        <v>20636</v>
      </c>
      <c r="S51" s="424">
        <f t="shared" si="17"/>
        <v>1</v>
      </c>
      <c r="T51" s="443">
        <f>IFERROR(VLOOKUP(Capacity_Entsoe_SFS_2016[[#This Row],[Country]],$AK$3:$AQ$38,7,0),0)</f>
        <v>6012</v>
      </c>
      <c r="U51" s="443">
        <f>IFERROR(VLOOKUP(Capacity_Entsoe_SFS_2016[[#This Row],[Country]],$AK$3:$AQ$38,4,0),0)</f>
        <v>13147</v>
      </c>
    </row>
    <row r="52" spans="1:21" x14ac:dyDescent="0.25">
      <c r="A52" s="425" t="str">
        <f t="shared" si="4"/>
        <v>BG</v>
      </c>
      <c r="B52" s="366">
        <f t="shared" si="5"/>
        <v>2016</v>
      </c>
      <c r="C52" s="366" t="str">
        <f t="shared" si="5"/>
        <v>MW</v>
      </c>
      <c r="D52" s="144">
        <f t="shared" si="6"/>
        <v>2000</v>
      </c>
      <c r="E52" s="144">
        <f t="shared" si="7"/>
        <v>4199</v>
      </c>
      <c r="F52" s="167">
        <f t="shared" si="8"/>
        <v>708</v>
      </c>
      <c r="G52" s="167">
        <f t="shared" si="9"/>
        <v>775</v>
      </c>
      <c r="H52" s="422">
        <f t="shared" si="10"/>
        <v>0</v>
      </c>
      <c r="I52" s="167">
        <f t="shared" si="11"/>
        <v>701</v>
      </c>
      <c r="J52" s="144">
        <f t="shared" si="12"/>
        <v>0</v>
      </c>
      <c r="K52" s="422">
        <f t="shared" si="13"/>
        <v>1043</v>
      </c>
      <c r="L52" s="422">
        <f t="shared" si="14"/>
        <v>69</v>
      </c>
      <c r="M52" s="422">
        <f t="shared" si="15"/>
        <v>0</v>
      </c>
      <c r="N52" s="167">
        <f t="shared" si="0"/>
        <v>2207</v>
      </c>
      <c r="O52" s="167">
        <f t="shared" si="1"/>
        <v>997</v>
      </c>
      <c r="P52" s="422">
        <f t="shared" si="2"/>
        <v>0</v>
      </c>
      <c r="Q52" s="167">
        <f t="shared" si="3"/>
        <v>12699</v>
      </c>
      <c r="R52" s="167">
        <f t="shared" si="16"/>
        <v>12701</v>
      </c>
      <c r="S52" s="424">
        <f t="shared" si="17"/>
        <v>0.99984253208408791</v>
      </c>
      <c r="T52" s="443">
        <f>IFERROR(VLOOKUP(Capacity_Entsoe_SFS_2016[[#This Row],[Country]],$AK$3:$AQ$38,7,0),0)</f>
        <v>2662</v>
      </c>
      <c r="U52" s="443">
        <f>IFERROR(VLOOKUP(Capacity_Entsoe_SFS_2016[[#This Row],[Country]],$AK$3:$AQ$38,4,0),0)</f>
        <v>7105</v>
      </c>
    </row>
    <row r="53" spans="1:21" x14ac:dyDescent="0.25">
      <c r="A53" s="425" t="str">
        <f t="shared" si="4"/>
        <v>CH</v>
      </c>
      <c r="B53" s="366">
        <f t="shared" si="5"/>
        <v>2016</v>
      </c>
      <c r="C53" s="366" t="str">
        <f t="shared" si="5"/>
        <v>MW</v>
      </c>
      <c r="D53" s="144">
        <f t="shared" si="6"/>
        <v>3333</v>
      </c>
      <c r="E53" s="144">
        <f t="shared" si="7"/>
        <v>0</v>
      </c>
      <c r="F53" s="167">
        <f t="shared" si="8"/>
        <v>0</v>
      </c>
      <c r="G53" s="167">
        <f t="shared" si="9"/>
        <v>0</v>
      </c>
      <c r="H53" s="422">
        <f t="shared" si="10"/>
        <v>501</v>
      </c>
      <c r="I53" s="167">
        <f t="shared" si="11"/>
        <v>60</v>
      </c>
      <c r="J53" s="144">
        <f t="shared" si="12"/>
        <v>0</v>
      </c>
      <c r="K53" s="422">
        <f t="shared" si="13"/>
        <v>1061</v>
      </c>
      <c r="L53" s="422">
        <f t="shared" si="14"/>
        <v>248</v>
      </c>
      <c r="M53" s="422">
        <f t="shared" si="15"/>
        <v>244</v>
      </c>
      <c r="N53" s="167">
        <f t="shared" si="0"/>
        <v>12362</v>
      </c>
      <c r="O53" s="167">
        <f t="shared" si="1"/>
        <v>1383</v>
      </c>
      <c r="P53" s="422">
        <f t="shared" si="2"/>
        <v>0</v>
      </c>
      <c r="Q53" s="167">
        <f t="shared" si="3"/>
        <v>19192</v>
      </c>
      <c r="R53" s="167">
        <f t="shared" si="16"/>
        <v>19192</v>
      </c>
      <c r="S53" s="424">
        <f t="shared" si="17"/>
        <v>1</v>
      </c>
      <c r="T53" s="443">
        <f>IFERROR(VLOOKUP(Capacity_Entsoe_SFS_2016[[#This Row],[Country]],$AK$3:$AQ$38,7,0),0)</f>
        <v>4547</v>
      </c>
      <c r="U53" s="443">
        <f>IFERROR(VLOOKUP(Capacity_Entsoe_SFS_2016[[#This Row],[Country]],$AK$3:$AQ$38,4,0),0)</f>
        <v>10178</v>
      </c>
    </row>
    <row r="54" spans="1:21" x14ac:dyDescent="0.25">
      <c r="A54" s="425" t="str">
        <f t="shared" si="4"/>
        <v>CY</v>
      </c>
      <c r="B54" s="366">
        <f t="shared" si="5"/>
        <v>2016</v>
      </c>
      <c r="C54" s="366" t="str">
        <f t="shared" si="5"/>
        <v>MW</v>
      </c>
      <c r="D54" s="144">
        <f t="shared" si="6"/>
        <v>0</v>
      </c>
      <c r="E54" s="144">
        <f t="shared" si="7"/>
        <v>0</v>
      </c>
      <c r="F54" s="167">
        <f t="shared" si="8"/>
        <v>0</v>
      </c>
      <c r="G54" s="167">
        <f t="shared" si="9"/>
        <v>0</v>
      </c>
      <c r="H54" s="422">
        <f t="shared" si="10"/>
        <v>1478</v>
      </c>
      <c r="I54" s="167">
        <f t="shared" si="11"/>
        <v>155</v>
      </c>
      <c r="J54" s="144">
        <f t="shared" si="12"/>
        <v>0</v>
      </c>
      <c r="K54" s="422">
        <f t="shared" si="13"/>
        <v>0</v>
      </c>
      <c r="L54" s="422">
        <f t="shared" si="14"/>
        <v>0</v>
      </c>
      <c r="M54" s="422">
        <f t="shared" si="15"/>
        <v>98</v>
      </c>
      <c r="N54" s="167">
        <f t="shared" si="0"/>
        <v>0</v>
      </c>
      <c r="O54" s="167">
        <f t="shared" si="1"/>
        <v>0</v>
      </c>
      <c r="P54" s="422">
        <f t="shared" si="2"/>
        <v>0</v>
      </c>
      <c r="Q54" s="167">
        <f t="shared" si="3"/>
        <v>1731</v>
      </c>
      <c r="R54" s="167">
        <f t="shared" si="16"/>
        <v>1731</v>
      </c>
      <c r="S54" s="424">
        <f t="shared" si="17"/>
        <v>1</v>
      </c>
      <c r="T54" s="443">
        <f>IFERROR(VLOOKUP(Capacity_Entsoe_SFS_2016[[#This Row],[Country]],$AK$3:$AQ$38,7,0),0)</f>
        <v>285</v>
      </c>
      <c r="U54" s="443">
        <f>IFERROR(VLOOKUP(Capacity_Entsoe_SFS_2016[[#This Row],[Country]],$AK$3:$AQ$38,4,0),0)</f>
        <v>966</v>
      </c>
    </row>
    <row r="55" spans="1:21" x14ac:dyDescent="0.25">
      <c r="A55" s="425" t="str">
        <f t="shared" si="4"/>
        <v>CZ</v>
      </c>
      <c r="B55" s="366">
        <f t="shared" si="5"/>
        <v>2016</v>
      </c>
      <c r="C55" s="366" t="str">
        <f t="shared" si="5"/>
        <v>MW</v>
      </c>
      <c r="D55" s="144">
        <f t="shared" si="6"/>
        <v>4040</v>
      </c>
      <c r="E55" s="144">
        <f t="shared" si="7"/>
        <v>7929</v>
      </c>
      <c r="F55" s="167">
        <f t="shared" si="8"/>
        <v>1200</v>
      </c>
      <c r="G55" s="167">
        <f t="shared" si="9"/>
        <v>1606</v>
      </c>
      <c r="H55" s="422">
        <f t="shared" si="10"/>
        <v>0</v>
      </c>
      <c r="I55" s="167">
        <f t="shared" si="11"/>
        <v>277</v>
      </c>
      <c r="J55" s="144">
        <f t="shared" si="12"/>
        <v>0</v>
      </c>
      <c r="K55" s="422">
        <f t="shared" si="13"/>
        <v>2027</v>
      </c>
      <c r="L55" s="422">
        <f t="shared" si="14"/>
        <v>850</v>
      </c>
      <c r="M55" s="422">
        <f t="shared" si="15"/>
        <v>0</v>
      </c>
      <c r="N55" s="167">
        <f t="shared" si="0"/>
        <v>1087</v>
      </c>
      <c r="O55" s="167">
        <f t="shared" si="1"/>
        <v>1172</v>
      </c>
      <c r="P55" s="422">
        <f t="shared" si="2"/>
        <v>0</v>
      </c>
      <c r="Q55" s="167">
        <f t="shared" si="3"/>
        <v>20188</v>
      </c>
      <c r="R55" s="167">
        <f t="shared" si="16"/>
        <v>20188</v>
      </c>
      <c r="S55" s="424">
        <f t="shared" si="17"/>
        <v>1</v>
      </c>
      <c r="T55" s="443">
        <f>IFERROR(VLOOKUP(Capacity_Entsoe_SFS_2016[[#This Row],[Country]],$AK$3:$AQ$38,7,0),0)</f>
        <v>4446</v>
      </c>
      <c r="U55" s="443">
        <f>IFERROR(VLOOKUP(Capacity_Entsoe_SFS_2016[[#This Row],[Country]],$AK$3:$AQ$38,4,0),0)</f>
        <v>10512</v>
      </c>
    </row>
    <row r="56" spans="1:21" x14ac:dyDescent="0.25">
      <c r="A56" s="425" t="str">
        <f t="shared" si="4"/>
        <v>DE</v>
      </c>
      <c r="B56" s="366">
        <f t="shared" si="5"/>
        <v>2016</v>
      </c>
      <c r="C56" s="366" t="str">
        <f t="shared" si="5"/>
        <v>MW</v>
      </c>
      <c r="D56" s="144">
        <f t="shared" si="6"/>
        <v>10793</v>
      </c>
      <c r="E56" s="144">
        <f t="shared" si="7"/>
        <v>20863</v>
      </c>
      <c r="F56" s="167">
        <f t="shared" si="8"/>
        <v>26818</v>
      </c>
      <c r="G56" s="167">
        <f t="shared" si="9"/>
        <v>28596</v>
      </c>
      <c r="H56" s="422">
        <f t="shared" si="10"/>
        <v>7897</v>
      </c>
      <c r="I56" s="167">
        <f t="shared" si="11"/>
        <v>45004</v>
      </c>
      <c r="J56" s="144">
        <f t="shared" si="12"/>
        <v>4122</v>
      </c>
      <c r="K56" s="422">
        <f t="shared" si="13"/>
        <v>39791</v>
      </c>
      <c r="L56" s="422">
        <f t="shared" si="14"/>
        <v>6908</v>
      </c>
      <c r="M56" s="422">
        <f t="shared" si="15"/>
        <v>1195</v>
      </c>
      <c r="N56" s="167">
        <f t="shared" si="0"/>
        <v>4130</v>
      </c>
      <c r="O56" s="167">
        <f t="shared" si="1"/>
        <v>6345</v>
      </c>
      <c r="P56" s="422">
        <f t="shared" si="2"/>
        <v>649</v>
      </c>
      <c r="Q56" s="167">
        <f t="shared" si="3"/>
        <v>203111</v>
      </c>
      <c r="R56" s="167">
        <f t="shared" si="16"/>
        <v>203109</v>
      </c>
      <c r="S56" s="424">
        <f t="shared" si="17"/>
        <v>1.0000098469294811</v>
      </c>
      <c r="T56" s="443">
        <f>IFERROR(VLOOKUP(Capacity_Entsoe_SFS_2016[[#This Row],[Country]],$AK$3:$AQ$38,7,0),0)</f>
        <v>36670</v>
      </c>
      <c r="U56" s="443">
        <f>IFERROR(VLOOKUP(Capacity_Entsoe_SFS_2016[[#This Row],[Country]],$AK$3:$AQ$38,4,0),0)</f>
        <v>81945</v>
      </c>
    </row>
    <row r="57" spans="1:21" x14ac:dyDescent="0.25">
      <c r="A57" s="425" t="str">
        <f t="shared" si="4"/>
        <v>DK</v>
      </c>
      <c r="B57" s="366">
        <f t="shared" si="5"/>
        <v>2016</v>
      </c>
      <c r="C57" s="366" t="str">
        <f t="shared" si="5"/>
        <v>MW</v>
      </c>
      <c r="D57" s="144">
        <f t="shared" si="6"/>
        <v>0</v>
      </c>
      <c r="E57" s="144">
        <f t="shared" si="7"/>
        <v>0</v>
      </c>
      <c r="F57" s="167">
        <f t="shared" si="8"/>
        <v>4550</v>
      </c>
      <c r="G57" s="167">
        <f t="shared" si="9"/>
        <v>2431</v>
      </c>
      <c r="H57" s="422">
        <f t="shared" si="10"/>
        <v>883</v>
      </c>
      <c r="I57" s="167">
        <f t="shared" si="11"/>
        <v>3978</v>
      </c>
      <c r="J57" s="144">
        <f t="shared" si="12"/>
        <v>1271</v>
      </c>
      <c r="K57" s="422">
        <f t="shared" si="13"/>
        <v>851</v>
      </c>
      <c r="L57" s="422">
        <f t="shared" si="14"/>
        <v>1178</v>
      </c>
      <c r="M57" s="422">
        <f t="shared" si="15"/>
        <v>376</v>
      </c>
      <c r="N57" s="167">
        <f t="shared" si="0"/>
        <v>8</v>
      </c>
      <c r="O57" s="167">
        <f t="shared" si="1"/>
        <v>0</v>
      </c>
      <c r="P57" s="422">
        <f t="shared" si="2"/>
        <v>0</v>
      </c>
      <c r="Q57" s="167">
        <f t="shared" si="3"/>
        <v>15526</v>
      </c>
      <c r="R57" s="167">
        <f t="shared" si="16"/>
        <v>15525</v>
      </c>
      <c r="S57" s="424">
        <f t="shared" si="17"/>
        <v>1.0000644122383253</v>
      </c>
      <c r="T57" s="443">
        <f>IFERROR(VLOOKUP(Capacity_Entsoe_SFS_2016[[#This Row],[Country]],$AK$3:$AQ$38,7,0),0)</f>
        <v>2213</v>
      </c>
      <c r="U57" s="443">
        <f>IFERROR(VLOOKUP(Capacity_Entsoe_SFS_2016[[#This Row],[Country]],$AK$3:$AQ$38,4,0),0)</f>
        <v>6115</v>
      </c>
    </row>
    <row r="58" spans="1:21" x14ac:dyDescent="0.25">
      <c r="A58" s="425" t="str">
        <f t="shared" si="4"/>
        <v>EE</v>
      </c>
      <c r="B58" s="366">
        <f t="shared" si="5"/>
        <v>2016</v>
      </c>
      <c r="C58" s="366" t="str">
        <f t="shared" si="5"/>
        <v>MW</v>
      </c>
      <c r="D58" s="144">
        <f t="shared" si="6"/>
        <v>0</v>
      </c>
      <c r="E58" s="144">
        <f t="shared" si="7"/>
        <v>0</v>
      </c>
      <c r="F58" s="167">
        <f t="shared" si="8"/>
        <v>0</v>
      </c>
      <c r="G58" s="167">
        <f t="shared" si="9"/>
        <v>204</v>
      </c>
      <c r="H58" s="422">
        <f t="shared" si="10"/>
        <v>2240</v>
      </c>
      <c r="I58" s="167">
        <f t="shared" si="11"/>
        <v>375</v>
      </c>
      <c r="J58" s="144">
        <f t="shared" si="12"/>
        <v>0</v>
      </c>
      <c r="K58" s="422">
        <f t="shared" si="13"/>
        <v>1</v>
      </c>
      <c r="L58" s="422">
        <f t="shared" si="14"/>
        <v>82</v>
      </c>
      <c r="M58" s="422">
        <f t="shared" si="15"/>
        <v>4</v>
      </c>
      <c r="N58" s="167">
        <f t="shared" si="0"/>
        <v>8</v>
      </c>
      <c r="O58" s="167">
        <f t="shared" si="1"/>
        <v>0</v>
      </c>
      <c r="P58" s="422">
        <f t="shared" si="2"/>
        <v>27</v>
      </c>
      <c r="Q58" s="167">
        <f t="shared" si="3"/>
        <v>2941</v>
      </c>
      <c r="R58" s="167">
        <f t="shared" si="16"/>
        <v>2940</v>
      </c>
      <c r="S58" s="424">
        <f t="shared" si="17"/>
        <v>1.0003401360544217</v>
      </c>
      <c r="T58" s="443">
        <f>IFERROR(VLOOKUP(Capacity_Entsoe_SFS_2016[[#This Row],[Country]],$AK$3:$AQ$38,7,0),0)</f>
        <v>493</v>
      </c>
      <c r="U58" s="443">
        <f>IFERROR(VLOOKUP(Capacity_Entsoe_SFS_2016[[#This Row],[Country]],$AK$3:$AQ$38,4,0),0)</f>
        <v>1538</v>
      </c>
    </row>
    <row r="59" spans="1:21" x14ac:dyDescent="0.25">
      <c r="A59" s="425" t="str">
        <f t="shared" si="4"/>
        <v>ES</v>
      </c>
      <c r="B59" s="366">
        <f t="shared" si="5"/>
        <v>2016</v>
      </c>
      <c r="C59" s="366" t="str">
        <f t="shared" si="5"/>
        <v>MW</v>
      </c>
      <c r="D59" s="144">
        <f t="shared" si="6"/>
        <v>7573</v>
      </c>
      <c r="E59" s="144">
        <f t="shared" si="7"/>
        <v>1056</v>
      </c>
      <c r="F59" s="167">
        <f t="shared" si="8"/>
        <v>8949</v>
      </c>
      <c r="G59" s="167">
        <f t="shared" si="9"/>
        <v>32323</v>
      </c>
      <c r="H59" s="422">
        <f t="shared" si="10"/>
        <v>3425</v>
      </c>
      <c r="I59" s="167">
        <f t="shared" si="11"/>
        <v>23057</v>
      </c>
      <c r="J59" s="144">
        <f t="shared" si="12"/>
        <v>0</v>
      </c>
      <c r="K59" s="422">
        <f t="shared" si="13"/>
        <v>4674</v>
      </c>
      <c r="L59" s="422">
        <f t="shared" si="14"/>
        <v>744</v>
      </c>
      <c r="M59" s="422">
        <f t="shared" si="15"/>
        <v>2422</v>
      </c>
      <c r="N59" s="167">
        <f t="shared" si="0"/>
        <v>17025</v>
      </c>
      <c r="O59" s="167">
        <f t="shared" si="1"/>
        <v>3329</v>
      </c>
      <c r="P59" s="422">
        <f t="shared" si="2"/>
        <v>705</v>
      </c>
      <c r="Q59" s="167">
        <f t="shared" si="3"/>
        <v>105282</v>
      </c>
      <c r="R59" s="167">
        <f t="shared" si="16"/>
        <v>105279</v>
      </c>
      <c r="S59" s="424">
        <f t="shared" si="17"/>
        <v>1.0000284957113954</v>
      </c>
      <c r="T59" s="443">
        <f>IFERROR(VLOOKUP(Capacity_Entsoe_SFS_2016[[#This Row],[Country]],$AK$3:$AQ$38,7,0),0)</f>
        <v>18054</v>
      </c>
      <c r="U59" s="443">
        <f>IFERROR(VLOOKUP(Capacity_Entsoe_SFS_2016[[#This Row],[Country]],$AK$3:$AQ$38,4,0),0)</f>
        <v>40144</v>
      </c>
    </row>
    <row r="60" spans="1:21" x14ac:dyDescent="0.25">
      <c r="A60" s="425" t="str">
        <f t="shared" si="4"/>
        <v>FI</v>
      </c>
      <c r="B60" s="366">
        <f t="shared" si="5"/>
        <v>2016</v>
      </c>
      <c r="C60" s="366" t="str">
        <f t="shared" si="5"/>
        <v>MW</v>
      </c>
      <c r="D60" s="144">
        <f t="shared" si="6"/>
        <v>2782</v>
      </c>
      <c r="E60" s="144">
        <f t="shared" si="7"/>
        <v>0</v>
      </c>
      <c r="F60" s="167">
        <f t="shared" si="8"/>
        <v>2854</v>
      </c>
      <c r="G60" s="167">
        <f t="shared" si="9"/>
        <v>1795</v>
      </c>
      <c r="H60" s="422">
        <f t="shared" si="10"/>
        <v>3067</v>
      </c>
      <c r="I60" s="167">
        <f t="shared" si="11"/>
        <v>1432</v>
      </c>
      <c r="J60" s="144">
        <f t="shared" si="12"/>
        <v>0</v>
      </c>
      <c r="K60" s="422">
        <f t="shared" si="13"/>
        <v>0</v>
      </c>
      <c r="L60" s="422">
        <f t="shared" si="14"/>
        <v>1663</v>
      </c>
      <c r="M60" s="422">
        <f t="shared" si="15"/>
        <v>85</v>
      </c>
      <c r="N60" s="167">
        <f t="shared" si="0"/>
        <v>3207</v>
      </c>
      <c r="O60" s="167">
        <f t="shared" si="1"/>
        <v>0</v>
      </c>
      <c r="P60" s="422">
        <f t="shared" si="2"/>
        <v>126</v>
      </c>
      <c r="Q60" s="167">
        <f t="shared" si="3"/>
        <v>17011</v>
      </c>
      <c r="R60" s="167">
        <f t="shared" si="16"/>
        <v>17011</v>
      </c>
      <c r="S60" s="424">
        <f t="shared" si="17"/>
        <v>1</v>
      </c>
      <c r="T60" s="443">
        <f>IFERROR(VLOOKUP(Capacity_Entsoe_SFS_2016[[#This Row],[Country]],$AK$3:$AQ$38,7,0),0)</f>
        <v>5534</v>
      </c>
      <c r="U60" s="443">
        <f>IFERROR(VLOOKUP(Capacity_Entsoe_SFS_2016[[#This Row],[Country]],$AK$3:$AQ$38,4,0),0)</f>
        <v>15177</v>
      </c>
    </row>
    <row r="61" spans="1:21" x14ac:dyDescent="0.25">
      <c r="A61" s="425" t="str">
        <f t="shared" si="4"/>
        <v>FR</v>
      </c>
      <c r="B61" s="366">
        <f t="shared" si="5"/>
        <v>2016</v>
      </c>
      <c r="C61" s="366" t="str">
        <f t="shared" si="5"/>
        <v>MW</v>
      </c>
      <c r="D61" s="144">
        <f t="shared" si="6"/>
        <v>63130</v>
      </c>
      <c r="E61" s="144">
        <f t="shared" si="7"/>
        <v>0</v>
      </c>
      <c r="F61" s="167">
        <f t="shared" si="8"/>
        <v>2997</v>
      </c>
      <c r="G61" s="167">
        <f t="shared" si="9"/>
        <v>11679</v>
      </c>
      <c r="H61" s="422">
        <f t="shared" si="10"/>
        <v>7130</v>
      </c>
      <c r="I61" s="167">
        <f t="shared" si="11"/>
        <v>11762</v>
      </c>
      <c r="J61" s="144">
        <f t="shared" si="12"/>
        <v>0</v>
      </c>
      <c r="K61" s="422">
        <f t="shared" si="13"/>
        <v>6772</v>
      </c>
      <c r="L61" s="422">
        <f t="shared" si="14"/>
        <v>1046</v>
      </c>
      <c r="M61" s="422">
        <f t="shared" si="15"/>
        <v>2609</v>
      </c>
      <c r="N61" s="167">
        <f t="shared" si="0"/>
        <v>23751</v>
      </c>
      <c r="O61" s="167">
        <f t="shared" si="1"/>
        <v>0</v>
      </c>
      <c r="P61" s="422">
        <f t="shared" si="2"/>
        <v>0</v>
      </c>
      <c r="Q61" s="167">
        <f t="shared" si="3"/>
        <v>130876</v>
      </c>
      <c r="R61" s="167">
        <f t="shared" si="16"/>
        <v>130874</v>
      </c>
      <c r="S61" s="424">
        <f t="shared" si="17"/>
        <v>1.000015281874169</v>
      </c>
      <c r="T61" s="443">
        <f>IFERROR(VLOOKUP(Capacity_Entsoe_SFS_2016[[#This Row],[Country]],$AK$3:$AQ$38,7,0),0)</f>
        <v>30584</v>
      </c>
      <c r="U61" s="443">
        <f>IFERROR(VLOOKUP(Capacity_Entsoe_SFS_2016[[#This Row],[Country]],$AK$3:$AQ$38,4,0),0)</f>
        <v>88571</v>
      </c>
    </row>
    <row r="62" spans="1:21" x14ac:dyDescent="0.25">
      <c r="A62" s="425" t="str">
        <f t="shared" si="4"/>
        <v>GB</v>
      </c>
      <c r="B62" s="366">
        <f t="shared" si="5"/>
        <v>2016</v>
      </c>
      <c r="C62" s="366" t="str">
        <f t="shared" si="5"/>
        <v>MW</v>
      </c>
      <c r="D62" s="144">
        <f t="shared" si="6"/>
        <v>9230</v>
      </c>
      <c r="E62" s="144">
        <f t="shared" si="7"/>
        <v>0</v>
      </c>
      <c r="F62" s="167">
        <f t="shared" si="8"/>
        <v>15450</v>
      </c>
      <c r="G62" s="167">
        <f t="shared" si="9"/>
        <v>30600</v>
      </c>
      <c r="H62" s="422">
        <f t="shared" si="10"/>
        <v>880</v>
      </c>
      <c r="I62" s="167">
        <f t="shared" si="11"/>
        <v>10000</v>
      </c>
      <c r="J62" s="144">
        <f t="shared" si="12"/>
        <v>5000</v>
      </c>
      <c r="K62" s="422">
        <f t="shared" si="13"/>
        <v>11500</v>
      </c>
      <c r="L62" s="422">
        <f t="shared" si="14"/>
        <v>1377</v>
      </c>
      <c r="M62" s="422">
        <f t="shared" si="15"/>
        <v>0</v>
      </c>
      <c r="N62" s="167">
        <f t="shared" si="0"/>
        <v>3920</v>
      </c>
      <c r="O62" s="167">
        <f t="shared" si="1"/>
        <v>0</v>
      </c>
      <c r="P62" s="422">
        <f t="shared" si="2"/>
        <v>0</v>
      </c>
      <c r="Q62" s="167">
        <f t="shared" si="3"/>
        <v>87957</v>
      </c>
      <c r="R62" s="167">
        <f t="shared" si="16"/>
        <v>87957</v>
      </c>
      <c r="S62" s="424">
        <f t="shared" si="17"/>
        <v>1</v>
      </c>
      <c r="T62" s="443">
        <f>IFERROR(VLOOKUP(Capacity_Entsoe_SFS_2016[[#This Row],[Country]],$AK$3:$AQ$38,7,0),0)</f>
        <v>22590</v>
      </c>
      <c r="U62" s="443">
        <f>IFERROR(VLOOKUP(Capacity_Entsoe_SFS_2016[[#This Row],[Country]],$AK$3:$AQ$38,4,0),0)</f>
        <v>69392</v>
      </c>
    </row>
    <row r="63" spans="1:21" x14ac:dyDescent="0.25">
      <c r="A63" s="425" t="str">
        <f t="shared" si="4"/>
        <v>GR</v>
      </c>
      <c r="B63" s="366">
        <f t="shared" si="5"/>
        <v>2016</v>
      </c>
      <c r="C63" s="366" t="str">
        <f t="shared" si="5"/>
        <v>MW</v>
      </c>
      <c r="D63" s="144">
        <f t="shared" si="6"/>
        <v>0</v>
      </c>
      <c r="E63" s="144">
        <f t="shared" si="7"/>
        <v>4456</v>
      </c>
      <c r="F63" s="167">
        <f t="shared" si="8"/>
        <v>0</v>
      </c>
      <c r="G63" s="167">
        <f t="shared" si="9"/>
        <v>5613</v>
      </c>
      <c r="H63" s="422">
        <f t="shared" si="10"/>
        <v>2451</v>
      </c>
      <c r="I63" s="167">
        <f t="shared" si="11"/>
        <v>2092</v>
      </c>
      <c r="J63" s="144">
        <f t="shared" si="12"/>
        <v>0</v>
      </c>
      <c r="K63" s="422">
        <f t="shared" si="13"/>
        <v>2605</v>
      </c>
      <c r="L63" s="422">
        <f t="shared" si="14"/>
        <v>52</v>
      </c>
      <c r="M63" s="422">
        <f t="shared" si="15"/>
        <v>235</v>
      </c>
      <c r="N63" s="167">
        <f t="shared" si="0"/>
        <v>3393</v>
      </c>
      <c r="O63" s="167">
        <f t="shared" si="1"/>
        <v>0</v>
      </c>
      <c r="P63" s="422">
        <f t="shared" si="2"/>
        <v>0</v>
      </c>
      <c r="Q63" s="167">
        <f t="shared" si="3"/>
        <v>20897</v>
      </c>
      <c r="R63" s="167">
        <f t="shared" si="16"/>
        <v>20897</v>
      </c>
      <c r="S63" s="424">
        <f t="shared" si="17"/>
        <v>1</v>
      </c>
      <c r="T63" s="443">
        <f>IFERROR(VLOOKUP(Capacity_Entsoe_SFS_2016[[#This Row],[Country]],$AK$3:$AQ$38,7,0),0)</f>
        <v>3314</v>
      </c>
      <c r="U63" s="443">
        <f>IFERROR(VLOOKUP(Capacity_Entsoe_SFS_2016[[#This Row],[Country]],$AK$3:$AQ$38,4,0),0)</f>
        <v>9207</v>
      </c>
    </row>
    <row r="64" spans="1:21" x14ac:dyDescent="0.25">
      <c r="A64" s="425" t="str">
        <f t="shared" si="4"/>
        <v>HR</v>
      </c>
      <c r="B64" s="366">
        <f t="shared" si="5"/>
        <v>2016</v>
      </c>
      <c r="C64" s="366" t="str">
        <f t="shared" si="5"/>
        <v>MW</v>
      </c>
      <c r="D64" s="144">
        <f t="shared" si="6"/>
        <v>0</v>
      </c>
      <c r="E64" s="144">
        <f t="shared" si="7"/>
        <v>0</v>
      </c>
      <c r="F64" s="167">
        <f t="shared" si="8"/>
        <v>325</v>
      </c>
      <c r="G64" s="167">
        <f t="shared" si="9"/>
        <v>731</v>
      </c>
      <c r="H64" s="422">
        <f t="shared" si="10"/>
        <v>949</v>
      </c>
      <c r="I64" s="167">
        <f t="shared" si="11"/>
        <v>429</v>
      </c>
      <c r="J64" s="144">
        <f t="shared" si="12"/>
        <v>0</v>
      </c>
      <c r="K64" s="422">
        <f t="shared" si="13"/>
        <v>48</v>
      </c>
      <c r="L64" s="422">
        <f t="shared" si="14"/>
        <v>54</v>
      </c>
      <c r="M64" s="422">
        <f t="shared" si="15"/>
        <v>22</v>
      </c>
      <c r="N64" s="167">
        <f t="shared" si="0"/>
        <v>2112</v>
      </c>
      <c r="O64" s="167">
        <f t="shared" si="1"/>
        <v>0</v>
      </c>
      <c r="P64" s="422">
        <f t="shared" si="2"/>
        <v>0</v>
      </c>
      <c r="Q64" s="167">
        <f t="shared" si="3"/>
        <v>4670</v>
      </c>
      <c r="R64" s="167">
        <f t="shared" si="16"/>
        <v>4670</v>
      </c>
      <c r="S64" s="424">
        <f t="shared" si="17"/>
        <v>1</v>
      </c>
      <c r="T64" s="443">
        <f>IFERROR(VLOOKUP(Capacity_Entsoe_SFS_2016[[#This Row],[Country]],$AK$3:$AQ$38,7,0),0)</f>
        <v>1155</v>
      </c>
      <c r="U64" s="443">
        <f>IFERROR(VLOOKUP(Capacity_Entsoe_SFS_2016[[#This Row],[Country]],$AK$3:$AQ$38,4,0),0)</f>
        <v>2869</v>
      </c>
    </row>
    <row r="65" spans="1:21" x14ac:dyDescent="0.25">
      <c r="A65" s="425" t="str">
        <f t="shared" si="4"/>
        <v>HU</v>
      </c>
      <c r="B65" s="366">
        <f t="shared" si="5"/>
        <v>2016</v>
      </c>
      <c r="C65" s="366" t="str">
        <f t="shared" si="5"/>
        <v>MW</v>
      </c>
      <c r="D65" s="144">
        <f t="shared" si="6"/>
        <v>1887</v>
      </c>
      <c r="E65" s="144">
        <f t="shared" si="7"/>
        <v>1049</v>
      </c>
      <c r="F65" s="167">
        <f t="shared" si="8"/>
        <v>292</v>
      </c>
      <c r="G65" s="167">
        <f t="shared" si="9"/>
        <v>3860</v>
      </c>
      <c r="H65" s="422">
        <f t="shared" si="10"/>
        <v>410</v>
      </c>
      <c r="I65" s="167">
        <f t="shared" si="11"/>
        <v>328</v>
      </c>
      <c r="J65" s="144">
        <f t="shared" si="12"/>
        <v>0</v>
      </c>
      <c r="K65" s="422">
        <f t="shared" si="13"/>
        <v>49</v>
      </c>
      <c r="L65" s="422">
        <f t="shared" si="14"/>
        <v>276</v>
      </c>
      <c r="M65" s="422">
        <f t="shared" si="15"/>
        <v>28</v>
      </c>
      <c r="N65" s="167">
        <f t="shared" si="0"/>
        <v>57</v>
      </c>
      <c r="O65" s="167">
        <f t="shared" si="1"/>
        <v>0</v>
      </c>
      <c r="P65" s="422">
        <f t="shared" si="2"/>
        <v>0</v>
      </c>
      <c r="Q65" s="167">
        <f t="shared" si="3"/>
        <v>8236</v>
      </c>
      <c r="R65" s="167">
        <f t="shared" si="16"/>
        <v>8236</v>
      </c>
      <c r="S65" s="424">
        <f t="shared" si="17"/>
        <v>1</v>
      </c>
      <c r="T65" s="443">
        <f>IFERROR(VLOOKUP(Capacity_Entsoe_SFS_2016[[#This Row],[Country]],$AK$3:$AQ$38,7,0),0)</f>
        <v>2994</v>
      </c>
      <c r="U65" s="443">
        <f>IFERROR(VLOOKUP(Capacity_Entsoe_SFS_2016[[#This Row],[Country]],$AK$3:$AQ$38,4,0),0)</f>
        <v>6437</v>
      </c>
    </row>
    <row r="66" spans="1:21" x14ac:dyDescent="0.25">
      <c r="A66" s="425" t="str">
        <f t="shared" si="4"/>
        <v>IE</v>
      </c>
      <c r="B66" s="366">
        <f t="shared" si="5"/>
        <v>2016</v>
      </c>
      <c r="C66" s="366" t="str">
        <f t="shared" si="5"/>
        <v>MW</v>
      </c>
      <c r="D66" s="144">
        <f t="shared" si="6"/>
        <v>0</v>
      </c>
      <c r="E66" s="144">
        <f t="shared" si="7"/>
        <v>0</v>
      </c>
      <c r="F66" s="167">
        <f t="shared" si="8"/>
        <v>855</v>
      </c>
      <c r="G66" s="167">
        <f t="shared" si="9"/>
        <v>4215</v>
      </c>
      <c r="H66" s="422">
        <f t="shared" si="10"/>
        <v>1144</v>
      </c>
      <c r="I66" s="167">
        <f t="shared" si="11"/>
        <v>2740</v>
      </c>
      <c r="J66" s="144">
        <f t="shared" si="12"/>
        <v>0</v>
      </c>
      <c r="K66" s="422">
        <f t="shared" si="13"/>
        <v>0</v>
      </c>
      <c r="L66" s="422">
        <f t="shared" si="14"/>
        <v>0</v>
      </c>
      <c r="M66" s="422">
        <f t="shared" si="15"/>
        <v>616</v>
      </c>
      <c r="N66" s="167">
        <f t="shared" si="0"/>
        <v>238</v>
      </c>
      <c r="O66" s="167">
        <f t="shared" si="1"/>
        <v>292</v>
      </c>
      <c r="P66" s="422">
        <f t="shared" si="2"/>
        <v>8</v>
      </c>
      <c r="Q66" s="167">
        <f t="shared" si="3"/>
        <v>10108</v>
      </c>
      <c r="R66" s="167">
        <f t="shared" si="16"/>
        <v>10108</v>
      </c>
      <c r="S66" s="424">
        <f t="shared" si="17"/>
        <v>1</v>
      </c>
      <c r="T66" s="443">
        <f>IFERROR(VLOOKUP(Capacity_Entsoe_SFS_2016[[#This Row],[Country]],$AK$3:$AQ$38,7,0),0)</f>
        <v>1798</v>
      </c>
      <c r="U66" s="443">
        <f>IFERROR(VLOOKUP(Capacity_Entsoe_SFS_2016[[#This Row],[Country]],$AK$3:$AQ$38,4,0),0)</f>
        <v>4737</v>
      </c>
    </row>
    <row r="67" spans="1:21" x14ac:dyDescent="0.25">
      <c r="A67" s="425" t="str">
        <f t="shared" si="4"/>
        <v>IS</v>
      </c>
      <c r="B67" s="366">
        <f t="shared" si="5"/>
        <v>2016</v>
      </c>
      <c r="C67" s="366" t="str">
        <f t="shared" si="5"/>
        <v>MW</v>
      </c>
      <c r="D67" s="144">
        <f t="shared" si="6"/>
        <v>0</v>
      </c>
      <c r="E67" s="144">
        <f t="shared" si="7"/>
        <v>0</v>
      </c>
      <c r="F67" s="167">
        <f t="shared" si="8"/>
        <v>0</v>
      </c>
      <c r="G67" s="167">
        <f t="shared" si="9"/>
        <v>0</v>
      </c>
      <c r="H67" s="422">
        <f t="shared" si="10"/>
        <v>11</v>
      </c>
      <c r="I67" s="167">
        <f t="shared" si="11"/>
        <v>2</v>
      </c>
      <c r="J67" s="144">
        <f t="shared" si="12"/>
        <v>0</v>
      </c>
      <c r="K67" s="422">
        <f t="shared" si="13"/>
        <v>0</v>
      </c>
      <c r="L67" s="422">
        <f t="shared" si="14"/>
        <v>0</v>
      </c>
      <c r="M67" s="422">
        <f t="shared" si="15"/>
        <v>661</v>
      </c>
      <c r="N67" s="167">
        <f t="shared" si="0"/>
        <v>1973</v>
      </c>
      <c r="O67" s="167">
        <f t="shared" si="1"/>
        <v>0</v>
      </c>
      <c r="P67" s="422">
        <f t="shared" si="2"/>
        <v>0</v>
      </c>
      <c r="Q67" s="167">
        <f t="shared" si="3"/>
        <v>2647</v>
      </c>
      <c r="R67" s="167">
        <f t="shared" si="16"/>
        <v>2646</v>
      </c>
      <c r="S67" s="424">
        <f t="shared" si="17"/>
        <v>1.0003779289493575</v>
      </c>
      <c r="T67" s="443">
        <f>IFERROR(VLOOKUP(Capacity_Entsoe_SFS_2016[[#This Row],[Country]],$AK$3:$AQ$38,7,0),0)</f>
        <v>1692</v>
      </c>
      <c r="U67" s="443">
        <f>IFERROR(VLOOKUP(Capacity_Entsoe_SFS_2016[[#This Row],[Country]],$AK$3:$AQ$38,4,0),0)</f>
        <v>2320</v>
      </c>
    </row>
    <row r="68" spans="1:21" x14ac:dyDescent="0.25">
      <c r="A68" s="425" t="str">
        <f t="shared" si="4"/>
        <v>IT</v>
      </c>
      <c r="B68" s="366">
        <f t="shared" si="5"/>
        <v>2016</v>
      </c>
      <c r="C68" s="366" t="str">
        <f t="shared" si="5"/>
        <v>MW</v>
      </c>
      <c r="D68" s="144">
        <f t="shared" si="6"/>
        <v>0</v>
      </c>
      <c r="E68" s="144">
        <f t="shared" si="7"/>
        <v>0</v>
      </c>
      <c r="F68" s="167">
        <f t="shared" si="8"/>
        <v>6357</v>
      </c>
      <c r="G68" s="167">
        <f t="shared" si="9"/>
        <v>40289</v>
      </c>
      <c r="H68" s="422">
        <f t="shared" si="10"/>
        <v>22221</v>
      </c>
      <c r="I68" s="167">
        <f t="shared" si="11"/>
        <v>9416</v>
      </c>
      <c r="J68" s="144">
        <f t="shared" si="12"/>
        <v>0</v>
      </c>
      <c r="K68" s="422">
        <f t="shared" si="13"/>
        <v>19288</v>
      </c>
      <c r="L68" s="422">
        <f t="shared" si="14"/>
        <v>3971</v>
      </c>
      <c r="M68" s="422">
        <f t="shared" si="15"/>
        <v>1462</v>
      </c>
      <c r="N68" s="167">
        <f t="shared" si="0"/>
        <v>21774</v>
      </c>
      <c r="O68" s="167">
        <f t="shared" si="1"/>
        <v>4753</v>
      </c>
      <c r="P68" s="422">
        <f t="shared" si="2"/>
        <v>3724</v>
      </c>
      <c r="Q68" s="167">
        <f t="shared" si="3"/>
        <v>133255</v>
      </c>
      <c r="R68" s="167">
        <f t="shared" si="16"/>
        <v>133255</v>
      </c>
      <c r="S68" s="424">
        <f t="shared" si="17"/>
        <v>1</v>
      </c>
      <c r="T68" s="443">
        <f>IFERROR(VLOOKUP(Capacity_Entsoe_SFS_2016[[#This Row],[Country]],$AK$3:$AQ$38,7,0),0)</f>
        <v>18656</v>
      </c>
      <c r="U68" s="443">
        <f>IFERROR(VLOOKUP(Capacity_Entsoe_SFS_2016[[#This Row],[Country]],$AK$3:$AQ$38,4,0),0)</f>
        <v>53748</v>
      </c>
    </row>
    <row r="69" spans="1:21" x14ac:dyDescent="0.25">
      <c r="A69" s="425" t="str">
        <f t="shared" si="4"/>
        <v>LT</v>
      </c>
      <c r="B69" s="366">
        <f t="shared" si="5"/>
        <v>2016</v>
      </c>
      <c r="C69" s="366" t="str">
        <f t="shared" si="5"/>
        <v>MW</v>
      </c>
      <c r="D69" s="144">
        <f t="shared" si="6"/>
        <v>0</v>
      </c>
      <c r="E69" s="144">
        <f t="shared" si="7"/>
        <v>0</v>
      </c>
      <c r="F69" s="167">
        <f t="shared" si="8"/>
        <v>0</v>
      </c>
      <c r="G69" s="167">
        <f t="shared" si="9"/>
        <v>615</v>
      </c>
      <c r="H69" s="422">
        <f t="shared" si="10"/>
        <v>1119</v>
      </c>
      <c r="I69" s="167">
        <f t="shared" si="11"/>
        <v>438</v>
      </c>
      <c r="J69" s="144">
        <f t="shared" si="12"/>
        <v>0</v>
      </c>
      <c r="K69" s="422">
        <f t="shared" si="13"/>
        <v>73</v>
      </c>
      <c r="L69" s="422">
        <f t="shared" si="14"/>
        <v>78</v>
      </c>
      <c r="M69" s="422">
        <f t="shared" si="15"/>
        <v>0</v>
      </c>
      <c r="N69" s="167">
        <f t="shared" si="0"/>
        <v>126</v>
      </c>
      <c r="O69" s="167">
        <f t="shared" si="1"/>
        <v>900</v>
      </c>
      <c r="P69" s="422">
        <f t="shared" si="2"/>
        <v>32</v>
      </c>
      <c r="Q69" s="167">
        <f t="shared" si="3"/>
        <v>3381</v>
      </c>
      <c r="R69" s="167">
        <f t="shared" si="16"/>
        <v>3381</v>
      </c>
      <c r="S69" s="424">
        <f t="shared" si="17"/>
        <v>1</v>
      </c>
      <c r="T69" s="443">
        <f>IFERROR(VLOOKUP(Capacity_Entsoe_SFS_2016[[#This Row],[Country]],$AK$3:$AQ$38,7,0),0)</f>
        <v>813</v>
      </c>
      <c r="U69" s="443">
        <f>IFERROR(VLOOKUP(Capacity_Entsoe_SFS_2016[[#This Row],[Country]],$AK$3:$AQ$38,4,0),0)</f>
        <v>1979</v>
      </c>
    </row>
    <row r="70" spans="1:21" x14ac:dyDescent="0.25">
      <c r="A70" s="425" t="str">
        <f t="shared" si="4"/>
        <v>LU</v>
      </c>
      <c r="B70" s="366">
        <f t="shared" si="5"/>
        <v>2016</v>
      </c>
      <c r="C70" s="366" t="str">
        <f t="shared" si="5"/>
        <v>MW</v>
      </c>
      <c r="D70" s="144">
        <f t="shared" si="6"/>
        <v>0</v>
      </c>
      <c r="E70" s="144">
        <f t="shared" si="7"/>
        <v>0</v>
      </c>
      <c r="F70" s="167">
        <f t="shared" si="8"/>
        <v>0</v>
      </c>
      <c r="G70" s="167">
        <f t="shared" si="9"/>
        <v>495</v>
      </c>
      <c r="H70" s="422">
        <f t="shared" si="10"/>
        <v>0</v>
      </c>
      <c r="I70" s="167">
        <f t="shared" si="11"/>
        <v>120</v>
      </c>
      <c r="J70" s="144">
        <f t="shared" si="12"/>
        <v>0</v>
      </c>
      <c r="K70" s="422">
        <f t="shared" si="13"/>
        <v>121</v>
      </c>
      <c r="L70" s="422">
        <f t="shared" si="14"/>
        <v>11</v>
      </c>
      <c r="M70" s="422">
        <f t="shared" si="15"/>
        <v>0</v>
      </c>
      <c r="N70" s="167">
        <f t="shared" si="0"/>
        <v>32</v>
      </c>
      <c r="O70" s="167">
        <f t="shared" si="1"/>
        <v>1290</v>
      </c>
      <c r="P70" s="422">
        <f t="shared" si="2"/>
        <v>21</v>
      </c>
      <c r="Q70" s="167">
        <f t="shared" si="3"/>
        <v>2090</v>
      </c>
      <c r="R70" s="167">
        <f t="shared" si="16"/>
        <v>2090</v>
      </c>
      <c r="S70" s="424">
        <f t="shared" si="17"/>
        <v>1</v>
      </c>
      <c r="T70" s="443">
        <f>IFERROR(VLOOKUP(Capacity_Entsoe_SFS_2016[[#This Row],[Country]],$AK$3:$AQ$38,7,0),0)</f>
        <v>394</v>
      </c>
      <c r="U70" s="443">
        <f>IFERROR(VLOOKUP(Capacity_Entsoe_SFS_2016[[#This Row],[Country]],$AK$3:$AQ$38,4,0),0)</f>
        <v>1025</v>
      </c>
    </row>
    <row r="71" spans="1:21" x14ac:dyDescent="0.25">
      <c r="A71" s="425" t="str">
        <f t="shared" si="4"/>
        <v>LV</v>
      </c>
      <c r="B71" s="366">
        <f t="shared" ref="B71:C75" si="18">B28</f>
        <v>2016</v>
      </c>
      <c r="C71" s="366" t="str">
        <f t="shared" si="18"/>
        <v>MW</v>
      </c>
      <c r="D71" s="144">
        <f t="shared" si="6"/>
        <v>0</v>
      </c>
      <c r="E71" s="144">
        <f t="shared" si="7"/>
        <v>0</v>
      </c>
      <c r="F71" s="167">
        <f t="shared" si="8"/>
        <v>0</v>
      </c>
      <c r="G71" s="167">
        <f t="shared" si="9"/>
        <v>1031</v>
      </c>
      <c r="H71" s="422">
        <f t="shared" si="10"/>
        <v>118</v>
      </c>
      <c r="I71" s="167">
        <f t="shared" si="11"/>
        <v>71</v>
      </c>
      <c r="J71" s="144">
        <f t="shared" si="12"/>
        <v>0</v>
      </c>
      <c r="K71" s="422">
        <f t="shared" si="13"/>
        <v>0</v>
      </c>
      <c r="L71" s="422">
        <f t="shared" si="14"/>
        <v>136</v>
      </c>
      <c r="M71" s="422">
        <f t="shared" si="15"/>
        <v>0</v>
      </c>
      <c r="N71" s="167">
        <f t="shared" si="0"/>
        <v>1578</v>
      </c>
      <c r="O71" s="167">
        <f t="shared" si="1"/>
        <v>0</v>
      </c>
      <c r="P71" s="422">
        <f t="shared" si="2"/>
        <v>0</v>
      </c>
      <c r="Q71" s="167">
        <f t="shared" si="3"/>
        <v>2934</v>
      </c>
      <c r="R71" s="167">
        <f t="shared" si="16"/>
        <v>2934</v>
      </c>
      <c r="S71" s="424">
        <f t="shared" si="17"/>
        <v>1</v>
      </c>
      <c r="T71" s="443">
        <f>IFERROR(VLOOKUP(Capacity_Entsoe_SFS_2016[[#This Row],[Country]],$AK$3:$AQ$38,7,0),0)</f>
        <v>449</v>
      </c>
      <c r="U71" s="443">
        <f>IFERROR(VLOOKUP(Capacity_Entsoe_SFS_2016[[#This Row],[Country]],$AK$3:$AQ$38,4,0),0)</f>
        <v>1300</v>
      </c>
    </row>
    <row r="72" spans="1:21" x14ac:dyDescent="0.25">
      <c r="A72" s="425" t="str">
        <f t="shared" si="4"/>
        <v>ME</v>
      </c>
      <c r="B72" s="366">
        <f t="shared" si="18"/>
        <v>2016</v>
      </c>
      <c r="C72" s="366" t="str">
        <f t="shared" si="18"/>
        <v>MW</v>
      </c>
      <c r="D72" s="144">
        <f t="shared" si="6"/>
        <v>0</v>
      </c>
      <c r="E72" s="144">
        <f t="shared" si="7"/>
        <v>220</v>
      </c>
      <c r="F72" s="167">
        <f t="shared" si="8"/>
        <v>0</v>
      </c>
      <c r="G72" s="167">
        <f t="shared" si="9"/>
        <v>0</v>
      </c>
      <c r="H72" s="422">
        <f t="shared" si="10"/>
        <v>0</v>
      </c>
      <c r="I72" s="167">
        <f t="shared" si="11"/>
        <v>0</v>
      </c>
      <c r="J72" s="144">
        <f t="shared" si="12"/>
        <v>0</v>
      </c>
      <c r="K72" s="422">
        <f t="shared" si="13"/>
        <v>0</v>
      </c>
      <c r="L72" s="422">
        <f t="shared" si="14"/>
        <v>0</v>
      </c>
      <c r="M72" s="422">
        <f t="shared" si="15"/>
        <v>0</v>
      </c>
      <c r="N72" s="167">
        <f t="shared" si="0"/>
        <v>660</v>
      </c>
      <c r="O72" s="167">
        <f t="shared" si="1"/>
        <v>0</v>
      </c>
      <c r="P72" s="422">
        <f t="shared" si="2"/>
        <v>0</v>
      </c>
      <c r="Q72" s="167">
        <f t="shared" si="3"/>
        <v>880</v>
      </c>
      <c r="R72" s="167">
        <f t="shared" si="16"/>
        <v>880</v>
      </c>
      <c r="S72" s="424">
        <f t="shared" si="17"/>
        <v>1</v>
      </c>
      <c r="T72" s="443">
        <f>IFERROR(VLOOKUP(Capacity_Entsoe_SFS_2016[[#This Row],[Country]],$AK$3:$AQ$38,7,0),0)</f>
        <v>174</v>
      </c>
      <c r="U72" s="443">
        <f>IFERROR(VLOOKUP(Capacity_Entsoe_SFS_2016[[#This Row],[Country]],$AK$3:$AQ$38,4,0),0)</f>
        <v>576</v>
      </c>
    </row>
    <row r="73" spans="1:21" x14ac:dyDescent="0.25">
      <c r="A73" s="425" t="str">
        <f t="shared" si="4"/>
        <v>MK</v>
      </c>
      <c r="B73" s="366">
        <f t="shared" si="18"/>
        <v>2016</v>
      </c>
      <c r="C73" s="366" t="str">
        <f t="shared" si="18"/>
        <v>MW</v>
      </c>
      <c r="D73" s="144">
        <f t="shared" si="6"/>
        <v>0</v>
      </c>
      <c r="E73" s="144">
        <f t="shared" si="7"/>
        <v>718</v>
      </c>
      <c r="F73" s="167">
        <f t="shared" si="8"/>
        <v>0</v>
      </c>
      <c r="G73" s="167">
        <f t="shared" si="9"/>
        <v>250</v>
      </c>
      <c r="H73" s="422">
        <f t="shared" si="10"/>
        <v>189</v>
      </c>
      <c r="I73" s="167">
        <f t="shared" si="11"/>
        <v>36</v>
      </c>
      <c r="J73" s="144">
        <f t="shared" si="12"/>
        <v>0</v>
      </c>
      <c r="K73" s="422">
        <f t="shared" si="13"/>
        <v>17</v>
      </c>
      <c r="L73" s="422">
        <f t="shared" si="14"/>
        <v>4</v>
      </c>
      <c r="M73" s="422">
        <f t="shared" si="15"/>
        <v>0</v>
      </c>
      <c r="N73" s="167">
        <f t="shared" si="0"/>
        <v>676</v>
      </c>
      <c r="O73" s="167">
        <f t="shared" si="1"/>
        <v>0</v>
      </c>
      <c r="P73" s="422">
        <f t="shared" si="2"/>
        <v>0</v>
      </c>
      <c r="Q73" s="167">
        <f t="shared" si="3"/>
        <v>1890</v>
      </c>
      <c r="R73" s="167">
        <f t="shared" si="16"/>
        <v>1890</v>
      </c>
      <c r="S73" s="424">
        <f t="shared" si="17"/>
        <v>1</v>
      </c>
      <c r="T73" s="443">
        <f>IFERROR(VLOOKUP(Capacity_Entsoe_SFS_2016[[#This Row],[Country]],$AK$3:$AQ$38,7,0),0)</f>
        <v>487</v>
      </c>
      <c r="U73" s="443">
        <f>IFERROR(VLOOKUP(Capacity_Entsoe_SFS_2016[[#This Row],[Country]],$AK$3:$AQ$38,4,0),0)</f>
        <v>1457</v>
      </c>
    </row>
    <row r="74" spans="1:21" x14ac:dyDescent="0.25">
      <c r="A74" s="425" t="str">
        <f t="shared" si="4"/>
        <v>NL</v>
      </c>
      <c r="B74" s="366">
        <f t="shared" si="18"/>
        <v>2016</v>
      </c>
      <c r="C74" s="366" t="str">
        <f t="shared" si="18"/>
        <v>MW</v>
      </c>
      <c r="D74" s="144">
        <f t="shared" si="6"/>
        <v>486</v>
      </c>
      <c r="E74" s="144">
        <f t="shared" si="7"/>
        <v>0</v>
      </c>
      <c r="F74" s="167">
        <f t="shared" si="8"/>
        <v>4608</v>
      </c>
      <c r="G74" s="167">
        <f t="shared" si="9"/>
        <v>19297</v>
      </c>
      <c r="H74" s="422">
        <f t="shared" si="10"/>
        <v>0</v>
      </c>
      <c r="I74" s="167">
        <f t="shared" si="11"/>
        <v>3479</v>
      </c>
      <c r="J74" s="144">
        <f t="shared" si="12"/>
        <v>638</v>
      </c>
      <c r="K74" s="422">
        <f t="shared" si="13"/>
        <v>2039</v>
      </c>
      <c r="L74" s="422">
        <f t="shared" si="14"/>
        <v>486</v>
      </c>
      <c r="M74" s="422">
        <f t="shared" si="15"/>
        <v>678</v>
      </c>
      <c r="N74" s="167">
        <f t="shared" si="0"/>
        <v>38</v>
      </c>
      <c r="O74" s="167">
        <f t="shared" si="1"/>
        <v>0</v>
      </c>
      <c r="P74" s="422">
        <f t="shared" si="2"/>
        <v>0</v>
      </c>
      <c r="Q74" s="167">
        <f t="shared" si="3"/>
        <v>31749</v>
      </c>
      <c r="R74" s="167">
        <f t="shared" si="16"/>
        <v>31749</v>
      </c>
      <c r="S74" s="424">
        <f t="shared" si="17"/>
        <v>1</v>
      </c>
      <c r="T74" s="443">
        <f>IFERROR(VLOOKUP(Capacity_Entsoe_SFS_2016[[#This Row],[Country]],$AK$3:$AQ$38,7,0),0)</f>
        <v>9115</v>
      </c>
      <c r="U74" s="443">
        <f>IFERROR(VLOOKUP(Capacity_Entsoe_SFS_2016[[#This Row],[Country]],$AK$3:$AQ$38,4,0),0)</f>
        <v>18243</v>
      </c>
    </row>
    <row r="75" spans="1:21" x14ac:dyDescent="0.25">
      <c r="A75" s="425" t="str">
        <f t="shared" si="4"/>
        <v>NO</v>
      </c>
      <c r="B75" s="366">
        <f t="shared" si="18"/>
        <v>2016</v>
      </c>
      <c r="C75" s="366" t="str">
        <f t="shared" si="18"/>
        <v>MW</v>
      </c>
      <c r="D75" s="144">
        <f t="shared" si="6"/>
        <v>0</v>
      </c>
      <c r="E75" s="144">
        <f t="shared" si="7"/>
        <v>0</v>
      </c>
      <c r="F75" s="167">
        <f t="shared" si="8"/>
        <v>0</v>
      </c>
      <c r="G75" s="167">
        <f t="shared" si="9"/>
        <v>445</v>
      </c>
      <c r="H75" s="422">
        <f t="shared" si="10"/>
        <v>0</v>
      </c>
      <c r="I75" s="167">
        <f t="shared" si="11"/>
        <v>869</v>
      </c>
      <c r="J75" s="144">
        <f t="shared" si="12"/>
        <v>0</v>
      </c>
      <c r="K75" s="422">
        <f t="shared" si="13"/>
        <v>0</v>
      </c>
      <c r="L75" s="422">
        <f t="shared" si="14"/>
        <v>2</v>
      </c>
      <c r="M75" s="422">
        <f t="shared" si="15"/>
        <v>0</v>
      </c>
      <c r="N75" s="167">
        <f t="shared" si="0"/>
        <v>30767</v>
      </c>
      <c r="O75" s="167">
        <f t="shared" si="1"/>
        <v>0</v>
      </c>
      <c r="P75" s="422">
        <f t="shared" si="2"/>
        <v>0</v>
      </c>
      <c r="Q75" s="167">
        <f t="shared" si="3"/>
        <v>32083</v>
      </c>
      <c r="R75" s="167">
        <f t="shared" si="16"/>
        <v>32083</v>
      </c>
      <c r="S75" s="424">
        <f t="shared" si="17"/>
        <v>1</v>
      </c>
      <c r="T75" s="443">
        <f>IFERROR(VLOOKUP(Capacity_Entsoe_SFS_2016[[#This Row],[Country]],$AK$3:$AQ$38,7,0),0)</f>
        <v>9156</v>
      </c>
      <c r="U75" s="443">
        <f>IFERROR(VLOOKUP(Capacity_Entsoe_SFS_2016[[#This Row],[Country]],$AK$3:$AQ$38,4,0),0)</f>
        <v>24485</v>
      </c>
    </row>
    <row r="76" spans="1:21" x14ac:dyDescent="0.25">
      <c r="A76" s="425" t="str">
        <f t="shared" si="4"/>
        <v>PL</v>
      </c>
      <c r="B76" s="366">
        <f t="shared" ref="B76:C79" si="19">B34</f>
        <v>2016</v>
      </c>
      <c r="C76" s="366" t="str">
        <f t="shared" si="19"/>
        <v>MW</v>
      </c>
      <c r="D76" s="144">
        <f t="shared" si="6"/>
        <v>0</v>
      </c>
      <c r="E76" s="144">
        <f t="shared" si="7"/>
        <v>8576</v>
      </c>
      <c r="F76" s="167">
        <f t="shared" si="8"/>
        <v>17906</v>
      </c>
      <c r="G76" s="167">
        <f t="shared" si="9"/>
        <v>1384</v>
      </c>
      <c r="H76" s="422">
        <f t="shared" si="10"/>
        <v>332</v>
      </c>
      <c r="I76" s="167">
        <f t="shared" si="11"/>
        <v>5697</v>
      </c>
      <c r="J76" s="144">
        <f t="shared" si="12"/>
        <v>0</v>
      </c>
      <c r="K76" s="422">
        <f t="shared" si="13"/>
        <v>186</v>
      </c>
      <c r="L76" s="422">
        <f t="shared" si="14"/>
        <v>933</v>
      </c>
      <c r="M76" s="422">
        <f t="shared" si="15"/>
        <v>0</v>
      </c>
      <c r="N76" s="167">
        <f t="shared" si="0"/>
        <v>967</v>
      </c>
      <c r="O76" s="167">
        <f t="shared" si="1"/>
        <v>1394</v>
      </c>
      <c r="P76" s="422">
        <f t="shared" si="2"/>
        <v>903</v>
      </c>
      <c r="Q76" s="167">
        <f t="shared" si="3"/>
        <v>38278</v>
      </c>
      <c r="R76" s="167">
        <f t="shared" si="16"/>
        <v>38278</v>
      </c>
      <c r="S76" s="424">
        <f t="shared" si="17"/>
        <v>1</v>
      </c>
      <c r="T76" s="443">
        <f>IFERROR(VLOOKUP(Capacity_Entsoe_SFS_2016[[#This Row],[Country]],$AK$3:$AQ$38,7,0),0)</f>
        <v>10509</v>
      </c>
      <c r="U76" s="443">
        <f>IFERROR(VLOOKUP(Capacity_Entsoe_SFS_2016[[#This Row],[Country]],$AK$3:$AQ$38,4,0),0)</f>
        <v>23779</v>
      </c>
    </row>
    <row r="77" spans="1:21" x14ac:dyDescent="0.25">
      <c r="A77" s="425" t="str">
        <f t="shared" si="4"/>
        <v>PT</v>
      </c>
      <c r="B77" s="366">
        <f t="shared" si="19"/>
        <v>2016</v>
      </c>
      <c r="C77" s="366" t="str">
        <f t="shared" si="19"/>
        <v>MW</v>
      </c>
      <c r="D77" s="144">
        <f t="shared" si="6"/>
        <v>0</v>
      </c>
      <c r="E77" s="144">
        <f t="shared" si="7"/>
        <v>0</v>
      </c>
      <c r="F77" s="167">
        <f t="shared" si="8"/>
        <v>1756</v>
      </c>
      <c r="G77" s="167">
        <f t="shared" si="9"/>
        <v>4657</v>
      </c>
      <c r="H77" s="422">
        <f t="shared" si="10"/>
        <v>42</v>
      </c>
      <c r="I77" s="167">
        <f t="shared" si="11"/>
        <v>5046</v>
      </c>
      <c r="J77" s="144">
        <f t="shared" si="12"/>
        <v>0</v>
      </c>
      <c r="K77" s="422">
        <f t="shared" si="13"/>
        <v>439</v>
      </c>
      <c r="L77" s="422">
        <f t="shared" si="14"/>
        <v>615</v>
      </c>
      <c r="M77" s="422">
        <f t="shared" si="15"/>
        <v>0</v>
      </c>
      <c r="N77" s="167">
        <f t="shared" si="0"/>
        <v>6945</v>
      </c>
      <c r="O77" s="167">
        <f t="shared" si="1"/>
        <v>0</v>
      </c>
      <c r="P77" s="422">
        <f t="shared" si="2"/>
        <v>0</v>
      </c>
      <c r="Q77" s="167">
        <f t="shared" si="3"/>
        <v>19500</v>
      </c>
      <c r="R77" s="167">
        <f t="shared" si="16"/>
        <v>19500</v>
      </c>
      <c r="S77" s="424">
        <f t="shared" si="17"/>
        <v>1</v>
      </c>
      <c r="T77" s="443">
        <f>IFERROR(VLOOKUP(Capacity_Entsoe_SFS_2016[[#This Row],[Country]],$AK$3:$AQ$38,7,0),0)</f>
        <v>3458</v>
      </c>
      <c r="U77" s="443">
        <f>IFERROR(VLOOKUP(Capacity_Entsoe_SFS_2016[[#This Row],[Country]],$AK$3:$AQ$38,4,0),0)</f>
        <v>8139</v>
      </c>
    </row>
    <row r="78" spans="1:21" x14ac:dyDescent="0.25">
      <c r="A78" s="425" t="str">
        <f t="shared" si="4"/>
        <v>RO</v>
      </c>
      <c r="B78" s="366">
        <f t="shared" si="19"/>
        <v>2016</v>
      </c>
      <c r="C78" s="366" t="str">
        <f t="shared" si="19"/>
        <v>MW</v>
      </c>
      <c r="D78" s="144">
        <f t="shared" si="6"/>
        <v>1300</v>
      </c>
      <c r="E78" s="144">
        <f t="shared" si="7"/>
        <v>3448</v>
      </c>
      <c r="F78" s="167">
        <f t="shared" si="8"/>
        <v>1148</v>
      </c>
      <c r="G78" s="167">
        <f t="shared" si="9"/>
        <v>1881</v>
      </c>
      <c r="H78" s="422">
        <f t="shared" si="10"/>
        <v>1708</v>
      </c>
      <c r="I78" s="167">
        <f t="shared" si="11"/>
        <v>2965</v>
      </c>
      <c r="J78" s="144">
        <f t="shared" si="12"/>
        <v>0</v>
      </c>
      <c r="K78" s="422">
        <f t="shared" si="13"/>
        <v>1301</v>
      </c>
      <c r="L78" s="422">
        <f t="shared" si="14"/>
        <v>118</v>
      </c>
      <c r="M78" s="422">
        <f t="shared" si="15"/>
        <v>0</v>
      </c>
      <c r="N78" s="167">
        <f t="shared" si="0"/>
        <v>6405</v>
      </c>
      <c r="O78" s="167">
        <f t="shared" si="1"/>
        <v>0</v>
      </c>
      <c r="P78" s="422">
        <f t="shared" si="2"/>
        <v>0</v>
      </c>
      <c r="Q78" s="167">
        <f t="shared" si="3"/>
        <v>20274</v>
      </c>
      <c r="R78" s="167">
        <f t="shared" si="16"/>
        <v>20274</v>
      </c>
      <c r="S78" s="424">
        <f t="shared" si="17"/>
        <v>1</v>
      </c>
      <c r="T78" s="443">
        <f>IFERROR(VLOOKUP(Capacity_Entsoe_SFS_2016[[#This Row],[Country]],$AK$3:$AQ$38,7,0),0)</f>
        <v>3785</v>
      </c>
      <c r="U78" s="443">
        <f>IFERROR(VLOOKUP(Capacity_Entsoe_SFS_2016[[#This Row],[Country]],$AK$3:$AQ$38,4,0),0)</f>
        <v>8752</v>
      </c>
    </row>
    <row r="79" spans="1:21" x14ac:dyDescent="0.25">
      <c r="A79" s="425" t="str">
        <f t="shared" si="4"/>
        <v>RS</v>
      </c>
      <c r="B79" s="366">
        <f t="shared" si="19"/>
        <v>2016</v>
      </c>
      <c r="C79" s="366" t="str">
        <f t="shared" si="19"/>
        <v>MW</v>
      </c>
      <c r="D79" s="144">
        <f t="shared" si="6"/>
        <v>0</v>
      </c>
      <c r="E79" s="144">
        <f t="shared" si="7"/>
        <v>5283</v>
      </c>
      <c r="F79" s="167">
        <f t="shared" si="8"/>
        <v>0</v>
      </c>
      <c r="G79" s="167">
        <f t="shared" si="9"/>
        <v>311</v>
      </c>
      <c r="H79" s="422">
        <f t="shared" si="10"/>
        <v>0</v>
      </c>
      <c r="I79" s="167">
        <f t="shared" si="11"/>
        <v>0</v>
      </c>
      <c r="J79" s="144">
        <f t="shared" si="12"/>
        <v>0</v>
      </c>
      <c r="K79" s="422">
        <f t="shared" si="13"/>
        <v>0</v>
      </c>
      <c r="L79" s="422">
        <f t="shared" si="14"/>
        <v>0</v>
      </c>
      <c r="M79" s="422">
        <f t="shared" si="15"/>
        <v>0</v>
      </c>
      <c r="N79" s="167">
        <f t="shared" si="0"/>
        <v>2395</v>
      </c>
      <c r="O79" s="167">
        <f t="shared" si="1"/>
        <v>620</v>
      </c>
      <c r="P79" s="422">
        <f t="shared" si="2"/>
        <v>0</v>
      </c>
      <c r="Q79" s="167">
        <f t="shared" si="3"/>
        <v>8609</v>
      </c>
      <c r="R79" s="167">
        <f t="shared" si="16"/>
        <v>8609</v>
      </c>
      <c r="S79" s="424">
        <f t="shared" si="17"/>
        <v>1</v>
      </c>
      <c r="T79" s="443">
        <f>IFERROR(VLOOKUP(Capacity_Entsoe_SFS_2016[[#This Row],[Country]],$AK$3:$AQ$38,7,0),0)</f>
        <v>2414</v>
      </c>
      <c r="U79" s="443">
        <f>IFERROR(VLOOKUP(Capacity_Entsoe_SFS_2016[[#This Row],[Country]],$AK$3:$AQ$38,4,0),0)</f>
        <v>6958</v>
      </c>
    </row>
    <row r="80" spans="1:21" x14ac:dyDescent="0.25">
      <c r="A80" s="425" t="str">
        <f t="shared" si="4"/>
        <v>SE</v>
      </c>
      <c r="B80" s="366">
        <f>B4</f>
        <v>2016</v>
      </c>
      <c r="C80" s="366" t="str">
        <f>C4</f>
        <v>MW</v>
      </c>
      <c r="D80" s="144">
        <f t="shared" si="6"/>
        <v>9714</v>
      </c>
      <c r="E80" s="144">
        <f t="shared" si="7"/>
        <v>0</v>
      </c>
      <c r="F80" s="167">
        <f t="shared" si="8"/>
        <v>225</v>
      </c>
      <c r="G80" s="167">
        <f t="shared" si="9"/>
        <v>879</v>
      </c>
      <c r="H80" s="422">
        <f t="shared" si="10"/>
        <v>3397</v>
      </c>
      <c r="I80" s="167">
        <f t="shared" si="11"/>
        <v>6029</v>
      </c>
      <c r="J80" s="144">
        <f t="shared" si="12"/>
        <v>0</v>
      </c>
      <c r="K80" s="422">
        <f t="shared" si="13"/>
        <v>0</v>
      </c>
      <c r="L80" s="422">
        <f t="shared" si="14"/>
        <v>2978</v>
      </c>
      <c r="M80" s="422">
        <f t="shared" si="15"/>
        <v>0</v>
      </c>
      <c r="N80" s="167">
        <f t="shared" si="0"/>
        <v>16184</v>
      </c>
      <c r="O80" s="167">
        <f t="shared" si="1"/>
        <v>0</v>
      </c>
      <c r="P80" s="422">
        <f t="shared" si="2"/>
        <v>0</v>
      </c>
      <c r="Q80" s="167">
        <f t="shared" si="3"/>
        <v>39406</v>
      </c>
      <c r="R80" s="167">
        <f t="shared" si="16"/>
        <v>39406</v>
      </c>
      <c r="S80" s="424">
        <f t="shared" ref="S80:S85" si="20">Q80/R80</f>
        <v>1</v>
      </c>
      <c r="T80" s="443">
        <f>IFERROR(VLOOKUP(Capacity_Entsoe_SFS_2016[[#This Row],[Country]],$AK$3:$AQ$38,7,0),0)</f>
        <v>8722</v>
      </c>
      <c r="U80" s="443">
        <f>IFERROR(VLOOKUP(Capacity_Entsoe_SFS_2016[[#This Row],[Country]],$AK$3:$AQ$38,4,0),0)</f>
        <v>26576</v>
      </c>
    </row>
    <row r="81" spans="1:21" x14ac:dyDescent="0.25">
      <c r="A81" s="425" t="str">
        <f t="shared" si="4"/>
        <v>SI</v>
      </c>
      <c r="B81" s="366">
        <f t="shared" ref="B81:C82" si="21">B26</f>
        <v>2016</v>
      </c>
      <c r="C81" s="366" t="str">
        <f t="shared" si="21"/>
        <v>MW</v>
      </c>
      <c r="D81" s="144">
        <f t="shared" si="6"/>
        <v>696</v>
      </c>
      <c r="E81" s="144">
        <f t="shared" si="7"/>
        <v>924</v>
      </c>
      <c r="F81" s="167">
        <f t="shared" si="8"/>
        <v>0</v>
      </c>
      <c r="G81" s="167">
        <f t="shared" si="9"/>
        <v>455</v>
      </c>
      <c r="H81" s="422">
        <f t="shared" si="10"/>
        <v>0</v>
      </c>
      <c r="I81" s="167">
        <f t="shared" si="11"/>
        <v>3</v>
      </c>
      <c r="J81" s="144">
        <f t="shared" si="12"/>
        <v>0</v>
      </c>
      <c r="K81" s="422">
        <f t="shared" si="13"/>
        <v>271</v>
      </c>
      <c r="L81" s="422">
        <f t="shared" si="14"/>
        <v>41</v>
      </c>
      <c r="M81" s="422">
        <f t="shared" si="15"/>
        <v>0</v>
      </c>
      <c r="N81" s="167">
        <f t="shared" si="0"/>
        <v>1117</v>
      </c>
      <c r="O81" s="167">
        <f t="shared" si="1"/>
        <v>180</v>
      </c>
      <c r="P81" s="422">
        <f t="shared" si="2"/>
        <v>115</v>
      </c>
      <c r="Q81" s="167">
        <f t="shared" si="3"/>
        <v>3802</v>
      </c>
      <c r="R81" s="167">
        <f t="shared" si="16"/>
        <v>3802</v>
      </c>
      <c r="S81" s="424">
        <f t="shared" si="20"/>
        <v>1</v>
      </c>
      <c r="T81" s="443">
        <f>IFERROR(VLOOKUP(Capacity_Entsoe_SFS_2016[[#This Row],[Country]],$AK$3:$AQ$38,7,0),0)</f>
        <v>929</v>
      </c>
      <c r="U81" s="443">
        <f>IFERROR(VLOOKUP(Capacity_Entsoe_SFS_2016[[#This Row],[Country]],$AK$3:$AQ$38,4,0),0)</f>
        <v>2144</v>
      </c>
    </row>
    <row r="82" spans="1:21" x14ac:dyDescent="0.25">
      <c r="A82" s="425" t="str">
        <f t="shared" si="4"/>
        <v>SK</v>
      </c>
      <c r="B82" s="366">
        <f t="shared" si="21"/>
        <v>2016</v>
      </c>
      <c r="C82" s="366" t="str">
        <f t="shared" si="21"/>
        <v>MW</v>
      </c>
      <c r="D82" s="144">
        <f t="shared" si="6"/>
        <v>1940</v>
      </c>
      <c r="E82" s="144">
        <f t="shared" si="7"/>
        <v>458</v>
      </c>
      <c r="F82" s="167">
        <f t="shared" si="8"/>
        <v>220</v>
      </c>
      <c r="G82" s="167">
        <f t="shared" si="9"/>
        <v>1121</v>
      </c>
      <c r="H82" s="422">
        <f t="shared" si="10"/>
        <v>677</v>
      </c>
      <c r="I82" s="167">
        <f t="shared" si="11"/>
        <v>3</v>
      </c>
      <c r="J82" s="144">
        <f t="shared" si="12"/>
        <v>0</v>
      </c>
      <c r="K82" s="422">
        <f t="shared" si="13"/>
        <v>530</v>
      </c>
      <c r="L82" s="422">
        <f t="shared" si="14"/>
        <v>329</v>
      </c>
      <c r="M82" s="422">
        <f t="shared" si="15"/>
        <v>14</v>
      </c>
      <c r="N82" s="167">
        <f t="shared" si="0"/>
        <v>1803</v>
      </c>
      <c r="O82" s="167">
        <f t="shared" si="1"/>
        <v>734</v>
      </c>
      <c r="P82" s="422">
        <f t="shared" si="2"/>
        <v>19</v>
      </c>
      <c r="Q82" s="167">
        <f t="shared" si="3"/>
        <v>7848</v>
      </c>
      <c r="R82" s="167">
        <f t="shared" si="16"/>
        <v>7848</v>
      </c>
      <c r="S82" s="424">
        <f t="shared" si="20"/>
        <v>1</v>
      </c>
      <c r="T82" s="443">
        <f>IFERROR(VLOOKUP(Capacity_Entsoe_SFS_2016[[#This Row],[Country]],$AK$3:$AQ$38,7,0),0)</f>
        <v>2285</v>
      </c>
      <c r="U82" s="443">
        <f>IFERROR(VLOOKUP(Capacity_Entsoe_SFS_2016[[#This Row],[Country]],$AK$3:$AQ$38,4,0),0)</f>
        <v>4360</v>
      </c>
    </row>
    <row r="83" spans="1:21" x14ac:dyDescent="0.25">
      <c r="A83" s="425" t="str">
        <f t="shared" si="4"/>
        <v>TR</v>
      </c>
      <c r="B83" s="366">
        <f>B33</f>
        <v>2016</v>
      </c>
      <c r="C83" s="366" t="str">
        <f>C33</f>
        <v>MW</v>
      </c>
      <c r="D83" s="144">
        <f t="shared" si="6"/>
        <v>0</v>
      </c>
      <c r="E83" s="144">
        <f t="shared" si="7"/>
        <v>9755</v>
      </c>
      <c r="F83" s="167">
        <f t="shared" si="8"/>
        <v>8229</v>
      </c>
      <c r="G83" s="167">
        <f t="shared" si="9"/>
        <v>25569</v>
      </c>
      <c r="H83" s="422">
        <f t="shared" si="10"/>
        <v>371</v>
      </c>
      <c r="I83" s="167">
        <f t="shared" si="11"/>
        <v>5751</v>
      </c>
      <c r="J83" s="144">
        <f t="shared" si="12"/>
        <v>0</v>
      </c>
      <c r="K83" s="422">
        <f t="shared" si="13"/>
        <v>833</v>
      </c>
      <c r="L83" s="422">
        <f t="shared" si="14"/>
        <v>489</v>
      </c>
      <c r="M83" s="422">
        <f t="shared" si="15"/>
        <v>821</v>
      </c>
      <c r="N83" s="167">
        <f t="shared" si="0"/>
        <v>26682</v>
      </c>
      <c r="O83" s="167">
        <f t="shared" si="1"/>
        <v>0</v>
      </c>
      <c r="P83" s="422">
        <f t="shared" si="2"/>
        <v>0</v>
      </c>
      <c r="Q83" s="167">
        <f t="shared" si="3"/>
        <v>78500</v>
      </c>
      <c r="R83" s="167">
        <f t="shared" si="16"/>
        <v>78498</v>
      </c>
      <c r="S83" s="424">
        <f t="shared" si="20"/>
        <v>1.0000254783561364</v>
      </c>
      <c r="T83" s="443">
        <f>IFERROR(VLOOKUP(Capacity_Entsoe_SFS_2016[[#This Row],[Country]],$AK$3:$AQ$38,7,0),0)</f>
        <v>17796</v>
      </c>
      <c r="U83" s="443">
        <f>IFERROR(VLOOKUP(Capacity_Entsoe_SFS_2016[[#This Row],[Country]],$AK$3:$AQ$38,4,0),0)</f>
        <v>44341</v>
      </c>
    </row>
    <row r="84" spans="1:21" x14ac:dyDescent="0.25">
      <c r="A84" s="425" t="str">
        <f t="shared" si="4"/>
        <v>ENTSO-E</v>
      </c>
      <c r="B84" s="520">
        <f>B38</f>
        <v>2016</v>
      </c>
      <c r="C84" s="520" t="str">
        <f>C38</f>
        <v>MW</v>
      </c>
      <c r="D84" s="144">
        <f t="shared" si="6"/>
        <v>124830</v>
      </c>
      <c r="E84" s="144">
        <f t="shared" si="7"/>
        <v>70809</v>
      </c>
      <c r="F84" s="167">
        <f t="shared" si="8"/>
        <v>106617</v>
      </c>
      <c r="G84" s="167">
        <f t="shared" si="9"/>
        <v>234472</v>
      </c>
      <c r="H84" s="422">
        <f t="shared" si="10"/>
        <v>63867</v>
      </c>
      <c r="I84" s="167">
        <f t="shared" si="11"/>
        <v>146384</v>
      </c>
      <c r="J84" s="144">
        <f t="shared" si="12"/>
        <v>11743</v>
      </c>
      <c r="K84" s="422">
        <f t="shared" si="13"/>
        <v>99338</v>
      </c>
      <c r="L84" s="422">
        <f t="shared" si="14"/>
        <v>26156</v>
      </c>
      <c r="M84" s="422">
        <f t="shared" si="15"/>
        <v>11591</v>
      </c>
      <c r="N84" s="167">
        <f t="shared" si="0"/>
        <v>209059</v>
      </c>
      <c r="O84" s="167">
        <f t="shared" si="1"/>
        <v>25137</v>
      </c>
      <c r="P84" s="422">
        <f t="shared" si="2"/>
        <v>6790</v>
      </c>
      <c r="Q84" s="521">
        <f t="shared" si="3"/>
        <v>1136793</v>
      </c>
      <c r="R84" s="167">
        <f t="shared" si="16"/>
        <v>1136795</v>
      </c>
      <c r="S84" s="519">
        <f t="shared" si="20"/>
        <v>0.99999824066784249</v>
      </c>
      <c r="T84" s="521">
        <f>IFERROR(VLOOKUP(Capacity_Entsoe_SFS_2016[[#This Row],[Country]],$AK$3:$AQ$38,7,0),0)</f>
        <v>264721</v>
      </c>
      <c r="U84" s="521">
        <f>IFERROR(VLOOKUP(Capacity_Entsoe_SFS_2016[[#This Row],[Country]],$AK$3:$AQ$38,4,0),0)</f>
        <v>586133</v>
      </c>
    </row>
    <row r="85" spans="1:21" x14ac:dyDescent="0.25">
      <c r="A85" s="425" t="str">
        <f t="shared" si="4"/>
        <v>EU</v>
      </c>
      <c r="B85" s="520">
        <f>B39</f>
        <v>2016</v>
      </c>
      <c r="C85" s="520" t="str">
        <f>C39</f>
        <v>MW</v>
      </c>
      <c r="D85" s="144">
        <f t="shared" si="6"/>
        <v>121497</v>
      </c>
      <c r="E85" s="144">
        <f t="shared" si="7"/>
        <v>52958</v>
      </c>
      <c r="F85" s="167">
        <f t="shared" si="8"/>
        <v>98389</v>
      </c>
      <c r="G85" s="167">
        <f t="shared" si="9"/>
        <v>207897</v>
      </c>
      <c r="H85" s="422">
        <f t="shared" si="10"/>
        <v>62796</v>
      </c>
      <c r="I85" s="167">
        <f t="shared" si="11"/>
        <v>139666</v>
      </c>
      <c r="J85" s="144">
        <f t="shared" si="12"/>
        <v>11743</v>
      </c>
      <c r="K85" s="422">
        <f t="shared" si="13"/>
        <v>97428</v>
      </c>
      <c r="L85" s="422">
        <f t="shared" si="14"/>
        <v>25414</v>
      </c>
      <c r="M85" s="422">
        <f t="shared" si="15"/>
        <v>9865</v>
      </c>
      <c r="N85" s="167">
        <f t="shared" si="0"/>
        <v>131889</v>
      </c>
      <c r="O85" s="167">
        <f t="shared" si="1"/>
        <v>22694</v>
      </c>
      <c r="P85" s="422">
        <f t="shared" si="2"/>
        <v>6790</v>
      </c>
      <c r="Q85" s="521">
        <f t="shared" si="3"/>
        <v>989026</v>
      </c>
      <c r="R85" s="167">
        <f t="shared" si="16"/>
        <v>989025</v>
      </c>
      <c r="S85" s="519">
        <f t="shared" si="20"/>
        <v>1.0000010110967872</v>
      </c>
      <c r="T85" s="521">
        <f>IFERROR(VLOOKUP(Capacity_Entsoe_SFS_2016[[#This Row],[Country]],$AK$3:$AQ$38,7,0),0)</f>
        <v>0</v>
      </c>
      <c r="U85" s="521">
        <f>IFERROR(VLOOKUP(Capacity_Entsoe_SFS_2016[[#This Row],[Country]],$AK$3:$AQ$38,4,0),0)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theme="8"/>
  </sheetPr>
  <dimension ref="A1:AQ88"/>
  <sheetViews>
    <sheetView topLeftCell="A37" zoomScale="70" zoomScaleNormal="70" workbookViewId="0">
      <selection activeCell="N50" sqref="N50"/>
    </sheetView>
  </sheetViews>
  <sheetFormatPr baseColWidth="10" defaultColWidth="8" defaultRowHeight="12" x14ac:dyDescent="0.2"/>
  <cols>
    <col min="1" max="1" width="10.7109375" style="107" bestFit="1" customWidth="1"/>
    <col min="2" max="2" width="6.42578125" style="107" customWidth="1"/>
    <col min="3" max="3" width="6" style="107" customWidth="1"/>
    <col min="4" max="4" width="9" style="144" customWidth="1"/>
    <col min="5" max="5" width="8.28515625" style="144" customWidth="1"/>
    <col min="6" max="6" width="10.7109375" style="144" customWidth="1"/>
    <col min="7" max="7" width="13.28515625" style="144" customWidth="1"/>
    <col min="8" max="8" width="17" style="144" customWidth="1"/>
    <col min="9" max="9" width="14.28515625" style="144" customWidth="1"/>
    <col min="10" max="10" width="14.42578125" style="144" customWidth="1"/>
    <col min="11" max="11" width="9.5703125" style="144" customWidth="1"/>
    <col min="12" max="13" width="11.140625" style="144" customWidth="1"/>
    <col min="14" max="14" width="20.5703125" style="144" customWidth="1"/>
    <col min="15" max="15" width="16.85546875" style="144" customWidth="1"/>
    <col min="16" max="16" width="14.7109375" style="144" customWidth="1"/>
    <col min="17" max="17" width="17" style="144" customWidth="1"/>
    <col min="18" max="18" width="16.5703125" style="144" customWidth="1"/>
    <col min="19" max="19" width="17.42578125" style="144" customWidth="1"/>
    <col min="20" max="20" width="7.42578125" style="144" bestFit="1" customWidth="1"/>
    <col min="21" max="21" width="5.42578125" style="144" bestFit="1" customWidth="1"/>
    <col min="22" max="23" width="6.42578125" style="144" bestFit="1" customWidth="1"/>
    <col min="24" max="28" width="5.42578125" style="144" bestFit="1" customWidth="1"/>
    <col min="29" max="29" width="6.42578125" style="144" bestFit="1" customWidth="1"/>
    <col min="30" max="31" width="7.7109375" style="144" bestFit="1" customWidth="1"/>
    <col min="32" max="33" width="5.42578125" style="144" bestFit="1" customWidth="1"/>
    <col min="34" max="34" width="4" style="144" bestFit="1" customWidth="1"/>
    <col min="35" max="35" width="7.42578125" style="144" bestFit="1" customWidth="1"/>
    <col min="36" max="36" width="7.7109375" style="144" bestFit="1" customWidth="1"/>
    <col min="37" max="38" width="8" style="107"/>
    <col min="39" max="16384" width="8" style="144"/>
  </cols>
  <sheetData>
    <row r="1" spans="1:43" s="107" customFormat="1" ht="72" x14ac:dyDescent="0.2">
      <c r="A1" s="95">
        <v>2017</v>
      </c>
      <c r="B1" s="95"/>
      <c r="C1" s="95"/>
      <c r="D1" s="96" t="s">
        <v>320</v>
      </c>
      <c r="E1" s="97" t="s">
        <v>321</v>
      </c>
      <c r="F1" s="97" t="s">
        <v>322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323</v>
      </c>
      <c r="Q1" s="99" t="s">
        <v>324</v>
      </c>
      <c r="R1" s="99" t="s">
        <v>325</v>
      </c>
      <c r="S1" s="99" t="s">
        <v>326</v>
      </c>
      <c r="T1" s="100" t="s">
        <v>327</v>
      </c>
      <c r="U1" s="101" t="s">
        <v>328</v>
      </c>
      <c r="V1" s="101" t="s">
        <v>329</v>
      </c>
      <c r="W1" s="101" t="s">
        <v>330</v>
      </c>
      <c r="X1" s="101" t="s">
        <v>331</v>
      </c>
      <c r="Y1" s="101" t="s">
        <v>332</v>
      </c>
      <c r="Z1" s="101" t="s">
        <v>333</v>
      </c>
      <c r="AA1" s="101" t="s">
        <v>334</v>
      </c>
      <c r="AB1" s="101" t="s">
        <v>335</v>
      </c>
      <c r="AC1" s="101" t="s">
        <v>336</v>
      </c>
      <c r="AD1" s="101" t="s">
        <v>337</v>
      </c>
      <c r="AE1" s="101" t="s">
        <v>338</v>
      </c>
      <c r="AF1" s="101" t="s">
        <v>339</v>
      </c>
      <c r="AG1" s="101" t="s">
        <v>340</v>
      </c>
      <c r="AH1" s="101" t="s">
        <v>341</v>
      </c>
      <c r="AI1" s="102" t="s">
        <v>319</v>
      </c>
      <c r="AJ1" s="106" t="s">
        <v>61</v>
      </c>
    </row>
    <row r="2" spans="1:43" ht="36" x14ac:dyDescent="0.2">
      <c r="A2" s="257"/>
      <c r="B2" s="109"/>
      <c r="C2" s="109"/>
      <c r="D2" s="110" t="s">
        <v>344</v>
      </c>
      <c r="E2" s="112" t="s">
        <v>345</v>
      </c>
      <c r="F2" s="112" t="s">
        <v>345</v>
      </c>
      <c r="G2" s="112" t="s">
        <v>345</v>
      </c>
      <c r="H2" s="112" t="s">
        <v>345</v>
      </c>
      <c r="I2" s="112" t="s">
        <v>345</v>
      </c>
      <c r="J2" s="112" t="s">
        <v>345</v>
      </c>
      <c r="K2" s="112" t="s">
        <v>345</v>
      </c>
      <c r="L2" s="112" t="s">
        <v>345</v>
      </c>
      <c r="M2" s="112" t="s">
        <v>345</v>
      </c>
      <c r="N2" s="112" t="s">
        <v>345</v>
      </c>
      <c r="O2" s="112" t="s">
        <v>345</v>
      </c>
      <c r="P2" s="112" t="s">
        <v>345</v>
      </c>
      <c r="Q2" s="112" t="s">
        <v>345</v>
      </c>
      <c r="R2" s="111" t="s">
        <v>345</v>
      </c>
      <c r="S2" s="111" t="s">
        <v>345</v>
      </c>
      <c r="T2" s="113" t="s">
        <v>344</v>
      </c>
      <c r="U2" s="115" t="s">
        <v>345</v>
      </c>
      <c r="V2" s="115" t="s">
        <v>345</v>
      </c>
      <c r="W2" s="115" t="s">
        <v>345</v>
      </c>
      <c r="X2" s="115" t="s">
        <v>345</v>
      </c>
      <c r="Y2" s="115" t="s">
        <v>345</v>
      </c>
      <c r="Z2" s="115" t="s">
        <v>345</v>
      </c>
      <c r="AA2" s="115" t="s">
        <v>345</v>
      </c>
      <c r="AB2" s="115" t="s">
        <v>345</v>
      </c>
      <c r="AC2" s="115" t="s">
        <v>345</v>
      </c>
      <c r="AD2" s="115" t="s">
        <v>345</v>
      </c>
      <c r="AE2" s="115" t="s">
        <v>345</v>
      </c>
      <c r="AF2" s="115" t="s">
        <v>345</v>
      </c>
      <c r="AG2" s="115" t="s">
        <v>345</v>
      </c>
      <c r="AH2" s="258" t="s">
        <v>345</v>
      </c>
      <c r="AI2" s="116" t="s">
        <v>344</v>
      </c>
      <c r="AK2" s="462" t="s">
        <v>476</v>
      </c>
      <c r="AL2" s="462" t="s">
        <v>476</v>
      </c>
      <c r="AM2" s="462"/>
      <c r="AN2" s="463" t="s">
        <v>477</v>
      </c>
      <c r="AO2" s="464" t="s">
        <v>478</v>
      </c>
      <c r="AP2" s="462" t="s">
        <v>479</v>
      </c>
      <c r="AQ2" s="465" t="s">
        <v>477</v>
      </c>
    </row>
    <row r="3" spans="1:43" ht="18" x14ac:dyDescent="0.25">
      <c r="A3" s="259" t="s">
        <v>227</v>
      </c>
      <c r="B3" s="279">
        <v>2017</v>
      </c>
      <c r="C3" s="279" t="s">
        <v>205</v>
      </c>
      <c r="D3" s="260">
        <v>97</v>
      </c>
      <c r="E3" s="122">
        <v>0</v>
      </c>
      <c r="F3" s="261">
        <v>97</v>
      </c>
      <c r="G3" s="122">
        <v>0</v>
      </c>
      <c r="H3" s="122">
        <v>0</v>
      </c>
      <c r="I3" s="122">
        <v>0</v>
      </c>
      <c r="J3" s="122">
        <v>0</v>
      </c>
      <c r="K3" s="261">
        <v>97</v>
      </c>
      <c r="L3" s="122">
        <v>0</v>
      </c>
      <c r="M3" s="122">
        <v>0</v>
      </c>
      <c r="N3" s="122">
        <v>0</v>
      </c>
      <c r="O3" s="122">
        <v>0</v>
      </c>
      <c r="P3" s="122">
        <v>0</v>
      </c>
      <c r="Q3" s="122">
        <v>0</v>
      </c>
      <c r="R3" s="121">
        <v>0</v>
      </c>
      <c r="S3" s="121">
        <v>0</v>
      </c>
      <c r="T3" s="262">
        <v>1835</v>
      </c>
      <c r="U3" s="122">
        <v>0</v>
      </c>
      <c r="V3" s="122">
        <v>0</v>
      </c>
      <c r="W3" s="122">
        <v>0</v>
      </c>
      <c r="X3" s="122">
        <v>0</v>
      </c>
      <c r="Y3" s="122">
        <v>0</v>
      </c>
      <c r="Z3" s="122">
        <v>0</v>
      </c>
      <c r="AA3" s="122">
        <v>0</v>
      </c>
      <c r="AB3" s="122">
        <v>0</v>
      </c>
      <c r="AC3" s="263">
        <v>1534</v>
      </c>
      <c r="AD3" s="261">
        <v>301</v>
      </c>
      <c r="AE3" s="122">
        <v>0</v>
      </c>
      <c r="AF3" s="122">
        <v>0</v>
      </c>
      <c r="AG3" s="122">
        <v>0</v>
      </c>
      <c r="AH3" s="121">
        <v>0</v>
      </c>
      <c r="AI3" s="262">
        <v>1932</v>
      </c>
      <c r="AK3" s="466" t="s">
        <v>480</v>
      </c>
      <c r="AL3" s="467">
        <v>42746</v>
      </c>
      <c r="AM3" s="468" t="s">
        <v>481</v>
      </c>
      <c r="AN3" s="469">
        <v>1420</v>
      </c>
      <c r="AO3" s="470">
        <v>42844</v>
      </c>
      <c r="AP3" s="468" t="s">
        <v>482</v>
      </c>
      <c r="AQ3" s="471">
        <v>408</v>
      </c>
    </row>
    <row r="4" spans="1:43" ht="18" x14ac:dyDescent="0.25">
      <c r="A4" s="259" t="s">
        <v>228</v>
      </c>
      <c r="B4" s="279">
        <v>2017</v>
      </c>
      <c r="C4" s="279" t="s">
        <v>205</v>
      </c>
      <c r="D4" s="264">
        <v>6560</v>
      </c>
      <c r="E4" s="130">
        <v>0</v>
      </c>
      <c r="F4" s="265">
        <v>6455</v>
      </c>
      <c r="G4" s="130">
        <v>0</v>
      </c>
      <c r="H4" s="130">
        <v>0</v>
      </c>
      <c r="I4" s="265">
        <v>4841</v>
      </c>
      <c r="J4" s="266">
        <v>598</v>
      </c>
      <c r="K4" s="266">
        <v>166</v>
      </c>
      <c r="L4" s="130">
        <v>0</v>
      </c>
      <c r="M4" s="130">
        <v>0</v>
      </c>
      <c r="N4" s="266">
        <v>436</v>
      </c>
      <c r="O4" s="266">
        <v>414</v>
      </c>
      <c r="P4" s="130">
        <v>0</v>
      </c>
      <c r="Q4" s="130">
        <v>0</v>
      </c>
      <c r="R4" s="128">
        <v>0</v>
      </c>
      <c r="S4" s="267">
        <v>105</v>
      </c>
      <c r="T4" s="268">
        <v>18472</v>
      </c>
      <c r="U4" s="136">
        <v>0</v>
      </c>
      <c r="V4" s="269">
        <v>2730</v>
      </c>
      <c r="W4" s="269">
        <v>1031</v>
      </c>
      <c r="X4" s="136">
        <v>0</v>
      </c>
      <c r="Y4" s="270">
        <v>482</v>
      </c>
      <c r="Z4" s="270">
        <v>90</v>
      </c>
      <c r="AA4" s="270">
        <v>1</v>
      </c>
      <c r="AB4" s="270">
        <v>22</v>
      </c>
      <c r="AC4" s="136">
        <v>0</v>
      </c>
      <c r="AD4" s="269">
        <v>5692</v>
      </c>
      <c r="AE4" s="269">
        <v>8424</v>
      </c>
      <c r="AF4" s="136">
        <v>0</v>
      </c>
      <c r="AG4" s="136">
        <v>0</v>
      </c>
      <c r="AH4" s="271">
        <v>0</v>
      </c>
      <c r="AI4" s="272">
        <v>25032</v>
      </c>
      <c r="AK4" s="466" t="s">
        <v>483</v>
      </c>
      <c r="AL4" s="467">
        <v>42759</v>
      </c>
      <c r="AM4" s="468" t="s">
        <v>484</v>
      </c>
      <c r="AN4" s="469">
        <v>11919</v>
      </c>
      <c r="AO4" s="470">
        <v>42960</v>
      </c>
      <c r="AP4" s="468" t="s">
        <v>485</v>
      </c>
      <c r="AQ4" s="472">
        <v>4730</v>
      </c>
    </row>
    <row r="5" spans="1:43" ht="18" x14ac:dyDescent="0.25">
      <c r="A5" s="259" t="s">
        <v>229</v>
      </c>
      <c r="B5" s="279">
        <v>2017</v>
      </c>
      <c r="C5" s="279" t="s">
        <v>205</v>
      </c>
      <c r="D5" s="262">
        <v>2328</v>
      </c>
      <c r="E5" s="122">
        <v>0</v>
      </c>
      <c r="F5" s="263">
        <v>1888</v>
      </c>
      <c r="G5" s="263">
        <v>1888</v>
      </c>
      <c r="H5" s="122">
        <v>0</v>
      </c>
      <c r="I5" s="122">
        <v>0</v>
      </c>
      <c r="J5" s="122">
        <v>0</v>
      </c>
      <c r="K5" s="122">
        <v>0</v>
      </c>
      <c r="L5" s="122">
        <v>0</v>
      </c>
      <c r="M5" s="122">
        <v>0</v>
      </c>
      <c r="N5" s="122">
        <v>0</v>
      </c>
      <c r="O5" s="122">
        <v>0</v>
      </c>
      <c r="P5" s="122">
        <v>0</v>
      </c>
      <c r="Q5" s="261">
        <v>440</v>
      </c>
      <c r="R5" s="121">
        <v>0</v>
      </c>
      <c r="S5" s="121">
        <v>0</v>
      </c>
      <c r="T5" s="262">
        <v>1656</v>
      </c>
      <c r="U5" s="122">
        <v>0</v>
      </c>
      <c r="V5" s="122">
        <v>0</v>
      </c>
      <c r="W5" s="122">
        <v>0</v>
      </c>
      <c r="X5" s="122">
        <v>0</v>
      </c>
      <c r="Y5" s="122">
        <v>0</v>
      </c>
      <c r="Z5" s="122">
        <v>0</v>
      </c>
      <c r="AA5" s="122">
        <v>0</v>
      </c>
      <c r="AB5" s="122">
        <v>0</v>
      </c>
      <c r="AC5" s="263">
        <v>1656</v>
      </c>
      <c r="AD5" s="122">
        <v>0</v>
      </c>
      <c r="AE5" s="122">
        <v>0</v>
      </c>
      <c r="AF5" s="122">
        <v>0</v>
      </c>
      <c r="AG5" s="122">
        <v>0</v>
      </c>
      <c r="AH5" s="121">
        <v>0</v>
      </c>
      <c r="AI5" s="262">
        <v>3984</v>
      </c>
      <c r="AK5" s="466" t="s">
        <v>486</v>
      </c>
      <c r="AL5" s="467">
        <v>42746</v>
      </c>
      <c r="AM5" s="468" t="s">
        <v>481</v>
      </c>
      <c r="AN5" s="469">
        <v>2237</v>
      </c>
      <c r="AO5" s="470">
        <v>42857</v>
      </c>
      <c r="AP5" s="468" t="s">
        <v>485</v>
      </c>
      <c r="AQ5" s="471">
        <v>873</v>
      </c>
    </row>
    <row r="6" spans="1:43" ht="18" x14ac:dyDescent="0.25">
      <c r="A6" s="259" t="s">
        <v>230</v>
      </c>
      <c r="B6" s="279">
        <v>2017</v>
      </c>
      <c r="C6" s="279" t="s">
        <v>205</v>
      </c>
      <c r="D6" s="264">
        <v>14464</v>
      </c>
      <c r="E6" s="265">
        <v>5919</v>
      </c>
      <c r="F6" s="265">
        <v>6846</v>
      </c>
      <c r="G6" s="130">
        <v>0</v>
      </c>
      <c r="H6" s="130">
        <v>0</v>
      </c>
      <c r="I6" s="265">
        <v>6688</v>
      </c>
      <c r="J6" s="130">
        <v>0</v>
      </c>
      <c r="K6" s="266">
        <v>158</v>
      </c>
      <c r="L6" s="130">
        <v>0</v>
      </c>
      <c r="M6" s="130">
        <v>0</v>
      </c>
      <c r="N6" s="130">
        <v>0</v>
      </c>
      <c r="O6" s="130">
        <v>0</v>
      </c>
      <c r="P6" s="265">
        <v>1308</v>
      </c>
      <c r="Q6" s="130">
        <v>0</v>
      </c>
      <c r="R6" s="267">
        <v>314</v>
      </c>
      <c r="S6" s="267">
        <v>77</v>
      </c>
      <c r="T6" s="268">
        <v>7115</v>
      </c>
      <c r="U6" s="270">
        <v>878</v>
      </c>
      <c r="V6" s="269">
        <v>1929</v>
      </c>
      <c r="W6" s="269">
        <v>3380</v>
      </c>
      <c r="X6" s="136">
        <v>0</v>
      </c>
      <c r="Y6" s="270">
        <v>806</v>
      </c>
      <c r="Z6" s="136">
        <v>0</v>
      </c>
      <c r="AA6" s="136">
        <v>0</v>
      </c>
      <c r="AB6" s="136">
        <v>0</v>
      </c>
      <c r="AC6" s="136">
        <v>0</v>
      </c>
      <c r="AD6" s="270">
        <v>122</v>
      </c>
      <c r="AE6" s="136">
        <v>0</v>
      </c>
      <c r="AF6" s="136">
        <v>0</v>
      </c>
      <c r="AG6" s="136">
        <v>0</v>
      </c>
      <c r="AH6" s="271">
        <v>0</v>
      </c>
      <c r="AI6" s="272">
        <v>21579</v>
      </c>
      <c r="AK6" s="466" t="s">
        <v>487</v>
      </c>
      <c r="AL6" s="467">
        <v>42753</v>
      </c>
      <c r="AM6" s="468" t="s">
        <v>488</v>
      </c>
      <c r="AN6" s="469">
        <v>13270</v>
      </c>
      <c r="AO6" s="470">
        <v>42939</v>
      </c>
      <c r="AP6" s="468" t="s">
        <v>489</v>
      </c>
      <c r="AQ6" s="472">
        <v>6699</v>
      </c>
    </row>
    <row r="7" spans="1:43" ht="18" x14ac:dyDescent="0.25">
      <c r="A7" s="259" t="s">
        <v>231</v>
      </c>
      <c r="B7" s="279">
        <v>2017</v>
      </c>
      <c r="C7" s="279" t="s">
        <v>205</v>
      </c>
      <c r="D7" s="262">
        <v>8041</v>
      </c>
      <c r="E7" s="263">
        <v>2000</v>
      </c>
      <c r="F7" s="263">
        <v>5044</v>
      </c>
      <c r="G7" s="263">
        <v>4119</v>
      </c>
      <c r="H7" s="122">
        <v>0</v>
      </c>
      <c r="I7" s="261">
        <v>563</v>
      </c>
      <c r="J7" s="261">
        <v>362</v>
      </c>
      <c r="K7" s="122">
        <v>0</v>
      </c>
      <c r="L7" s="122">
        <v>0</v>
      </c>
      <c r="M7" s="122">
        <v>0</v>
      </c>
      <c r="N7" s="122">
        <v>0</v>
      </c>
      <c r="O7" s="122">
        <v>0</v>
      </c>
      <c r="P7" s="261">
        <v>864</v>
      </c>
      <c r="Q7" s="261">
        <v>133</v>
      </c>
      <c r="R7" s="121">
        <v>0</v>
      </c>
      <c r="S7" s="121">
        <v>0</v>
      </c>
      <c r="T7" s="262">
        <v>4032</v>
      </c>
      <c r="U7" s="122">
        <v>0</v>
      </c>
      <c r="V7" s="261">
        <v>701</v>
      </c>
      <c r="W7" s="263">
        <v>1046</v>
      </c>
      <c r="X7" s="122">
        <v>0</v>
      </c>
      <c r="Y7" s="261">
        <v>77</v>
      </c>
      <c r="Z7" s="122">
        <v>0</v>
      </c>
      <c r="AA7" s="122">
        <v>0</v>
      </c>
      <c r="AB7" s="122">
        <v>0</v>
      </c>
      <c r="AC7" s="263">
        <v>1537</v>
      </c>
      <c r="AD7" s="261">
        <v>613</v>
      </c>
      <c r="AE7" s="261">
        <v>57</v>
      </c>
      <c r="AF7" s="122">
        <v>0</v>
      </c>
      <c r="AG7" s="122">
        <v>0</v>
      </c>
      <c r="AH7" s="121">
        <v>0</v>
      </c>
      <c r="AI7" s="262">
        <v>12073</v>
      </c>
      <c r="AK7" s="466" t="s">
        <v>490</v>
      </c>
      <c r="AL7" s="467">
        <v>42745</v>
      </c>
      <c r="AM7" s="468" t="s">
        <v>481</v>
      </c>
      <c r="AN7" s="469">
        <v>7690</v>
      </c>
      <c r="AO7" s="470">
        <v>42842</v>
      </c>
      <c r="AP7" s="468" t="s">
        <v>485</v>
      </c>
      <c r="AQ7" s="472">
        <v>2739</v>
      </c>
    </row>
    <row r="8" spans="1:43" ht="18" x14ac:dyDescent="0.25">
      <c r="A8" s="259" t="s">
        <v>232</v>
      </c>
      <c r="B8" s="279">
        <v>2017</v>
      </c>
      <c r="C8" s="279" t="s">
        <v>205</v>
      </c>
      <c r="D8" s="264">
        <v>3544</v>
      </c>
      <c r="E8" s="265">
        <v>3333</v>
      </c>
      <c r="F8" s="130">
        <v>0</v>
      </c>
      <c r="G8" s="130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M8" s="130">
        <v>0</v>
      </c>
      <c r="N8" s="130">
        <v>0</v>
      </c>
      <c r="O8" s="130">
        <v>0</v>
      </c>
      <c r="P8" s="130">
        <v>0</v>
      </c>
      <c r="Q8" s="130">
        <v>0</v>
      </c>
      <c r="R8" s="267">
        <v>211</v>
      </c>
      <c r="S8" s="128">
        <v>0</v>
      </c>
      <c r="T8" s="268">
        <v>14072</v>
      </c>
      <c r="U8" s="136">
        <v>0</v>
      </c>
      <c r="V8" s="270">
        <v>60</v>
      </c>
      <c r="W8" s="269">
        <v>1394</v>
      </c>
      <c r="X8" s="136">
        <v>0</v>
      </c>
      <c r="Y8" s="270">
        <v>246</v>
      </c>
      <c r="Z8" s="270">
        <v>1</v>
      </c>
      <c r="AA8" s="136">
        <v>0</v>
      </c>
      <c r="AB8" s="270">
        <v>211</v>
      </c>
      <c r="AC8" s="269">
        <v>8156</v>
      </c>
      <c r="AD8" s="269">
        <v>4004</v>
      </c>
      <c r="AE8" s="136">
        <v>0</v>
      </c>
      <c r="AF8" s="136">
        <v>0</v>
      </c>
      <c r="AG8" s="136">
        <v>0</v>
      </c>
      <c r="AH8" s="271">
        <v>0</v>
      </c>
      <c r="AI8" s="272">
        <v>17616</v>
      </c>
      <c r="AK8" s="466" t="s">
        <v>491</v>
      </c>
      <c r="AL8" s="467">
        <v>42759</v>
      </c>
      <c r="AM8" s="468" t="s">
        <v>484</v>
      </c>
      <c r="AN8" s="469">
        <v>9946</v>
      </c>
      <c r="AO8" s="470">
        <v>42948</v>
      </c>
      <c r="AP8" s="468" t="s">
        <v>489</v>
      </c>
      <c r="AQ8" s="472">
        <v>4245</v>
      </c>
    </row>
    <row r="9" spans="1:43" ht="18" x14ac:dyDescent="0.25">
      <c r="A9" s="259" t="s">
        <v>233</v>
      </c>
      <c r="B9" s="279">
        <v>2017</v>
      </c>
      <c r="C9" s="279" t="s">
        <v>205</v>
      </c>
      <c r="D9" s="262">
        <v>1478</v>
      </c>
      <c r="E9" s="122">
        <v>0</v>
      </c>
      <c r="F9" s="263">
        <v>1478</v>
      </c>
      <c r="G9" s="122">
        <v>0</v>
      </c>
      <c r="H9" s="122">
        <v>0</v>
      </c>
      <c r="I9" s="122">
        <v>0</v>
      </c>
      <c r="J9" s="122">
        <v>0</v>
      </c>
      <c r="K9" s="263">
        <v>1478</v>
      </c>
      <c r="L9" s="122">
        <v>0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1">
        <v>0</v>
      </c>
      <c r="S9" s="121">
        <v>0</v>
      </c>
      <c r="T9" s="260">
        <v>279</v>
      </c>
      <c r="U9" s="122">
        <v>0</v>
      </c>
      <c r="V9" s="261">
        <v>155</v>
      </c>
      <c r="W9" s="122">
        <v>0</v>
      </c>
      <c r="X9" s="122">
        <v>0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261">
        <v>124</v>
      </c>
      <c r="AH9" s="121">
        <v>0</v>
      </c>
      <c r="AI9" s="262">
        <v>1757</v>
      </c>
      <c r="AK9" s="466" t="s">
        <v>492</v>
      </c>
      <c r="AL9" s="467">
        <v>42919</v>
      </c>
      <c r="AM9" s="468" t="s">
        <v>493</v>
      </c>
      <c r="AN9" s="469">
        <v>1025</v>
      </c>
      <c r="AO9" s="470">
        <v>42842</v>
      </c>
      <c r="AP9" s="468" t="s">
        <v>494</v>
      </c>
      <c r="AQ9" s="471">
        <v>300</v>
      </c>
    </row>
    <row r="10" spans="1:43" ht="18" x14ac:dyDescent="0.25">
      <c r="A10" s="259" t="s">
        <v>234</v>
      </c>
      <c r="B10" s="279">
        <v>2017</v>
      </c>
      <c r="C10" s="279" t="s">
        <v>205</v>
      </c>
      <c r="D10" s="264">
        <v>16610</v>
      </c>
      <c r="E10" s="265">
        <v>4040</v>
      </c>
      <c r="F10" s="265">
        <v>11298</v>
      </c>
      <c r="G10" s="265">
        <v>8492</v>
      </c>
      <c r="H10" s="266">
        <v>380</v>
      </c>
      <c r="I10" s="265">
        <v>1226</v>
      </c>
      <c r="J10" s="265">
        <v>1200</v>
      </c>
      <c r="K10" s="130">
        <v>0</v>
      </c>
      <c r="L10" s="130">
        <v>0</v>
      </c>
      <c r="M10" s="130">
        <v>0</v>
      </c>
      <c r="N10" s="130">
        <v>0</v>
      </c>
      <c r="O10" s="130">
        <v>0</v>
      </c>
      <c r="P10" s="265">
        <v>1172</v>
      </c>
      <c r="Q10" s="130">
        <v>0</v>
      </c>
      <c r="R10" s="267">
        <v>100</v>
      </c>
      <c r="S10" s="128">
        <v>0</v>
      </c>
      <c r="T10" s="268">
        <v>4235</v>
      </c>
      <c r="U10" s="136">
        <v>0</v>
      </c>
      <c r="V10" s="270">
        <v>308</v>
      </c>
      <c r="W10" s="269">
        <v>2040</v>
      </c>
      <c r="X10" s="136">
        <v>0</v>
      </c>
      <c r="Y10" s="270">
        <v>350</v>
      </c>
      <c r="Z10" s="270">
        <v>450</v>
      </c>
      <c r="AA10" s="136">
        <v>0</v>
      </c>
      <c r="AB10" s="136">
        <v>0</v>
      </c>
      <c r="AC10" s="270">
        <v>753</v>
      </c>
      <c r="AD10" s="270">
        <v>334</v>
      </c>
      <c r="AE10" s="136">
        <v>0</v>
      </c>
      <c r="AF10" s="136">
        <v>0</v>
      </c>
      <c r="AG10" s="136">
        <v>0</v>
      </c>
      <c r="AH10" s="271">
        <v>0</v>
      </c>
      <c r="AI10" s="272">
        <v>20845</v>
      </c>
      <c r="AK10" s="466" t="s">
        <v>495</v>
      </c>
      <c r="AL10" s="467">
        <v>42759</v>
      </c>
      <c r="AM10" s="468" t="s">
        <v>496</v>
      </c>
      <c r="AN10" s="469">
        <v>10900</v>
      </c>
      <c r="AO10" s="470">
        <v>42946</v>
      </c>
      <c r="AP10" s="468" t="s">
        <v>494</v>
      </c>
      <c r="AQ10" s="472">
        <v>4360</v>
      </c>
    </row>
    <row r="11" spans="1:43" ht="18" x14ac:dyDescent="0.25">
      <c r="A11" s="259" t="s">
        <v>235</v>
      </c>
      <c r="B11" s="279">
        <v>2017</v>
      </c>
      <c r="C11" s="279" t="s">
        <v>205</v>
      </c>
      <c r="D11" s="262">
        <v>98188</v>
      </c>
      <c r="E11" s="263">
        <v>9509</v>
      </c>
      <c r="F11" s="263">
        <v>81577</v>
      </c>
      <c r="G11" s="263">
        <v>20804</v>
      </c>
      <c r="H11" s="122">
        <v>0</v>
      </c>
      <c r="I11" s="263">
        <v>30582</v>
      </c>
      <c r="J11" s="263">
        <v>25010</v>
      </c>
      <c r="K11" s="263">
        <v>3777</v>
      </c>
      <c r="L11" s="122">
        <v>0</v>
      </c>
      <c r="M11" s="122">
        <v>0</v>
      </c>
      <c r="N11" s="263">
        <v>1404</v>
      </c>
      <c r="O11" s="122">
        <v>0</v>
      </c>
      <c r="P11" s="263">
        <v>5220</v>
      </c>
      <c r="Q11" s="263">
        <v>1062</v>
      </c>
      <c r="R11" s="273">
        <v>820</v>
      </c>
      <c r="S11" s="121">
        <v>0</v>
      </c>
      <c r="T11" s="262">
        <v>110041</v>
      </c>
      <c r="U11" s="263">
        <v>5371</v>
      </c>
      <c r="V11" s="263">
        <v>49701</v>
      </c>
      <c r="W11" s="263">
        <v>42020</v>
      </c>
      <c r="X11" s="122">
        <v>0</v>
      </c>
      <c r="Y11" s="263">
        <v>7250</v>
      </c>
      <c r="Z11" s="122">
        <v>0</v>
      </c>
      <c r="AA11" s="261">
        <v>38</v>
      </c>
      <c r="AB11" s="261">
        <v>820</v>
      </c>
      <c r="AC11" s="261">
        <v>681</v>
      </c>
      <c r="AD11" s="263">
        <v>3652</v>
      </c>
      <c r="AE11" s="122">
        <v>0</v>
      </c>
      <c r="AF11" s="122">
        <v>0</v>
      </c>
      <c r="AG11" s="261">
        <v>508</v>
      </c>
      <c r="AH11" s="121">
        <v>0</v>
      </c>
      <c r="AI11" s="262">
        <v>208229</v>
      </c>
      <c r="AK11" s="466" t="s">
        <v>497</v>
      </c>
      <c r="AL11" s="467">
        <v>43082</v>
      </c>
      <c r="AM11" s="468" t="s">
        <v>481</v>
      </c>
      <c r="AN11" s="469">
        <v>78710</v>
      </c>
      <c r="AO11" s="470">
        <v>42891</v>
      </c>
      <c r="AP11" s="468" t="s">
        <v>494</v>
      </c>
      <c r="AQ11" s="472">
        <v>35085</v>
      </c>
    </row>
    <row r="12" spans="1:43" ht="18" x14ac:dyDescent="0.25">
      <c r="A12" s="259" t="s">
        <v>236</v>
      </c>
      <c r="B12" s="279">
        <v>2017</v>
      </c>
      <c r="C12" s="279" t="s">
        <v>205</v>
      </c>
      <c r="D12" s="264">
        <v>7609</v>
      </c>
      <c r="E12" s="130">
        <v>0</v>
      </c>
      <c r="F12" s="265">
        <v>7609</v>
      </c>
      <c r="G12" s="130">
        <v>0</v>
      </c>
      <c r="H12" s="130">
        <v>0</v>
      </c>
      <c r="I12" s="265">
        <v>2262</v>
      </c>
      <c r="J12" s="265">
        <v>4300</v>
      </c>
      <c r="K12" s="265">
        <v>1048</v>
      </c>
      <c r="L12" s="130">
        <v>0</v>
      </c>
      <c r="M12" s="130">
        <v>0</v>
      </c>
      <c r="N12" s="130">
        <v>0</v>
      </c>
      <c r="O12" s="130">
        <v>0</v>
      </c>
      <c r="P12" s="130">
        <v>0</v>
      </c>
      <c r="Q12" s="130">
        <v>0</v>
      </c>
      <c r="R12" s="128">
        <v>0</v>
      </c>
      <c r="S12" s="128">
        <v>0</v>
      </c>
      <c r="T12" s="268">
        <v>8130</v>
      </c>
      <c r="U12" s="269">
        <v>1264</v>
      </c>
      <c r="V12" s="269">
        <v>4233</v>
      </c>
      <c r="W12" s="270">
        <v>908</v>
      </c>
      <c r="X12" s="136">
        <v>0</v>
      </c>
      <c r="Y12" s="269">
        <v>1234</v>
      </c>
      <c r="Z12" s="270">
        <v>115</v>
      </c>
      <c r="AA12" s="136">
        <v>0</v>
      </c>
      <c r="AB12" s="270">
        <v>370</v>
      </c>
      <c r="AC12" s="136">
        <v>0</v>
      </c>
      <c r="AD12" s="270">
        <v>6</v>
      </c>
      <c r="AE12" s="136">
        <v>0</v>
      </c>
      <c r="AF12" s="136">
        <v>0</v>
      </c>
      <c r="AG12" s="136">
        <v>0</v>
      </c>
      <c r="AH12" s="274">
        <v>44</v>
      </c>
      <c r="AI12" s="272">
        <v>15784</v>
      </c>
      <c r="AK12" s="466" t="s">
        <v>498</v>
      </c>
      <c r="AL12" s="467">
        <v>42740</v>
      </c>
      <c r="AM12" s="468" t="s">
        <v>481</v>
      </c>
      <c r="AN12" s="469">
        <v>5878</v>
      </c>
      <c r="AO12" s="470">
        <v>42939</v>
      </c>
      <c r="AP12" s="468" t="s">
        <v>494</v>
      </c>
      <c r="AQ12" s="472">
        <v>2264</v>
      </c>
    </row>
    <row r="13" spans="1:43" ht="18" x14ac:dyDescent="0.25">
      <c r="A13" s="259" t="s">
        <v>237</v>
      </c>
      <c r="B13" s="279">
        <v>2017</v>
      </c>
      <c r="C13" s="279" t="s">
        <v>205</v>
      </c>
      <c r="D13" s="262">
        <v>2378</v>
      </c>
      <c r="E13" s="122">
        <v>0</v>
      </c>
      <c r="F13" s="263">
        <v>2351</v>
      </c>
      <c r="G13" s="122">
        <v>0</v>
      </c>
      <c r="H13" s="122">
        <v>0</v>
      </c>
      <c r="I13" s="261">
        <v>200</v>
      </c>
      <c r="J13" s="122">
        <v>0</v>
      </c>
      <c r="K13" s="261">
        <v>9</v>
      </c>
      <c r="L13" s="263">
        <v>1903</v>
      </c>
      <c r="M13" s="122">
        <v>0</v>
      </c>
      <c r="N13" s="261">
        <v>240</v>
      </c>
      <c r="O13" s="122">
        <v>0</v>
      </c>
      <c r="P13" s="122">
        <v>0</v>
      </c>
      <c r="Q13" s="122">
        <v>0</v>
      </c>
      <c r="R13" s="273">
        <v>17</v>
      </c>
      <c r="S13" s="273">
        <v>10</v>
      </c>
      <c r="T13" s="260">
        <v>452</v>
      </c>
      <c r="U13" s="122">
        <v>0</v>
      </c>
      <c r="V13" s="261">
        <v>341</v>
      </c>
      <c r="W13" s="261">
        <v>9</v>
      </c>
      <c r="X13" s="122">
        <v>0</v>
      </c>
      <c r="Y13" s="261">
        <v>86</v>
      </c>
      <c r="Z13" s="261">
        <v>6</v>
      </c>
      <c r="AA13" s="122">
        <v>0</v>
      </c>
      <c r="AB13" s="261">
        <v>3</v>
      </c>
      <c r="AC13" s="122">
        <v>0</v>
      </c>
      <c r="AD13" s="261">
        <v>8</v>
      </c>
      <c r="AE13" s="122">
        <v>0</v>
      </c>
      <c r="AF13" s="122">
        <v>0</v>
      </c>
      <c r="AG13" s="122">
        <v>0</v>
      </c>
      <c r="AH13" s="121">
        <v>0</v>
      </c>
      <c r="AI13" s="262">
        <v>2831</v>
      </c>
      <c r="AK13" s="466" t="s">
        <v>499</v>
      </c>
      <c r="AL13" s="467">
        <v>42740</v>
      </c>
      <c r="AM13" s="468" t="s">
        <v>500</v>
      </c>
      <c r="AN13" s="469">
        <v>1472</v>
      </c>
      <c r="AO13" s="470">
        <v>42911</v>
      </c>
      <c r="AP13" s="468" t="s">
        <v>485</v>
      </c>
      <c r="AQ13" s="471">
        <v>492</v>
      </c>
    </row>
    <row r="14" spans="1:43" ht="18" x14ac:dyDescent="0.25">
      <c r="A14" s="259" t="s">
        <v>238</v>
      </c>
      <c r="B14" s="279">
        <v>2017</v>
      </c>
      <c r="C14" s="279" t="s">
        <v>205</v>
      </c>
      <c r="D14" s="264">
        <v>56676</v>
      </c>
      <c r="E14" s="265">
        <v>7117</v>
      </c>
      <c r="F14" s="265">
        <v>45528</v>
      </c>
      <c r="G14" s="265">
        <v>1056</v>
      </c>
      <c r="H14" s="130">
        <v>0</v>
      </c>
      <c r="I14" s="265">
        <v>32158</v>
      </c>
      <c r="J14" s="265">
        <v>8949</v>
      </c>
      <c r="K14" s="265">
        <v>3365</v>
      </c>
      <c r="L14" s="130">
        <v>0</v>
      </c>
      <c r="M14" s="130">
        <v>0</v>
      </c>
      <c r="N14" s="130">
        <v>0</v>
      </c>
      <c r="O14" s="130">
        <v>0</v>
      </c>
      <c r="P14" s="265">
        <v>3329</v>
      </c>
      <c r="Q14" s="130">
        <v>0</v>
      </c>
      <c r="R14" s="267">
        <v>648</v>
      </c>
      <c r="S14" s="267">
        <v>53</v>
      </c>
      <c r="T14" s="268">
        <v>47850</v>
      </c>
      <c r="U14" s="136">
        <v>0</v>
      </c>
      <c r="V14" s="269">
        <v>23005</v>
      </c>
      <c r="W14" s="269">
        <v>4676</v>
      </c>
      <c r="X14" s="269">
        <v>2299</v>
      </c>
      <c r="Y14" s="270">
        <v>512</v>
      </c>
      <c r="Z14" s="270">
        <v>232</v>
      </c>
      <c r="AA14" s="136">
        <v>0</v>
      </c>
      <c r="AB14" s="270">
        <v>107</v>
      </c>
      <c r="AC14" s="269">
        <v>11225</v>
      </c>
      <c r="AD14" s="269">
        <v>2705</v>
      </c>
      <c r="AE14" s="269">
        <v>3073</v>
      </c>
      <c r="AF14" s="136">
        <v>0</v>
      </c>
      <c r="AG14" s="270">
        <v>16</v>
      </c>
      <c r="AH14" s="271">
        <v>0</v>
      </c>
      <c r="AI14" s="272">
        <v>104526</v>
      </c>
      <c r="AK14" s="466" t="s">
        <v>501</v>
      </c>
      <c r="AL14" s="467">
        <v>42753</v>
      </c>
      <c r="AM14" s="468" t="s">
        <v>502</v>
      </c>
      <c r="AN14" s="469">
        <v>41015</v>
      </c>
      <c r="AO14" s="470">
        <v>42841</v>
      </c>
      <c r="AP14" s="468" t="s">
        <v>494</v>
      </c>
      <c r="AQ14" s="472">
        <v>18758</v>
      </c>
    </row>
    <row r="15" spans="1:43" ht="18" x14ac:dyDescent="0.25">
      <c r="A15" s="259" t="s">
        <v>239</v>
      </c>
      <c r="B15" s="279">
        <v>2017</v>
      </c>
      <c r="C15" s="279" t="s">
        <v>205</v>
      </c>
      <c r="D15" s="262">
        <v>9603</v>
      </c>
      <c r="E15" s="263">
        <v>2782</v>
      </c>
      <c r="F15" s="263">
        <v>6664</v>
      </c>
      <c r="G15" s="122">
        <v>0</v>
      </c>
      <c r="H15" s="122">
        <v>0</v>
      </c>
      <c r="I15" s="263">
        <v>1865</v>
      </c>
      <c r="J15" s="263">
        <v>2278</v>
      </c>
      <c r="K15" s="263">
        <v>1386</v>
      </c>
      <c r="L15" s="122">
        <v>0</v>
      </c>
      <c r="M15" s="263">
        <v>1135</v>
      </c>
      <c r="N15" s="122">
        <v>0</v>
      </c>
      <c r="O15" s="122">
        <v>0</v>
      </c>
      <c r="P15" s="122">
        <v>0</v>
      </c>
      <c r="Q15" s="122">
        <v>0</v>
      </c>
      <c r="R15" s="273">
        <v>157</v>
      </c>
      <c r="S15" s="150">
        <v>0</v>
      </c>
      <c r="T15" s="262">
        <v>7127</v>
      </c>
      <c r="U15" s="122">
        <v>0</v>
      </c>
      <c r="V15" s="263">
        <v>1908</v>
      </c>
      <c r="W15" s="122">
        <v>0</v>
      </c>
      <c r="X15" s="122">
        <v>0</v>
      </c>
      <c r="Y15" s="263">
        <v>1813</v>
      </c>
      <c r="Z15" s="122">
        <v>0</v>
      </c>
      <c r="AA15" s="122">
        <v>0</v>
      </c>
      <c r="AB15" s="122">
        <v>0</v>
      </c>
      <c r="AC15" s="122">
        <v>0</v>
      </c>
      <c r="AD15" s="263">
        <v>3149</v>
      </c>
      <c r="AE15" s="122">
        <v>0</v>
      </c>
      <c r="AF15" s="122">
        <v>0</v>
      </c>
      <c r="AG15" s="261">
        <v>257</v>
      </c>
      <c r="AH15" s="121">
        <v>0</v>
      </c>
      <c r="AI15" s="262">
        <v>16730</v>
      </c>
      <c r="AK15" s="466" t="s">
        <v>503</v>
      </c>
      <c r="AL15" s="467">
        <v>42740</v>
      </c>
      <c r="AM15" s="468" t="s">
        <v>504</v>
      </c>
      <c r="AN15" s="469">
        <v>14374</v>
      </c>
      <c r="AO15" s="470">
        <v>42911</v>
      </c>
      <c r="AP15" s="468" t="s">
        <v>482</v>
      </c>
      <c r="AQ15" s="472">
        <v>5916</v>
      </c>
    </row>
    <row r="16" spans="1:43" ht="18" x14ac:dyDescent="0.25">
      <c r="A16" s="259" t="s">
        <v>240</v>
      </c>
      <c r="B16" s="279">
        <v>2017</v>
      </c>
      <c r="C16" s="279" t="s">
        <v>205</v>
      </c>
      <c r="D16" s="264">
        <v>82076</v>
      </c>
      <c r="E16" s="265">
        <v>63130</v>
      </c>
      <c r="F16" s="265">
        <v>18946</v>
      </c>
      <c r="G16" s="130">
        <v>0</v>
      </c>
      <c r="H16" s="130">
        <v>0</v>
      </c>
      <c r="I16" s="265">
        <v>11851</v>
      </c>
      <c r="J16" s="265">
        <v>2997</v>
      </c>
      <c r="K16" s="265">
        <v>4098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2">
        <v>0</v>
      </c>
      <c r="S16" s="128">
        <v>0</v>
      </c>
      <c r="T16" s="268">
        <v>48653</v>
      </c>
      <c r="U16" s="136">
        <v>0</v>
      </c>
      <c r="V16" s="269">
        <v>13539</v>
      </c>
      <c r="W16" s="269">
        <v>7646</v>
      </c>
      <c r="X16" s="136">
        <v>0</v>
      </c>
      <c r="Y16" s="270">
        <v>653</v>
      </c>
      <c r="Z16" s="270">
        <v>428</v>
      </c>
      <c r="AA16" s="136">
        <v>0</v>
      </c>
      <c r="AB16" s="270">
        <v>868</v>
      </c>
      <c r="AC16" s="136">
        <v>0</v>
      </c>
      <c r="AD16" s="269">
        <v>21094</v>
      </c>
      <c r="AE16" s="269">
        <v>2455</v>
      </c>
      <c r="AF16" s="270">
        <v>240</v>
      </c>
      <c r="AG16" s="269">
        <v>1728</v>
      </c>
      <c r="AH16" s="275">
        <v>0</v>
      </c>
      <c r="AI16" s="272">
        <v>130729</v>
      </c>
      <c r="AK16" s="466" t="s">
        <v>505</v>
      </c>
      <c r="AL16" s="467">
        <v>42755</v>
      </c>
      <c r="AM16" s="468" t="s">
        <v>506</v>
      </c>
      <c r="AN16" s="469">
        <v>94497</v>
      </c>
      <c r="AO16" s="470">
        <v>42960</v>
      </c>
      <c r="AP16" s="468" t="s">
        <v>489</v>
      </c>
      <c r="AQ16" s="472">
        <v>30199</v>
      </c>
    </row>
    <row r="17" spans="1:43" ht="18" x14ac:dyDescent="0.25">
      <c r="A17" s="259" t="s">
        <v>241</v>
      </c>
      <c r="B17" s="279">
        <v>2017</v>
      </c>
      <c r="C17" s="279" t="s">
        <v>205</v>
      </c>
      <c r="D17" s="262">
        <v>55392</v>
      </c>
      <c r="E17" s="263">
        <v>9248</v>
      </c>
      <c r="F17" s="263">
        <v>46144</v>
      </c>
      <c r="G17" s="122">
        <v>0</v>
      </c>
      <c r="H17" s="122">
        <v>0</v>
      </c>
      <c r="I17" s="263">
        <v>31124</v>
      </c>
      <c r="J17" s="263">
        <v>14145</v>
      </c>
      <c r="K17" s="261">
        <v>875</v>
      </c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1">
        <v>0</v>
      </c>
      <c r="S17" s="121">
        <v>0</v>
      </c>
      <c r="T17" s="262">
        <v>37170</v>
      </c>
      <c r="U17" s="263">
        <v>5400</v>
      </c>
      <c r="V17" s="263">
        <v>12950</v>
      </c>
      <c r="W17" s="263">
        <v>12900</v>
      </c>
      <c r="X17" s="122">
        <v>0</v>
      </c>
      <c r="Y17" s="263">
        <v>2097</v>
      </c>
      <c r="Z17" s="261">
        <v>1</v>
      </c>
      <c r="AA17" s="122">
        <v>0</v>
      </c>
      <c r="AB17" s="261">
        <v>1</v>
      </c>
      <c r="AC17" s="263">
        <v>2828</v>
      </c>
      <c r="AD17" s="261">
        <v>992</v>
      </c>
      <c r="AE17" s="261">
        <v>1</v>
      </c>
      <c r="AF17" s="122">
        <v>0</v>
      </c>
      <c r="AG17" s="122">
        <v>0</v>
      </c>
      <c r="AH17" s="121">
        <v>0</v>
      </c>
      <c r="AI17" s="262">
        <v>92562</v>
      </c>
      <c r="AK17" s="507" t="s">
        <v>110</v>
      </c>
      <c r="AL17" s="467">
        <v>42761</v>
      </c>
      <c r="AM17" s="468" t="s">
        <v>488</v>
      </c>
      <c r="AN17" s="469">
        <v>63626</v>
      </c>
      <c r="AO17" s="470">
        <v>42897</v>
      </c>
      <c r="AP17" s="468" t="s">
        <v>489</v>
      </c>
      <c r="AQ17" s="472">
        <v>21296</v>
      </c>
    </row>
    <row r="18" spans="1:43" ht="18" x14ac:dyDescent="0.25">
      <c r="A18" s="259" t="s">
        <v>242</v>
      </c>
      <c r="B18" s="279">
        <v>2017</v>
      </c>
      <c r="C18" s="279" t="s">
        <v>205</v>
      </c>
      <c r="D18" s="264">
        <v>8172</v>
      </c>
      <c r="E18" s="130">
        <v>0</v>
      </c>
      <c r="F18" s="265">
        <v>8172</v>
      </c>
      <c r="G18" s="265">
        <v>3904</v>
      </c>
      <c r="H18" s="130">
        <v>0</v>
      </c>
      <c r="I18" s="265">
        <v>4269</v>
      </c>
      <c r="J18" s="130">
        <v>0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28">
        <v>0</v>
      </c>
      <c r="S18" s="128">
        <v>0</v>
      </c>
      <c r="T18" s="268">
        <v>8220</v>
      </c>
      <c r="U18" s="136">
        <v>0</v>
      </c>
      <c r="V18" s="269">
        <v>2082</v>
      </c>
      <c r="W18" s="269">
        <v>2448</v>
      </c>
      <c r="X18" s="136">
        <v>0</v>
      </c>
      <c r="Y18" s="270">
        <v>60</v>
      </c>
      <c r="Z18" s="136">
        <v>0</v>
      </c>
      <c r="AA18" s="136">
        <v>0</v>
      </c>
      <c r="AB18" s="136">
        <v>0</v>
      </c>
      <c r="AC18" s="269">
        <v>2470</v>
      </c>
      <c r="AD18" s="270">
        <v>230</v>
      </c>
      <c r="AE18" s="270">
        <v>699</v>
      </c>
      <c r="AF18" s="136">
        <v>0</v>
      </c>
      <c r="AG18" s="270">
        <v>230</v>
      </c>
      <c r="AH18" s="271">
        <v>0</v>
      </c>
      <c r="AI18" s="272">
        <v>16392</v>
      </c>
      <c r="AK18" s="466" t="s">
        <v>507</v>
      </c>
      <c r="AL18" s="467">
        <v>42929</v>
      </c>
      <c r="AM18" s="468" t="s">
        <v>496</v>
      </c>
      <c r="AN18" s="469">
        <v>9674</v>
      </c>
      <c r="AO18" s="470">
        <v>42842</v>
      </c>
      <c r="AP18" s="468" t="s">
        <v>485</v>
      </c>
      <c r="AQ18" s="472">
        <v>3404</v>
      </c>
    </row>
    <row r="19" spans="1:43" ht="18" x14ac:dyDescent="0.25">
      <c r="A19" s="259" t="s">
        <v>243</v>
      </c>
      <c r="B19" s="279">
        <v>2017</v>
      </c>
      <c r="C19" s="279" t="s">
        <v>205</v>
      </c>
      <c r="D19" s="262">
        <v>2018</v>
      </c>
      <c r="E19" s="122">
        <v>0</v>
      </c>
      <c r="F19" s="263">
        <v>2018</v>
      </c>
      <c r="G19" s="122">
        <v>0</v>
      </c>
      <c r="H19" s="122">
        <v>0</v>
      </c>
      <c r="I19" s="261">
        <v>743</v>
      </c>
      <c r="J19" s="261">
        <v>325</v>
      </c>
      <c r="K19" s="261">
        <v>320</v>
      </c>
      <c r="L19" s="122">
        <v>0</v>
      </c>
      <c r="M19" s="122">
        <v>0</v>
      </c>
      <c r="N19" s="261">
        <v>630</v>
      </c>
      <c r="O19" s="122">
        <v>0</v>
      </c>
      <c r="P19" s="122">
        <v>0</v>
      </c>
      <c r="Q19" s="122">
        <v>0</v>
      </c>
      <c r="R19" s="121">
        <v>0</v>
      </c>
      <c r="S19" s="121">
        <v>0</v>
      </c>
      <c r="T19" s="262">
        <v>2760</v>
      </c>
      <c r="U19" s="122">
        <v>0</v>
      </c>
      <c r="V19" s="261">
        <v>537</v>
      </c>
      <c r="W19" s="261">
        <v>51</v>
      </c>
      <c r="X19" s="122">
        <v>0</v>
      </c>
      <c r="Y19" s="261">
        <v>36</v>
      </c>
      <c r="Z19" s="261">
        <v>36</v>
      </c>
      <c r="AA19" s="122">
        <v>0</v>
      </c>
      <c r="AB19" s="261">
        <v>6</v>
      </c>
      <c r="AC19" s="263">
        <v>1388</v>
      </c>
      <c r="AD19" s="261">
        <v>421</v>
      </c>
      <c r="AE19" s="261">
        <v>281</v>
      </c>
      <c r="AF19" s="122">
        <v>0</v>
      </c>
      <c r="AG19" s="261">
        <v>4</v>
      </c>
      <c r="AH19" s="121">
        <v>0</v>
      </c>
      <c r="AI19" s="262">
        <v>4778</v>
      </c>
      <c r="AK19" s="466" t="s">
        <v>508</v>
      </c>
      <c r="AL19" s="467">
        <v>42951</v>
      </c>
      <c r="AM19" s="468" t="s">
        <v>509</v>
      </c>
      <c r="AN19" s="469">
        <v>3079</v>
      </c>
      <c r="AO19" s="470">
        <v>42996</v>
      </c>
      <c r="AP19" s="468" t="s">
        <v>485</v>
      </c>
      <c r="AQ19" s="472">
        <v>1305</v>
      </c>
    </row>
    <row r="20" spans="1:43" ht="18" x14ac:dyDescent="0.25">
      <c r="A20" s="259" t="s">
        <v>244</v>
      </c>
      <c r="B20" s="279">
        <v>2017</v>
      </c>
      <c r="C20" s="279" t="s">
        <v>205</v>
      </c>
      <c r="D20" s="264">
        <v>7758</v>
      </c>
      <c r="E20" s="265">
        <v>1887</v>
      </c>
      <c r="F20" s="265">
        <v>5871</v>
      </c>
      <c r="G20" s="265">
        <v>1049</v>
      </c>
      <c r="H20" s="130">
        <v>0</v>
      </c>
      <c r="I20" s="265">
        <v>4120</v>
      </c>
      <c r="J20" s="266">
        <v>292</v>
      </c>
      <c r="K20" s="266">
        <v>410</v>
      </c>
      <c r="L20" s="130">
        <v>0</v>
      </c>
      <c r="M20" s="130">
        <v>0</v>
      </c>
      <c r="N20" s="130">
        <v>0</v>
      </c>
      <c r="O20" s="130">
        <v>0</v>
      </c>
      <c r="P20" s="130">
        <v>0</v>
      </c>
      <c r="Q20" s="130">
        <v>0</v>
      </c>
      <c r="R20" s="128">
        <v>0</v>
      </c>
      <c r="S20" s="128">
        <v>0</v>
      </c>
      <c r="T20" s="276">
        <v>811</v>
      </c>
      <c r="U20" s="136">
        <v>0</v>
      </c>
      <c r="V20" s="270">
        <v>323</v>
      </c>
      <c r="W20" s="270">
        <v>94</v>
      </c>
      <c r="X20" s="136">
        <v>0</v>
      </c>
      <c r="Y20" s="270">
        <v>246</v>
      </c>
      <c r="Z20" s="270">
        <v>64</v>
      </c>
      <c r="AA20" s="136">
        <v>0</v>
      </c>
      <c r="AB20" s="270">
        <v>28</v>
      </c>
      <c r="AC20" s="270">
        <v>28</v>
      </c>
      <c r="AD20" s="270">
        <v>28</v>
      </c>
      <c r="AE20" s="136">
        <v>0</v>
      </c>
      <c r="AF20" s="136">
        <v>0</v>
      </c>
      <c r="AG20" s="136">
        <v>0</v>
      </c>
      <c r="AH20" s="271">
        <v>0</v>
      </c>
      <c r="AI20" s="272">
        <v>8569</v>
      </c>
      <c r="AK20" s="466" t="s">
        <v>510</v>
      </c>
      <c r="AL20" s="467">
        <v>42745</v>
      </c>
      <c r="AM20" s="468" t="s">
        <v>481</v>
      </c>
      <c r="AN20" s="469">
        <v>6483</v>
      </c>
      <c r="AO20" s="470">
        <v>42842</v>
      </c>
      <c r="AP20" s="468" t="s">
        <v>485</v>
      </c>
      <c r="AQ20" s="472">
        <v>3129</v>
      </c>
    </row>
    <row r="21" spans="1:43" ht="18" x14ac:dyDescent="0.25">
      <c r="A21" s="259" t="s">
        <v>245</v>
      </c>
      <c r="B21" s="279">
        <v>2017</v>
      </c>
      <c r="C21" s="279" t="s">
        <v>205</v>
      </c>
      <c r="D21" s="262">
        <v>6546</v>
      </c>
      <c r="E21" s="122">
        <v>0</v>
      </c>
      <c r="F21" s="263">
        <v>6214</v>
      </c>
      <c r="G21" s="122">
        <v>0</v>
      </c>
      <c r="H21" s="122">
        <v>0</v>
      </c>
      <c r="I21" s="263">
        <v>4215</v>
      </c>
      <c r="J21" s="261">
        <v>855</v>
      </c>
      <c r="K21" s="261">
        <v>916</v>
      </c>
      <c r="L21" s="122">
        <v>0</v>
      </c>
      <c r="M21" s="261">
        <v>228</v>
      </c>
      <c r="N21" s="122">
        <v>0</v>
      </c>
      <c r="O21" s="122">
        <v>0</v>
      </c>
      <c r="P21" s="261">
        <v>292</v>
      </c>
      <c r="Q21" s="122">
        <v>0</v>
      </c>
      <c r="R21" s="273">
        <v>40</v>
      </c>
      <c r="S21" s="121">
        <v>0</v>
      </c>
      <c r="T21" s="262">
        <v>3696</v>
      </c>
      <c r="U21" s="122">
        <v>0</v>
      </c>
      <c r="V21" s="263">
        <v>3080</v>
      </c>
      <c r="W21" s="122">
        <v>0</v>
      </c>
      <c r="X21" s="122">
        <v>0</v>
      </c>
      <c r="Y21" s="122">
        <v>0</v>
      </c>
      <c r="Z21" s="122">
        <v>0</v>
      </c>
      <c r="AA21" s="122">
        <v>0</v>
      </c>
      <c r="AB21" s="261">
        <v>40</v>
      </c>
      <c r="AC21" s="122">
        <v>0</v>
      </c>
      <c r="AD21" s="261">
        <v>238</v>
      </c>
      <c r="AE21" s="122">
        <v>0</v>
      </c>
      <c r="AF21" s="122">
        <v>0</v>
      </c>
      <c r="AG21" s="261">
        <v>338</v>
      </c>
      <c r="AH21" s="273">
        <v>269</v>
      </c>
      <c r="AI21" s="262">
        <v>10510</v>
      </c>
      <c r="AK21" s="466" t="s">
        <v>511</v>
      </c>
      <c r="AL21" s="467">
        <v>43082</v>
      </c>
      <c r="AM21" s="468" t="s">
        <v>488</v>
      </c>
      <c r="AN21" s="469">
        <v>4907</v>
      </c>
      <c r="AO21" s="470">
        <v>42953</v>
      </c>
      <c r="AP21" s="468" t="s">
        <v>512</v>
      </c>
      <c r="AQ21" s="472">
        <v>1938</v>
      </c>
    </row>
    <row r="22" spans="1:43" ht="18" x14ac:dyDescent="0.25">
      <c r="A22" s="259" t="s">
        <v>246</v>
      </c>
      <c r="B22" s="279">
        <v>2017</v>
      </c>
      <c r="C22" s="279" t="s">
        <v>205</v>
      </c>
      <c r="D22" s="277">
        <v>11</v>
      </c>
      <c r="E22" s="130">
        <v>0</v>
      </c>
      <c r="F22" s="266">
        <v>11</v>
      </c>
      <c r="G22" s="130">
        <v>0</v>
      </c>
      <c r="H22" s="130">
        <v>0</v>
      </c>
      <c r="I22" s="130">
        <v>0</v>
      </c>
      <c r="J22" s="130">
        <v>0</v>
      </c>
      <c r="K22" s="266">
        <v>11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28">
        <v>0</v>
      </c>
      <c r="S22" s="128">
        <v>0</v>
      </c>
      <c r="T22" s="268">
        <v>2680</v>
      </c>
      <c r="U22" s="136">
        <v>0</v>
      </c>
      <c r="V22" s="270">
        <v>2</v>
      </c>
      <c r="W22" s="136">
        <v>0</v>
      </c>
      <c r="X22" s="136">
        <v>0</v>
      </c>
      <c r="Y22" s="136">
        <v>0</v>
      </c>
      <c r="Z22" s="136">
        <v>0</v>
      </c>
      <c r="AA22" s="270">
        <v>706</v>
      </c>
      <c r="AB22" s="136">
        <v>0</v>
      </c>
      <c r="AC22" s="269">
        <v>1948</v>
      </c>
      <c r="AD22" s="270">
        <v>25</v>
      </c>
      <c r="AE22" s="136">
        <v>0</v>
      </c>
      <c r="AF22" s="136">
        <v>0</v>
      </c>
      <c r="AG22" s="136">
        <v>0</v>
      </c>
      <c r="AH22" s="271">
        <v>0</v>
      </c>
      <c r="AI22" s="272">
        <v>2691</v>
      </c>
      <c r="AK22" s="466" t="s">
        <v>513</v>
      </c>
      <c r="AL22" s="467">
        <v>42796</v>
      </c>
      <c r="AM22" s="468" t="s">
        <v>496</v>
      </c>
      <c r="AN22" s="469">
        <v>2360</v>
      </c>
      <c r="AO22" s="470">
        <v>42954</v>
      </c>
      <c r="AP22" s="468" t="s">
        <v>494</v>
      </c>
      <c r="AQ22" s="472">
        <v>1622</v>
      </c>
    </row>
    <row r="23" spans="1:43" ht="18" x14ac:dyDescent="0.25">
      <c r="A23" s="259" t="s">
        <v>247</v>
      </c>
      <c r="B23" s="279">
        <v>2017</v>
      </c>
      <c r="C23" s="279" t="s">
        <v>205</v>
      </c>
      <c r="D23" s="262">
        <v>77414</v>
      </c>
      <c r="E23" s="122">
        <v>0</v>
      </c>
      <c r="F23" s="263">
        <v>69239</v>
      </c>
      <c r="G23" s="122">
        <v>0</v>
      </c>
      <c r="H23" s="263">
        <v>2057</v>
      </c>
      <c r="I23" s="263">
        <v>44283</v>
      </c>
      <c r="J23" s="263">
        <v>7354</v>
      </c>
      <c r="K23" s="263">
        <v>15545</v>
      </c>
      <c r="L23" s="122">
        <v>0</v>
      </c>
      <c r="M23" s="122">
        <v>0</v>
      </c>
      <c r="N23" s="122">
        <v>0</v>
      </c>
      <c r="O23" s="122">
        <v>0</v>
      </c>
      <c r="P23" s="263">
        <v>4753</v>
      </c>
      <c r="Q23" s="122">
        <v>0</v>
      </c>
      <c r="R23" s="273">
        <v>166</v>
      </c>
      <c r="S23" s="278">
        <v>3256</v>
      </c>
      <c r="T23" s="262">
        <v>55718</v>
      </c>
      <c r="U23" s="122">
        <v>0</v>
      </c>
      <c r="V23" s="263">
        <v>9778</v>
      </c>
      <c r="W23" s="263">
        <v>19662</v>
      </c>
      <c r="X23" s="122">
        <v>0</v>
      </c>
      <c r="Y23" s="263">
        <v>1626</v>
      </c>
      <c r="Z23" s="263">
        <v>1336</v>
      </c>
      <c r="AA23" s="261">
        <v>962</v>
      </c>
      <c r="AB23" s="261">
        <v>166</v>
      </c>
      <c r="AC23" s="263">
        <v>5102</v>
      </c>
      <c r="AD23" s="263">
        <v>12591</v>
      </c>
      <c r="AE23" s="263">
        <v>4179</v>
      </c>
      <c r="AF23" s="122">
        <v>0</v>
      </c>
      <c r="AG23" s="261">
        <v>316</v>
      </c>
      <c r="AH23" s="121">
        <v>0</v>
      </c>
      <c r="AI23" s="262">
        <v>133132</v>
      </c>
      <c r="AK23" s="466" t="s">
        <v>514</v>
      </c>
      <c r="AL23" s="467">
        <v>42950</v>
      </c>
      <c r="AM23" s="468" t="s">
        <v>504</v>
      </c>
      <c r="AN23" s="469">
        <v>56584</v>
      </c>
      <c r="AO23" s="470">
        <v>43095</v>
      </c>
      <c r="AP23" s="468" t="s">
        <v>485</v>
      </c>
      <c r="AQ23" s="472">
        <v>19045</v>
      </c>
    </row>
    <row r="24" spans="1:43" ht="18" x14ac:dyDescent="0.25">
      <c r="A24" s="259" t="s">
        <v>248</v>
      </c>
      <c r="B24" s="279">
        <v>2017</v>
      </c>
      <c r="C24" s="279" t="s">
        <v>205</v>
      </c>
      <c r="D24" s="264">
        <v>2688</v>
      </c>
      <c r="E24" s="130">
        <v>0</v>
      </c>
      <c r="F24" s="265">
        <v>1752</v>
      </c>
      <c r="G24" s="130">
        <v>0</v>
      </c>
      <c r="H24" s="130">
        <v>0</v>
      </c>
      <c r="I24" s="266">
        <v>560</v>
      </c>
      <c r="J24" s="130">
        <v>0</v>
      </c>
      <c r="K24" s="130">
        <v>0</v>
      </c>
      <c r="L24" s="130">
        <v>0</v>
      </c>
      <c r="M24" s="130">
        <v>0</v>
      </c>
      <c r="N24" s="265">
        <v>1192</v>
      </c>
      <c r="O24" s="130">
        <v>0</v>
      </c>
      <c r="P24" s="266">
        <v>900</v>
      </c>
      <c r="Q24" s="130">
        <v>0</v>
      </c>
      <c r="R24" s="267">
        <v>20</v>
      </c>
      <c r="S24" s="267">
        <v>15</v>
      </c>
      <c r="T24" s="276">
        <v>821</v>
      </c>
      <c r="U24" s="136">
        <v>0</v>
      </c>
      <c r="V24" s="270">
        <v>521</v>
      </c>
      <c r="W24" s="270">
        <v>82</v>
      </c>
      <c r="X24" s="136">
        <v>0</v>
      </c>
      <c r="Y24" s="270">
        <v>51</v>
      </c>
      <c r="Z24" s="270">
        <v>40</v>
      </c>
      <c r="AA24" s="136">
        <v>0</v>
      </c>
      <c r="AB24" s="136">
        <v>0</v>
      </c>
      <c r="AC24" s="136">
        <v>0</v>
      </c>
      <c r="AD24" s="270">
        <v>127</v>
      </c>
      <c r="AE24" s="136">
        <v>0</v>
      </c>
      <c r="AF24" s="136">
        <v>0</v>
      </c>
      <c r="AG24" s="136">
        <v>0</v>
      </c>
      <c r="AH24" s="271">
        <v>0</v>
      </c>
      <c r="AI24" s="272">
        <v>3509</v>
      </c>
      <c r="AK24" s="466" t="s">
        <v>515</v>
      </c>
      <c r="AL24" s="467">
        <v>42746</v>
      </c>
      <c r="AM24" s="468" t="s">
        <v>506</v>
      </c>
      <c r="AN24" s="469">
        <v>1896</v>
      </c>
      <c r="AO24" s="470">
        <v>42932</v>
      </c>
      <c r="AP24" s="468" t="s">
        <v>482</v>
      </c>
      <c r="AQ24" s="471">
        <v>837</v>
      </c>
    </row>
    <row r="25" spans="1:43" ht="18" x14ac:dyDescent="0.25">
      <c r="A25" s="259" t="s">
        <v>249</v>
      </c>
      <c r="B25" s="279">
        <v>2017</v>
      </c>
      <c r="C25" s="279" t="s">
        <v>205</v>
      </c>
      <c r="D25" s="262">
        <v>1447</v>
      </c>
      <c r="E25" s="122">
        <v>0</v>
      </c>
      <c r="F25" s="261">
        <v>136</v>
      </c>
      <c r="G25" s="122">
        <v>0</v>
      </c>
      <c r="H25" s="122">
        <v>0</v>
      </c>
      <c r="I25" s="261">
        <v>136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22">
        <v>0</v>
      </c>
      <c r="P25" s="263">
        <v>1290</v>
      </c>
      <c r="Q25" s="122">
        <v>0</v>
      </c>
      <c r="R25" s="273">
        <v>21</v>
      </c>
      <c r="S25" s="121">
        <v>0</v>
      </c>
      <c r="T25" s="260">
        <v>291</v>
      </c>
      <c r="U25" s="122">
        <v>0</v>
      </c>
      <c r="V25" s="261">
        <v>120</v>
      </c>
      <c r="W25" s="261">
        <v>128</v>
      </c>
      <c r="X25" s="122">
        <v>0</v>
      </c>
      <c r="Y25" s="122">
        <v>0</v>
      </c>
      <c r="Z25" s="261">
        <v>11</v>
      </c>
      <c r="AA25" s="122">
        <v>0</v>
      </c>
      <c r="AB25" s="122">
        <v>0</v>
      </c>
      <c r="AC25" s="261">
        <v>17</v>
      </c>
      <c r="AD25" s="261">
        <v>15</v>
      </c>
      <c r="AE25" s="122">
        <v>0</v>
      </c>
      <c r="AF25" s="122">
        <v>0</v>
      </c>
      <c r="AG25" s="122">
        <v>0</v>
      </c>
      <c r="AH25" s="121">
        <v>0</v>
      </c>
      <c r="AI25" s="262">
        <v>1738</v>
      </c>
      <c r="AK25" s="466" t="s">
        <v>516</v>
      </c>
      <c r="AL25" s="467">
        <v>42759</v>
      </c>
      <c r="AM25" s="468" t="s">
        <v>484</v>
      </c>
      <c r="AN25" s="473">
        <v>927</v>
      </c>
      <c r="AO25" s="470">
        <v>42736</v>
      </c>
      <c r="AP25" s="468" t="s">
        <v>489</v>
      </c>
      <c r="AQ25" s="471">
        <v>368</v>
      </c>
    </row>
    <row r="26" spans="1:43" ht="18" x14ac:dyDescent="0.25">
      <c r="A26" s="259" t="s">
        <v>250</v>
      </c>
      <c r="B26" s="279">
        <v>2017</v>
      </c>
      <c r="C26" s="279" t="s">
        <v>205</v>
      </c>
      <c r="D26" s="264">
        <v>1140</v>
      </c>
      <c r="E26" s="130">
        <v>0</v>
      </c>
      <c r="F26" s="265">
        <v>1140</v>
      </c>
      <c r="G26" s="130">
        <v>0</v>
      </c>
      <c r="H26" s="130">
        <v>0</v>
      </c>
      <c r="I26" s="265">
        <v>1031</v>
      </c>
      <c r="J26" s="130">
        <v>0</v>
      </c>
      <c r="K26" s="130">
        <v>0</v>
      </c>
      <c r="L26" s="130">
        <v>0</v>
      </c>
      <c r="M26" s="130">
        <v>0</v>
      </c>
      <c r="N26" s="266">
        <v>109</v>
      </c>
      <c r="O26" s="130">
        <v>0</v>
      </c>
      <c r="P26" s="130">
        <v>0</v>
      </c>
      <c r="Q26" s="130">
        <v>0</v>
      </c>
      <c r="R26" s="128">
        <v>0</v>
      </c>
      <c r="S26" s="128">
        <v>0</v>
      </c>
      <c r="T26" s="268">
        <v>1789</v>
      </c>
      <c r="U26" s="136">
        <v>0</v>
      </c>
      <c r="V26" s="270">
        <v>74</v>
      </c>
      <c r="W26" s="136">
        <v>0</v>
      </c>
      <c r="X26" s="136">
        <v>0</v>
      </c>
      <c r="Y26" s="270">
        <v>80</v>
      </c>
      <c r="Z26" s="270">
        <v>63</v>
      </c>
      <c r="AA26" s="136">
        <v>0</v>
      </c>
      <c r="AB26" s="136">
        <v>0</v>
      </c>
      <c r="AC26" s="136">
        <v>0</v>
      </c>
      <c r="AD26" s="269">
        <v>1572</v>
      </c>
      <c r="AE26" s="136">
        <v>0</v>
      </c>
      <c r="AF26" s="136">
        <v>0</v>
      </c>
      <c r="AG26" s="136">
        <v>0</v>
      </c>
      <c r="AH26" s="271">
        <v>0</v>
      </c>
      <c r="AI26" s="272">
        <v>2929</v>
      </c>
      <c r="AK26" s="466" t="s">
        <v>517</v>
      </c>
      <c r="AL26" s="467">
        <v>42740</v>
      </c>
      <c r="AM26" s="468" t="s">
        <v>504</v>
      </c>
      <c r="AN26" s="469">
        <v>1236</v>
      </c>
      <c r="AO26" s="470">
        <v>42911</v>
      </c>
      <c r="AP26" s="468" t="s">
        <v>485</v>
      </c>
      <c r="AQ26" s="471">
        <v>436</v>
      </c>
    </row>
    <row r="27" spans="1:43" ht="18" x14ac:dyDescent="0.25">
      <c r="A27" s="259" t="s">
        <v>251</v>
      </c>
      <c r="B27" s="279">
        <v>2017</v>
      </c>
      <c r="C27" s="279" t="s">
        <v>205</v>
      </c>
      <c r="D27" s="260">
        <v>880</v>
      </c>
      <c r="E27" s="122">
        <v>0</v>
      </c>
      <c r="F27" s="261">
        <v>220</v>
      </c>
      <c r="G27" s="261">
        <v>220</v>
      </c>
      <c r="H27" s="122">
        <v>0</v>
      </c>
      <c r="I27" s="122">
        <v>0</v>
      </c>
      <c r="J27" s="122">
        <v>0</v>
      </c>
      <c r="K27" s="122">
        <v>0</v>
      </c>
      <c r="L27" s="122">
        <v>0</v>
      </c>
      <c r="M27" s="122">
        <v>0</v>
      </c>
      <c r="N27" s="122">
        <v>0</v>
      </c>
      <c r="O27" s="122">
        <v>0</v>
      </c>
      <c r="P27" s="122">
        <v>0</v>
      </c>
      <c r="Q27" s="261">
        <v>660</v>
      </c>
      <c r="R27" s="121">
        <v>0</v>
      </c>
      <c r="S27" s="121">
        <v>0</v>
      </c>
      <c r="T27" s="260">
        <v>72</v>
      </c>
      <c r="U27" s="122">
        <v>0</v>
      </c>
      <c r="V27" s="261">
        <v>72</v>
      </c>
      <c r="W27" s="122">
        <v>0</v>
      </c>
      <c r="X27" s="122">
        <v>0</v>
      </c>
      <c r="Y27" s="122">
        <v>0</v>
      </c>
      <c r="Z27" s="122">
        <v>0</v>
      </c>
      <c r="AA27" s="122">
        <v>0</v>
      </c>
      <c r="AB27" s="122">
        <v>0</v>
      </c>
      <c r="AC27" s="122">
        <v>0</v>
      </c>
      <c r="AD27" s="122">
        <v>0</v>
      </c>
      <c r="AE27" s="122">
        <v>0</v>
      </c>
      <c r="AF27" s="122">
        <v>0</v>
      </c>
      <c r="AG27" s="122">
        <v>0</v>
      </c>
      <c r="AH27" s="121">
        <v>0</v>
      </c>
      <c r="AI27" s="260">
        <v>952</v>
      </c>
      <c r="AK27" s="466" t="s">
        <v>518</v>
      </c>
      <c r="AL27" s="467">
        <v>42745</v>
      </c>
      <c r="AM27" s="468" t="s">
        <v>488</v>
      </c>
      <c r="AN27" s="473">
        <v>654</v>
      </c>
      <c r="AO27" s="470">
        <v>43031</v>
      </c>
      <c r="AP27" s="468" t="s">
        <v>482</v>
      </c>
      <c r="AQ27" s="471">
        <v>221</v>
      </c>
    </row>
    <row r="28" spans="1:43" ht="18" x14ac:dyDescent="0.25">
      <c r="A28" s="259" t="s">
        <v>252</v>
      </c>
      <c r="B28" s="279">
        <v>2017</v>
      </c>
      <c r="C28" s="279" t="s">
        <v>205</v>
      </c>
      <c r="D28" s="264">
        <v>1157</v>
      </c>
      <c r="E28" s="130">
        <v>0</v>
      </c>
      <c r="F28" s="265">
        <v>1157</v>
      </c>
      <c r="G28" s="266">
        <v>718</v>
      </c>
      <c r="H28" s="130">
        <v>0</v>
      </c>
      <c r="I28" s="266">
        <v>250</v>
      </c>
      <c r="J28" s="130">
        <v>0</v>
      </c>
      <c r="K28" s="266">
        <v>189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28">
        <v>0</v>
      </c>
      <c r="S28" s="128">
        <v>0</v>
      </c>
      <c r="T28" s="276">
        <v>733</v>
      </c>
      <c r="U28" s="136">
        <v>0</v>
      </c>
      <c r="V28" s="270">
        <v>36</v>
      </c>
      <c r="W28" s="270">
        <v>17</v>
      </c>
      <c r="X28" s="136">
        <v>0</v>
      </c>
      <c r="Y28" s="136">
        <v>0</v>
      </c>
      <c r="Z28" s="270">
        <v>4</v>
      </c>
      <c r="AA28" s="136">
        <v>0</v>
      </c>
      <c r="AB28" s="136">
        <v>0</v>
      </c>
      <c r="AC28" s="270">
        <v>567</v>
      </c>
      <c r="AD28" s="270">
        <v>109</v>
      </c>
      <c r="AE28" s="136">
        <v>0</v>
      </c>
      <c r="AF28" s="136">
        <v>0</v>
      </c>
      <c r="AG28" s="136">
        <v>0</v>
      </c>
      <c r="AH28" s="271">
        <v>0</v>
      </c>
      <c r="AI28" s="272">
        <v>1890</v>
      </c>
      <c r="AK28" s="466" t="s">
        <v>519</v>
      </c>
      <c r="AL28" s="467">
        <v>42746</v>
      </c>
      <c r="AM28" s="468" t="s">
        <v>520</v>
      </c>
      <c r="AN28" s="469">
        <v>1514</v>
      </c>
      <c r="AO28" s="470">
        <v>42904</v>
      </c>
      <c r="AP28" s="468" t="s">
        <v>494</v>
      </c>
      <c r="AQ28" s="471">
        <v>422</v>
      </c>
    </row>
    <row r="29" spans="1:43" ht="18" x14ac:dyDescent="0.25">
      <c r="A29" s="259" t="s">
        <v>253</v>
      </c>
      <c r="B29" s="279">
        <v>2017</v>
      </c>
      <c r="C29" s="279" t="s">
        <v>205</v>
      </c>
      <c r="D29" s="262">
        <v>23550</v>
      </c>
      <c r="E29" s="261">
        <v>486</v>
      </c>
      <c r="F29" s="263">
        <v>23064</v>
      </c>
      <c r="G29" s="122">
        <v>0</v>
      </c>
      <c r="H29" s="122">
        <v>0</v>
      </c>
      <c r="I29" s="263">
        <v>18433</v>
      </c>
      <c r="J29" s="263">
        <v>4631</v>
      </c>
      <c r="K29" s="122">
        <v>0</v>
      </c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1">
        <v>0</v>
      </c>
      <c r="S29" s="121">
        <v>0</v>
      </c>
      <c r="T29" s="262">
        <v>8426</v>
      </c>
      <c r="U29" s="261">
        <v>957</v>
      </c>
      <c r="V29" s="263">
        <v>3675</v>
      </c>
      <c r="W29" s="263">
        <v>2584</v>
      </c>
      <c r="X29" s="122">
        <v>0</v>
      </c>
      <c r="Y29" s="261">
        <v>489</v>
      </c>
      <c r="Z29" s="122">
        <v>0</v>
      </c>
      <c r="AA29" s="122">
        <v>0</v>
      </c>
      <c r="AB29" s="261">
        <v>683</v>
      </c>
      <c r="AC29" s="122">
        <v>0</v>
      </c>
      <c r="AD29" s="261">
        <v>38</v>
      </c>
      <c r="AE29" s="122">
        <v>0</v>
      </c>
      <c r="AF29" s="122">
        <v>0</v>
      </c>
      <c r="AG29" s="122">
        <v>0</v>
      </c>
      <c r="AH29" s="121">
        <v>0</v>
      </c>
      <c r="AI29" s="262">
        <v>31976</v>
      </c>
      <c r="AK29" s="466" t="s">
        <v>521</v>
      </c>
      <c r="AL29" s="467">
        <v>43082</v>
      </c>
      <c r="AM29" s="468" t="s">
        <v>504</v>
      </c>
      <c r="AN29" s="469">
        <v>18620</v>
      </c>
      <c r="AO29" s="470">
        <v>43030</v>
      </c>
      <c r="AP29" s="468" t="s">
        <v>482</v>
      </c>
      <c r="AQ29" s="472">
        <v>7490</v>
      </c>
    </row>
    <row r="30" spans="1:43" ht="18" x14ac:dyDescent="0.25">
      <c r="A30" s="259" t="s">
        <v>254</v>
      </c>
      <c r="B30" s="279">
        <v>2017</v>
      </c>
      <c r="C30" s="279" t="s">
        <v>205</v>
      </c>
      <c r="D30" s="277">
        <v>448</v>
      </c>
      <c r="E30" s="130">
        <v>0</v>
      </c>
      <c r="F30" s="266">
        <v>448</v>
      </c>
      <c r="G30" s="130">
        <v>0</v>
      </c>
      <c r="H30" s="130">
        <v>0</v>
      </c>
      <c r="I30" s="266">
        <v>448</v>
      </c>
      <c r="J30" s="130">
        <v>0</v>
      </c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28">
        <v>0</v>
      </c>
      <c r="S30" s="128">
        <v>0</v>
      </c>
      <c r="T30" s="268">
        <v>32809</v>
      </c>
      <c r="U30" s="136">
        <v>0</v>
      </c>
      <c r="V30" s="269">
        <v>1083</v>
      </c>
      <c r="W30" s="270">
        <v>6</v>
      </c>
      <c r="X30" s="136">
        <v>0</v>
      </c>
      <c r="Y30" s="136">
        <v>0</v>
      </c>
      <c r="Z30" s="270">
        <v>7</v>
      </c>
      <c r="AA30" s="136">
        <v>0</v>
      </c>
      <c r="AB30" s="270">
        <v>17</v>
      </c>
      <c r="AC30" s="269">
        <v>31660</v>
      </c>
      <c r="AD30" s="136">
        <v>0</v>
      </c>
      <c r="AE30" s="136">
        <v>0</v>
      </c>
      <c r="AF30" s="270">
        <v>0</v>
      </c>
      <c r="AG30" s="270">
        <v>36</v>
      </c>
      <c r="AH30" s="274">
        <v>72</v>
      </c>
      <c r="AI30" s="272">
        <v>33329</v>
      </c>
      <c r="AK30" s="466" t="s">
        <v>522</v>
      </c>
      <c r="AL30" s="467">
        <v>42775</v>
      </c>
      <c r="AM30" s="468" t="s">
        <v>506</v>
      </c>
      <c r="AN30" s="469">
        <v>23246</v>
      </c>
      <c r="AO30" s="470">
        <v>42939</v>
      </c>
      <c r="AP30" s="468" t="s">
        <v>494</v>
      </c>
      <c r="AQ30" s="472">
        <v>9457</v>
      </c>
    </row>
    <row r="31" spans="1:43" ht="18" x14ac:dyDescent="0.25">
      <c r="A31" s="259" t="s">
        <v>255</v>
      </c>
      <c r="B31" s="279">
        <v>2017</v>
      </c>
      <c r="C31" s="279" t="s">
        <v>205</v>
      </c>
      <c r="D31" s="262">
        <v>31306</v>
      </c>
      <c r="E31" s="122">
        <v>0</v>
      </c>
      <c r="F31" s="263">
        <v>29582</v>
      </c>
      <c r="G31" s="263">
        <v>8590</v>
      </c>
      <c r="H31" s="261">
        <v>144</v>
      </c>
      <c r="I31" s="263">
        <v>2377</v>
      </c>
      <c r="J31" s="263">
        <v>18161</v>
      </c>
      <c r="K31" s="261">
        <v>310</v>
      </c>
      <c r="L31" s="122">
        <v>0</v>
      </c>
      <c r="M31" s="122">
        <v>0</v>
      </c>
      <c r="N31" s="122">
        <v>0</v>
      </c>
      <c r="O31" s="122">
        <v>0</v>
      </c>
      <c r="P31" s="263">
        <v>1398</v>
      </c>
      <c r="Q31" s="122">
        <v>0</v>
      </c>
      <c r="R31" s="273">
        <v>40</v>
      </c>
      <c r="S31" s="273">
        <v>286</v>
      </c>
      <c r="T31" s="262">
        <v>8083</v>
      </c>
      <c r="U31" s="122">
        <v>0</v>
      </c>
      <c r="V31" s="263">
        <v>5652</v>
      </c>
      <c r="W31" s="261">
        <v>285</v>
      </c>
      <c r="X31" s="122">
        <v>0</v>
      </c>
      <c r="Y31" s="261">
        <v>850</v>
      </c>
      <c r="Z31" s="261">
        <v>325</v>
      </c>
      <c r="AA31" s="122">
        <v>0</v>
      </c>
      <c r="AB31" s="122">
        <v>0</v>
      </c>
      <c r="AC31" s="261">
        <v>177</v>
      </c>
      <c r="AD31" s="261">
        <v>416</v>
      </c>
      <c r="AE31" s="261">
        <v>378</v>
      </c>
      <c r="AF31" s="122">
        <v>0</v>
      </c>
      <c r="AG31" s="122">
        <v>0</v>
      </c>
      <c r="AH31" s="121">
        <v>0</v>
      </c>
      <c r="AI31" s="262">
        <v>39389</v>
      </c>
      <c r="AK31" s="466" t="s">
        <v>523</v>
      </c>
      <c r="AL31" s="467">
        <v>42744</v>
      </c>
      <c r="AM31" s="468" t="s">
        <v>481</v>
      </c>
      <c r="AN31" s="469">
        <v>24392</v>
      </c>
      <c r="AO31" s="470">
        <v>42841</v>
      </c>
      <c r="AP31" s="468" t="s">
        <v>489</v>
      </c>
      <c r="AQ31" s="472">
        <v>11082</v>
      </c>
    </row>
    <row r="32" spans="1:43" ht="18" x14ac:dyDescent="0.25">
      <c r="A32" s="259" t="s">
        <v>256</v>
      </c>
      <c r="B32" s="279">
        <v>2017</v>
      </c>
      <c r="C32" s="279" t="s">
        <v>205</v>
      </c>
      <c r="D32" s="264">
        <v>6403</v>
      </c>
      <c r="E32" s="130">
        <v>0</v>
      </c>
      <c r="F32" s="265">
        <v>6403</v>
      </c>
      <c r="G32" s="130">
        <v>0</v>
      </c>
      <c r="H32" s="130">
        <v>0</v>
      </c>
      <c r="I32" s="265">
        <v>4607</v>
      </c>
      <c r="J32" s="265">
        <v>1756</v>
      </c>
      <c r="K32" s="266">
        <v>22</v>
      </c>
      <c r="L32" s="130">
        <v>0</v>
      </c>
      <c r="M32" s="130">
        <v>0</v>
      </c>
      <c r="N32" s="130">
        <v>0</v>
      </c>
      <c r="O32" s="266">
        <v>18</v>
      </c>
      <c r="P32" s="130">
        <v>0</v>
      </c>
      <c r="Q32" s="130">
        <v>0</v>
      </c>
      <c r="R32" s="128">
        <v>0</v>
      </c>
      <c r="S32" s="128">
        <v>0</v>
      </c>
      <c r="T32" s="268">
        <v>13397</v>
      </c>
      <c r="U32" s="136">
        <v>0</v>
      </c>
      <c r="V32" s="269">
        <v>5090</v>
      </c>
      <c r="W32" s="270">
        <v>490</v>
      </c>
      <c r="X32" s="136">
        <v>0</v>
      </c>
      <c r="Y32" s="270">
        <v>624</v>
      </c>
      <c r="Z32" s="136">
        <v>0</v>
      </c>
      <c r="AA32" s="136">
        <v>0</v>
      </c>
      <c r="AB32" s="136">
        <v>0</v>
      </c>
      <c r="AC32" s="269">
        <v>1515</v>
      </c>
      <c r="AD32" s="269">
        <v>2858</v>
      </c>
      <c r="AE32" s="269">
        <v>2820</v>
      </c>
      <c r="AF32" s="136">
        <v>0</v>
      </c>
      <c r="AG32" s="136">
        <v>0</v>
      </c>
      <c r="AH32" s="271">
        <v>0</v>
      </c>
      <c r="AI32" s="272">
        <v>19799</v>
      </c>
      <c r="AK32" s="466" t="s">
        <v>524</v>
      </c>
      <c r="AL32" s="467">
        <v>42754</v>
      </c>
      <c r="AM32" s="468" t="s">
        <v>525</v>
      </c>
      <c r="AN32" s="469">
        <v>8734</v>
      </c>
      <c r="AO32" s="470">
        <v>42841</v>
      </c>
      <c r="AP32" s="468" t="s">
        <v>506</v>
      </c>
      <c r="AQ32" s="472">
        <v>3413</v>
      </c>
    </row>
    <row r="33" spans="1:43" ht="18" x14ac:dyDescent="0.25">
      <c r="A33" s="259" t="s">
        <v>257</v>
      </c>
      <c r="B33" s="279">
        <v>2017</v>
      </c>
      <c r="C33" s="279" t="s">
        <v>205</v>
      </c>
      <c r="D33" s="262">
        <v>9201</v>
      </c>
      <c r="E33" s="263">
        <v>1300</v>
      </c>
      <c r="F33" s="263">
        <v>7901</v>
      </c>
      <c r="G33" s="263">
        <v>3312</v>
      </c>
      <c r="H33" s="122">
        <v>0</v>
      </c>
      <c r="I33" s="263">
        <v>1829</v>
      </c>
      <c r="J33" s="263">
        <v>1155</v>
      </c>
      <c r="K33" s="122">
        <v>0</v>
      </c>
      <c r="L33" s="122">
        <v>0</v>
      </c>
      <c r="M33" s="122">
        <v>0</v>
      </c>
      <c r="N33" s="263">
        <v>1605</v>
      </c>
      <c r="O33" s="122">
        <v>0</v>
      </c>
      <c r="P33" s="122">
        <v>0</v>
      </c>
      <c r="Q33" s="122">
        <v>0</v>
      </c>
      <c r="R33" s="121">
        <v>0</v>
      </c>
      <c r="S33" s="121">
        <v>0</v>
      </c>
      <c r="T33" s="262">
        <v>10756</v>
      </c>
      <c r="U33" s="122">
        <v>0</v>
      </c>
      <c r="V33" s="263">
        <v>2975</v>
      </c>
      <c r="W33" s="263">
        <v>1285</v>
      </c>
      <c r="X33" s="122">
        <v>0</v>
      </c>
      <c r="Y33" s="261">
        <v>121</v>
      </c>
      <c r="Z33" s="122">
        <v>0</v>
      </c>
      <c r="AA33" s="122">
        <v>0</v>
      </c>
      <c r="AB33" s="122">
        <v>0</v>
      </c>
      <c r="AC33" s="263">
        <v>3730</v>
      </c>
      <c r="AD33" s="263">
        <v>2645</v>
      </c>
      <c r="AE33" s="122">
        <v>0</v>
      </c>
      <c r="AF33" s="122">
        <v>0</v>
      </c>
      <c r="AG33" s="122">
        <v>0</v>
      </c>
      <c r="AH33" s="121">
        <v>0</v>
      </c>
      <c r="AI33" s="262">
        <v>19957</v>
      </c>
      <c r="AK33" s="466" t="s">
        <v>526</v>
      </c>
      <c r="AL33" s="467">
        <v>42745</v>
      </c>
      <c r="AM33" s="468" t="s">
        <v>481</v>
      </c>
      <c r="AN33" s="469">
        <v>8940</v>
      </c>
      <c r="AO33" s="470">
        <v>42891</v>
      </c>
      <c r="AP33" s="468" t="s">
        <v>482</v>
      </c>
      <c r="AQ33" s="472">
        <v>4057</v>
      </c>
    </row>
    <row r="34" spans="1:43" ht="18" x14ac:dyDescent="0.25">
      <c r="A34" s="259" t="s">
        <v>258</v>
      </c>
      <c r="B34" s="279">
        <v>2017</v>
      </c>
      <c r="C34" s="279" t="s">
        <v>205</v>
      </c>
      <c r="D34" s="264">
        <v>6111</v>
      </c>
      <c r="E34" s="130">
        <v>0</v>
      </c>
      <c r="F34" s="265">
        <v>5497</v>
      </c>
      <c r="G34" s="265">
        <v>5289</v>
      </c>
      <c r="H34" s="130">
        <v>0</v>
      </c>
      <c r="I34" s="266">
        <v>208</v>
      </c>
      <c r="J34" s="130">
        <v>0</v>
      </c>
      <c r="K34" s="130">
        <v>0</v>
      </c>
      <c r="L34" s="130">
        <v>0</v>
      </c>
      <c r="M34" s="130">
        <v>0</v>
      </c>
      <c r="N34" s="130">
        <v>0</v>
      </c>
      <c r="O34" s="130">
        <v>0</v>
      </c>
      <c r="P34" s="266">
        <v>614</v>
      </c>
      <c r="Q34" s="130">
        <v>0</v>
      </c>
      <c r="R34" s="128">
        <v>0</v>
      </c>
      <c r="S34" s="128">
        <v>0</v>
      </c>
      <c r="T34" s="268">
        <v>2383</v>
      </c>
      <c r="U34" s="136">
        <v>0</v>
      </c>
      <c r="V34" s="136">
        <v>0</v>
      </c>
      <c r="W34" s="136">
        <v>0</v>
      </c>
      <c r="X34" s="136">
        <v>0</v>
      </c>
      <c r="Y34" s="136">
        <v>0</v>
      </c>
      <c r="Z34" s="136">
        <v>0</v>
      </c>
      <c r="AA34" s="136">
        <v>0</v>
      </c>
      <c r="AB34" s="136">
        <v>0</v>
      </c>
      <c r="AC34" s="270">
        <v>401</v>
      </c>
      <c r="AD34" s="269">
        <v>1982</v>
      </c>
      <c r="AE34" s="136">
        <v>0</v>
      </c>
      <c r="AF34" s="136">
        <v>0</v>
      </c>
      <c r="AG34" s="136">
        <v>0</v>
      </c>
      <c r="AH34" s="271">
        <v>0</v>
      </c>
      <c r="AI34" s="272">
        <v>8494</v>
      </c>
      <c r="AK34" s="466" t="s">
        <v>527</v>
      </c>
      <c r="AL34" s="467">
        <v>42745</v>
      </c>
      <c r="AM34" s="468" t="s">
        <v>488</v>
      </c>
      <c r="AN34" s="469">
        <v>7429</v>
      </c>
      <c r="AO34" s="470">
        <v>42897</v>
      </c>
      <c r="AP34" s="468" t="s">
        <v>494</v>
      </c>
      <c r="AQ34" s="472">
        <v>2503</v>
      </c>
    </row>
    <row r="35" spans="1:43" ht="18" x14ac:dyDescent="0.25">
      <c r="A35" s="259" t="s">
        <v>259</v>
      </c>
      <c r="B35" s="279">
        <v>2017</v>
      </c>
      <c r="C35" s="279" t="s">
        <v>205</v>
      </c>
      <c r="D35" s="262">
        <v>12900</v>
      </c>
      <c r="E35" s="263">
        <v>8586</v>
      </c>
      <c r="F35" s="263">
        <v>3869</v>
      </c>
      <c r="G35" s="122">
        <v>0</v>
      </c>
      <c r="H35" s="122">
        <v>0</v>
      </c>
      <c r="I35" s="261">
        <v>849</v>
      </c>
      <c r="J35" s="261">
        <v>205</v>
      </c>
      <c r="K35" s="263">
        <v>2695</v>
      </c>
      <c r="L35" s="122">
        <v>0</v>
      </c>
      <c r="M35" s="122">
        <v>0</v>
      </c>
      <c r="N35" s="261">
        <v>120</v>
      </c>
      <c r="O35" s="122">
        <v>0</v>
      </c>
      <c r="P35" s="122">
        <v>0</v>
      </c>
      <c r="Q35" s="122">
        <v>0</v>
      </c>
      <c r="R35" s="273">
        <v>445</v>
      </c>
      <c r="S35" s="121">
        <v>0</v>
      </c>
      <c r="T35" s="262">
        <v>26137</v>
      </c>
      <c r="U35" s="122">
        <v>0</v>
      </c>
      <c r="V35" s="263">
        <v>6691</v>
      </c>
      <c r="W35" s="122">
        <v>0</v>
      </c>
      <c r="X35" s="122">
        <v>0</v>
      </c>
      <c r="Y35" s="263">
        <v>3145</v>
      </c>
      <c r="Z35" s="122">
        <v>0</v>
      </c>
      <c r="AA35" s="122">
        <v>0</v>
      </c>
      <c r="AB35" s="122">
        <v>0</v>
      </c>
      <c r="AC35" s="263">
        <v>16301</v>
      </c>
      <c r="AD35" s="122">
        <v>0</v>
      </c>
      <c r="AE35" s="122">
        <v>0</v>
      </c>
      <c r="AF35" s="122">
        <v>0</v>
      </c>
      <c r="AG35" s="122">
        <v>0</v>
      </c>
      <c r="AH35" s="121">
        <v>0</v>
      </c>
      <c r="AI35" s="262">
        <v>39037</v>
      </c>
      <c r="AK35" s="466" t="s">
        <v>528</v>
      </c>
      <c r="AL35" s="467">
        <v>42740</v>
      </c>
      <c r="AM35" s="468" t="s">
        <v>481</v>
      </c>
      <c r="AN35" s="469">
        <v>26224</v>
      </c>
      <c r="AO35" s="470">
        <v>42939</v>
      </c>
      <c r="AP35" s="468" t="s">
        <v>482</v>
      </c>
      <c r="AQ35" s="472">
        <v>8905</v>
      </c>
    </row>
    <row r="36" spans="1:43" ht="18" x14ac:dyDescent="0.25">
      <c r="A36" s="259" t="s">
        <v>260</v>
      </c>
      <c r="B36" s="279">
        <v>2017</v>
      </c>
      <c r="C36" s="279" t="s">
        <v>205</v>
      </c>
      <c r="D36" s="264">
        <v>2371</v>
      </c>
      <c r="E36" s="266">
        <v>696</v>
      </c>
      <c r="F36" s="265">
        <v>1379</v>
      </c>
      <c r="G36" s="266">
        <v>924</v>
      </c>
      <c r="H36" s="130">
        <v>0</v>
      </c>
      <c r="I36" s="266">
        <v>455</v>
      </c>
      <c r="J36" s="130">
        <v>0</v>
      </c>
      <c r="K36" s="130">
        <v>0</v>
      </c>
      <c r="L36" s="130">
        <v>0</v>
      </c>
      <c r="M36" s="130">
        <v>0</v>
      </c>
      <c r="N36" s="130">
        <v>0</v>
      </c>
      <c r="O36" s="130">
        <v>0</v>
      </c>
      <c r="P36" s="130">
        <v>0</v>
      </c>
      <c r="Q36" s="266">
        <v>180</v>
      </c>
      <c r="R36" s="267">
        <v>8</v>
      </c>
      <c r="S36" s="267">
        <v>107</v>
      </c>
      <c r="T36" s="268">
        <v>1446</v>
      </c>
      <c r="U36" s="136">
        <v>0</v>
      </c>
      <c r="V36" s="270">
        <v>3</v>
      </c>
      <c r="W36" s="270">
        <v>271</v>
      </c>
      <c r="X36" s="136">
        <v>0</v>
      </c>
      <c r="Y36" s="270">
        <v>12</v>
      </c>
      <c r="Z36" s="270">
        <v>29</v>
      </c>
      <c r="AA36" s="136">
        <v>0</v>
      </c>
      <c r="AB36" s="136">
        <v>0</v>
      </c>
      <c r="AC36" s="136">
        <v>0</v>
      </c>
      <c r="AD36" s="269">
        <v>1117</v>
      </c>
      <c r="AE36" s="136">
        <v>0</v>
      </c>
      <c r="AF36" s="136">
        <v>0</v>
      </c>
      <c r="AG36" s="270">
        <v>14</v>
      </c>
      <c r="AH36" s="271">
        <v>0</v>
      </c>
      <c r="AI36" s="272">
        <v>3816</v>
      </c>
      <c r="AK36" s="466" t="s">
        <v>529</v>
      </c>
      <c r="AL36" s="467">
        <v>42745</v>
      </c>
      <c r="AM36" s="468" t="s">
        <v>488</v>
      </c>
      <c r="AN36" s="469">
        <v>2270</v>
      </c>
      <c r="AO36" s="470">
        <v>42857</v>
      </c>
      <c r="AP36" s="468" t="s">
        <v>530</v>
      </c>
      <c r="AQ36" s="471">
        <v>937</v>
      </c>
    </row>
    <row r="37" spans="1:43" ht="18" x14ac:dyDescent="0.25">
      <c r="A37" s="259" t="s">
        <v>261</v>
      </c>
      <c r="B37" s="279">
        <v>2017</v>
      </c>
      <c r="C37" s="279" t="s">
        <v>205</v>
      </c>
      <c r="D37" s="262">
        <v>5041</v>
      </c>
      <c r="E37" s="263">
        <v>1940</v>
      </c>
      <c r="F37" s="263">
        <v>2348</v>
      </c>
      <c r="G37" s="261">
        <v>333</v>
      </c>
      <c r="H37" s="122">
        <v>0</v>
      </c>
      <c r="I37" s="263">
        <v>1106</v>
      </c>
      <c r="J37" s="261">
        <v>221</v>
      </c>
      <c r="K37" s="261">
        <v>257</v>
      </c>
      <c r="L37" s="122">
        <v>0</v>
      </c>
      <c r="M37" s="122">
        <v>0</v>
      </c>
      <c r="N37" s="261">
        <v>431</v>
      </c>
      <c r="O37" s="122">
        <v>0</v>
      </c>
      <c r="P37" s="261">
        <v>734</v>
      </c>
      <c r="Q37" s="122">
        <v>0</v>
      </c>
      <c r="R37" s="273">
        <v>19</v>
      </c>
      <c r="S37" s="121">
        <v>0</v>
      </c>
      <c r="T37" s="262">
        <v>2680</v>
      </c>
      <c r="U37" s="122">
        <v>0</v>
      </c>
      <c r="V37" s="261">
        <v>3</v>
      </c>
      <c r="W37" s="261">
        <v>530</v>
      </c>
      <c r="X37" s="122">
        <v>0</v>
      </c>
      <c r="Y37" s="261">
        <v>225</v>
      </c>
      <c r="Z37" s="261">
        <v>105</v>
      </c>
      <c r="AA37" s="122">
        <v>0</v>
      </c>
      <c r="AB37" s="122">
        <v>0</v>
      </c>
      <c r="AC37" s="261">
        <v>318</v>
      </c>
      <c r="AD37" s="263">
        <v>1205</v>
      </c>
      <c r="AE37" s="261">
        <v>282</v>
      </c>
      <c r="AF37" s="122">
        <v>0</v>
      </c>
      <c r="AG37" s="261">
        <v>12</v>
      </c>
      <c r="AH37" s="121">
        <v>0</v>
      </c>
      <c r="AI37" s="262">
        <v>7721</v>
      </c>
      <c r="AK37" s="466" t="s">
        <v>531</v>
      </c>
      <c r="AL37" s="467">
        <v>42765</v>
      </c>
      <c r="AM37" s="468" t="s">
        <v>532</v>
      </c>
      <c r="AN37" s="469">
        <v>4541</v>
      </c>
      <c r="AO37" s="470">
        <v>42876</v>
      </c>
      <c r="AP37" s="468" t="s">
        <v>482</v>
      </c>
      <c r="AQ37" s="472">
        <v>2320</v>
      </c>
    </row>
    <row r="38" spans="1:43" ht="18" x14ac:dyDescent="0.25">
      <c r="A38" s="259" t="s">
        <v>262</v>
      </c>
      <c r="B38" s="279">
        <v>2017</v>
      </c>
      <c r="C38" s="279" t="s">
        <v>205</v>
      </c>
      <c r="D38" s="264">
        <v>46292</v>
      </c>
      <c r="E38" s="130">
        <v>0</v>
      </c>
      <c r="F38" s="265">
        <v>46292</v>
      </c>
      <c r="G38" s="265">
        <v>9773</v>
      </c>
      <c r="H38" s="130">
        <v>0</v>
      </c>
      <c r="I38" s="265">
        <v>26637</v>
      </c>
      <c r="J38" s="265">
        <v>9576</v>
      </c>
      <c r="K38" s="266">
        <v>298</v>
      </c>
      <c r="L38" s="130">
        <v>0</v>
      </c>
      <c r="M38" s="130">
        <v>0</v>
      </c>
      <c r="N38" s="266">
        <v>6</v>
      </c>
      <c r="O38" s="266">
        <v>2</v>
      </c>
      <c r="P38" s="130">
        <v>0</v>
      </c>
      <c r="Q38" s="130">
        <v>0</v>
      </c>
      <c r="R38" s="128">
        <v>0</v>
      </c>
      <c r="S38" s="132">
        <v>0</v>
      </c>
      <c r="T38" s="268">
        <v>38908</v>
      </c>
      <c r="U38" s="136">
        <v>0</v>
      </c>
      <c r="V38" s="269">
        <v>6516</v>
      </c>
      <c r="W38" s="269">
        <v>3421</v>
      </c>
      <c r="X38" s="136">
        <v>0</v>
      </c>
      <c r="Y38" s="270">
        <v>634</v>
      </c>
      <c r="Z38" s="136">
        <v>0</v>
      </c>
      <c r="AA38" s="269">
        <v>1064</v>
      </c>
      <c r="AB38" s="136">
        <v>0</v>
      </c>
      <c r="AC38" s="269">
        <v>19776</v>
      </c>
      <c r="AD38" s="269">
        <v>7497</v>
      </c>
      <c r="AE38" s="136">
        <v>0</v>
      </c>
      <c r="AF38" s="136">
        <v>0</v>
      </c>
      <c r="AG38" s="136">
        <v>0</v>
      </c>
      <c r="AH38" s="271">
        <v>0</v>
      </c>
      <c r="AI38" s="272">
        <v>85200</v>
      </c>
      <c r="AK38" s="466" t="s">
        <v>533</v>
      </c>
      <c r="AL38" s="467">
        <v>42943</v>
      </c>
      <c r="AM38" s="468" t="s">
        <v>509</v>
      </c>
      <c r="AN38" s="469">
        <v>47062</v>
      </c>
      <c r="AO38" s="470">
        <v>42912</v>
      </c>
      <c r="AP38" s="468" t="s">
        <v>489</v>
      </c>
      <c r="AQ38" s="472">
        <v>18851</v>
      </c>
    </row>
    <row r="39" spans="1:43" ht="18" x14ac:dyDescent="0.25">
      <c r="A39" s="259" t="s">
        <v>263</v>
      </c>
      <c r="B39" s="279">
        <v>2017</v>
      </c>
      <c r="C39" s="279" t="s">
        <v>205</v>
      </c>
      <c r="D39" s="262">
        <v>617897</v>
      </c>
      <c r="E39" s="263">
        <v>121973</v>
      </c>
      <c r="F39" s="263">
        <v>464639</v>
      </c>
      <c r="G39" s="261">
        <v>70471</v>
      </c>
      <c r="H39" s="122">
        <v>2581</v>
      </c>
      <c r="I39" s="263">
        <v>239915</v>
      </c>
      <c r="J39" s="261">
        <v>104370</v>
      </c>
      <c r="K39" s="261">
        <v>37429</v>
      </c>
      <c r="L39" s="122">
        <v>1903</v>
      </c>
      <c r="M39" s="122">
        <v>1363</v>
      </c>
      <c r="N39" s="261">
        <v>6173</v>
      </c>
      <c r="O39" s="122">
        <v>434</v>
      </c>
      <c r="P39" s="261">
        <v>21874</v>
      </c>
      <c r="Q39" s="122">
        <v>2475</v>
      </c>
      <c r="R39" s="273">
        <v>3027</v>
      </c>
      <c r="S39" s="121">
        <v>3909</v>
      </c>
      <c r="T39" s="262">
        <v>533736</v>
      </c>
      <c r="U39" s="122">
        <v>13870</v>
      </c>
      <c r="V39" s="261">
        <v>159874</v>
      </c>
      <c r="W39" s="261">
        <v>108403</v>
      </c>
      <c r="X39" s="122">
        <v>2299</v>
      </c>
      <c r="Y39" s="261">
        <v>23806</v>
      </c>
      <c r="Z39" s="261">
        <v>3342</v>
      </c>
      <c r="AA39" s="122">
        <v>2770</v>
      </c>
      <c r="AB39" s="122">
        <v>3342</v>
      </c>
      <c r="AC39" s="261">
        <v>113769</v>
      </c>
      <c r="AD39" s="263">
        <v>75785</v>
      </c>
      <c r="AE39" s="261">
        <v>22649</v>
      </c>
      <c r="AF39" s="122">
        <v>240</v>
      </c>
      <c r="AG39" s="261">
        <v>3583</v>
      </c>
      <c r="AH39" s="121">
        <v>385</v>
      </c>
      <c r="AI39" s="262">
        <v>1152017</v>
      </c>
      <c r="AJ39"/>
      <c r="AK39" s="466" t="s">
        <v>643</v>
      </c>
      <c r="AL39" s="474">
        <v>42753</v>
      </c>
      <c r="AM39" s="465" t="s">
        <v>534</v>
      </c>
      <c r="AN39" s="475">
        <v>581276</v>
      </c>
      <c r="AO39" s="476">
        <v>42897</v>
      </c>
      <c r="AP39" s="465" t="s">
        <v>535</v>
      </c>
      <c r="AQ39" s="472">
        <v>265419</v>
      </c>
    </row>
    <row r="40" spans="1:43" x14ac:dyDescent="0.2">
      <c r="A40" s="259" t="s">
        <v>264</v>
      </c>
      <c r="B40" s="279">
        <v>2017</v>
      </c>
      <c r="C40" s="279" t="s">
        <v>205</v>
      </c>
      <c r="D40" s="264">
        <v>557029</v>
      </c>
      <c r="E40" s="130">
        <v>118640</v>
      </c>
      <c r="F40" s="265">
        <v>409029</v>
      </c>
      <c r="G40" s="265">
        <v>52583</v>
      </c>
      <c r="H40" s="130">
        <v>2581</v>
      </c>
      <c r="I40" s="265">
        <v>212372</v>
      </c>
      <c r="J40" s="265">
        <v>94794</v>
      </c>
      <c r="K40" s="266">
        <v>36835</v>
      </c>
      <c r="L40" s="130">
        <v>1903</v>
      </c>
      <c r="M40" s="130">
        <v>1363</v>
      </c>
      <c r="N40" s="266">
        <v>6167</v>
      </c>
      <c r="O40" s="266">
        <v>432</v>
      </c>
      <c r="P40" s="130">
        <v>21260</v>
      </c>
      <c r="Q40" s="130">
        <v>1375</v>
      </c>
      <c r="R40" s="128">
        <v>2816</v>
      </c>
      <c r="S40" s="132">
        <v>3909</v>
      </c>
      <c r="T40" s="268">
        <v>438587</v>
      </c>
      <c r="U40" s="136">
        <v>13870</v>
      </c>
      <c r="V40" s="269">
        <v>152104</v>
      </c>
      <c r="W40" s="269">
        <v>103566</v>
      </c>
      <c r="X40" s="136">
        <v>2299</v>
      </c>
      <c r="Y40" s="270">
        <v>22926</v>
      </c>
      <c r="Z40" s="136">
        <v>3330</v>
      </c>
      <c r="AA40" s="269">
        <v>1001</v>
      </c>
      <c r="AB40" s="136">
        <v>3114</v>
      </c>
      <c r="AC40" s="269">
        <v>48071</v>
      </c>
      <c r="AD40" s="269">
        <v>61867</v>
      </c>
      <c r="AE40" s="136">
        <v>22649</v>
      </c>
      <c r="AF40" s="136">
        <v>240</v>
      </c>
      <c r="AG40" s="136">
        <v>3547</v>
      </c>
      <c r="AH40" s="271">
        <v>313</v>
      </c>
      <c r="AI40" s="272">
        <v>995929</v>
      </c>
    </row>
    <row r="50" spans="1:21" ht="12.75" x14ac:dyDescent="0.2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08" t="s">
        <v>597</v>
      </c>
      <c r="U50" s="508" t="s">
        <v>596</v>
      </c>
    </row>
    <row r="51" spans="1:21" x14ac:dyDescent="0.2">
      <c r="A51" s="259" t="str">
        <f>A3</f>
        <v>AL</v>
      </c>
      <c r="B51" s="366">
        <f>B4</f>
        <v>2017</v>
      </c>
      <c r="C51" s="366" t="str">
        <f>C4</f>
        <v>MW</v>
      </c>
      <c r="D51" s="144">
        <f>E3</f>
        <v>0</v>
      </c>
      <c r="E51" s="144">
        <f>G3</f>
        <v>0</v>
      </c>
      <c r="F51" s="167">
        <f>J3</f>
        <v>0</v>
      </c>
      <c r="G51" s="167">
        <f>H3+I3</f>
        <v>0</v>
      </c>
      <c r="H51" s="422">
        <f>M3+N3+O3+L3+K3</f>
        <v>97</v>
      </c>
      <c r="I51" s="167">
        <f>V3</f>
        <v>0</v>
      </c>
      <c r="J51" s="144">
        <f>U3</f>
        <v>0</v>
      </c>
      <c r="K51" s="422">
        <f>W3</f>
        <v>0</v>
      </c>
      <c r="L51" s="422">
        <f>Y3+Z3</f>
        <v>0</v>
      </c>
      <c r="M51" s="422">
        <f>X3+AA3+AB3+AG3+AH3</f>
        <v>0</v>
      </c>
      <c r="N51" s="167">
        <f t="shared" ref="N51:N88" si="0">SUM(AC3,AD3,AE3,AF3)</f>
        <v>1835</v>
      </c>
      <c r="O51" s="167">
        <f t="shared" ref="O51:O88" si="1">SUM(P3,Q3)</f>
        <v>0</v>
      </c>
      <c r="P51" s="422">
        <f t="shared" ref="P51:P88" si="2">SUM(R3:S3)</f>
        <v>0</v>
      </c>
      <c r="Q51" s="167">
        <f t="shared" ref="Q51:Q88" si="3">SUM(D51:P51)</f>
        <v>1932</v>
      </c>
      <c r="R51" s="167">
        <f>AI3</f>
        <v>1932</v>
      </c>
      <c r="S51" s="424">
        <f t="shared" ref="S51:S80" si="4">Q51/R51</f>
        <v>1</v>
      </c>
      <c r="T51" s="521">
        <f>IFERROR(VLOOKUP(Capacity_Entsoe_SFS_2017[[#This Row],[Country]],$AK$3:$AQ$39,7,0),0)</f>
        <v>408</v>
      </c>
      <c r="U51" s="443">
        <f>IFERROR(VLOOKUP(Capacity_Entsoe_SFS_2017[[#This Row],[Country]],$AK$3:$AQ$39,4,0),0)</f>
        <v>1420</v>
      </c>
    </row>
    <row r="52" spans="1:21" x14ac:dyDescent="0.2">
      <c r="A52" s="259" t="str">
        <f t="shared" ref="A52:A88" si="5">A4</f>
        <v>AT</v>
      </c>
      <c r="B52" s="366">
        <f t="shared" ref="B52:C72" si="6">B6</f>
        <v>2017</v>
      </c>
      <c r="C52" s="366" t="str">
        <f t="shared" si="6"/>
        <v>MW</v>
      </c>
      <c r="D52" s="144">
        <f t="shared" ref="D52:D88" si="7">E4</f>
        <v>0</v>
      </c>
      <c r="E52" s="144">
        <f t="shared" ref="E52:E88" si="8">G4</f>
        <v>0</v>
      </c>
      <c r="F52" s="167">
        <f t="shared" ref="F52:F88" si="9">J4</f>
        <v>598</v>
      </c>
      <c r="G52" s="167">
        <f t="shared" ref="G52:G88" si="10">H4+I4</f>
        <v>4841</v>
      </c>
      <c r="H52" s="422">
        <f t="shared" ref="H52:H88" si="11">M4+N4+O4+L4+K4</f>
        <v>1016</v>
      </c>
      <c r="I52" s="167">
        <f t="shared" ref="I52:I88" si="12">V4</f>
        <v>2730</v>
      </c>
      <c r="J52" s="144">
        <f t="shared" ref="J52:J88" si="13">U4</f>
        <v>0</v>
      </c>
      <c r="K52" s="422">
        <f t="shared" ref="K52:K88" si="14">W4</f>
        <v>1031</v>
      </c>
      <c r="L52" s="422">
        <f t="shared" ref="L52:L88" si="15">Y4+Z4</f>
        <v>572</v>
      </c>
      <c r="M52" s="422">
        <f t="shared" ref="M52:M88" si="16">X4+AA4+AB4+AG4+AH4</f>
        <v>23</v>
      </c>
      <c r="N52" s="167">
        <f t="shared" si="0"/>
        <v>14116</v>
      </c>
      <c r="O52" s="167">
        <f t="shared" si="1"/>
        <v>0</v>
      </c>
      <c r="P52" s="422">
        <f t="shared" si="2"/>
        <v>105</v>
      </c>
      <c r="Q52" s="167">
        <f t="shared" si="3"/>
        <v>25032</v>
      </c>
      <c r="R52" s="167">
        <f t="shared" ref="R52:R88" si="17">AI4</f>
        <v>25032</v>
      </c>
      <c r="S52" s="424">
        <f t="shared" si="4"/>
        <v>1</v>
      </c>
      <c r="T52" s="521">
        <f>IFERROR(VLOOKUP(Capacity_Entsoe_SFS_2017[[#This Row],[Country]],$AK$3:$AQ$39,7,0),0)</f>
        <v>4730</v>
      </c>
      <c r="U52" s="443">
        <f>IFERROR(VLOOKUP(Capacity_Entsoe_SFS_2017[[#This Row],[Country]],$AK$3:$AQ$39,4,0),0)</f>
        <v>11919</v>
      </c>
    </row>
    <row r="53" spans="1:21" x14ac:dyDescent="0.2">
      <c r="A53" s="259" t="str">
        <f t="shared" si="5"/>
        <v>BA</v>
      </c>
      <c r="B53" s="366">
        <f t="shared" si="6"/>
        <v>2017</v>
      </c>
      <c r="C53" s="366" t="str">
        <f t="shared" si="6"/>
        <v>MW</v>
      </c>
      <c r="D53" s="144">
        <f t="shared" si="7"/>
        <v>0</v>
      </c>
      <c r="E53" s="144">
        <f t="shared" si="8"/>
        <v>1888</v>
      </c>
      <c r="F53" s="167">
        <f t="shared" si="9"/>
        <v>0</v>
      </c>
      <c r="G53" s="167">
        <f t="shared" si="10"/>
        <v>0</v>
      </c>
      <c r="H53" s="422">
        <f t="shared" si="11"/>
        <v>0</v>
      </c>
      <c r="I53" s="167">
        <f t="shared" si="12"/>
        <v>0</v>
      </c>
      <c r="J53" s="144">
        <f t="shared" si="13"/>
        <v>0</v>
      </c>
      <c r="K53" s="422">
        <f t="shared" si="14"/>
        <v>0</v>
      </c>
      <c r="L53" s="422">
        <f t="shared" si="15"/>
        <v>0</v>
      </c>
      <c r="M53" s="422">
        <f t="shared" si="16"/>
        <v>0</v>
      </c>
      <c r="N53" s="167">
        <f t="shared" si="0"/>
        <v>1656</v>
      </c>
      <c r="O53" s="167">
        <f t="shared" si="1"/>
        <v>440</v>
      </c>
      <c r="P53" s="422">
        <f t="shared" si="2"/>
        <v>0</v>
      </c>
      <c r="Q53" s="167">
        <f t="shared" si="3"/>
        <v>3984</v>
      </c>
      <c r="R53" s="167">
        <f t="shared" si="17"/>
        <v>3984</v>
      </c>
      <c r="S53" s="424">
        <f t="shared" si="4"/>
        <v>1</v>
      </c>
      <c r="T53" s="521">
        <f>IFERROR(VLOOKUP(Capacity_Entsoe_SFS_2017[[#This Row],[Country]],$AK$3:$AQ$39,7,0),0)</f>
        <v>873</v>
      </c>
      <c r="U53" s="443">
        <f>IFERROR(VLOOKUP(Capacity_Entsoe_SFS_2017[[#This Row],[Country]],$AK$3:$AQ$39,4,0),0)</f>
        <v>2237</v>
      </c>
    </row>
    <row r="54" spans="1:21" x14ac:dyDescent="0.2">
      <c r="A54" s="259" t="str">
        <f t="shared" si="5"/>
        <v>BE</v>
      </c>
      <c r="B54" s="366">
        <f t="shared" si="6"/>
        <v>2017</v>
      </c>
      <c r="C54" s="366" t="str">
        <f t="shared" si="6"/>
        <v>MW</v>
      </c>
      <c r="D54" s="144">
        <f t="shared" si="7"/>
        <v>5919</v>
      </c>
      <c r="E54" s="144">
        <f t="shared" si="8"/>
        <v>0</v>
      </c>
      <c r="F54" s="167">
        <f t="shared" si="9"/>
        <v>0</v>
      </c>
      <c r="G54" s="167">
        <f t="shared" si="10"/>
        <v>6688</v>
      </c>
      <c r="H54" s="422">
        <f t="shared" si="11"/>
        <v>158</v>
      </c>
      <c r="I54" s="167">
        <f t="shared" si="12"/>
        <v>1929</v>
      </c>
      <c r="J54" s="144">
        <f t="shared" si="13"/>
        <v>878</v>
      </c>
      <c r="K54" s="422">
        <f t="shared" si="14"/>
        <v>3380</v>
      </c>
      <c r="L54" s="422">
        <f t="shared" si="15"/>
        <v>806</v>
      </c>
      <c r="M54" s="422">
        <f t="shared" si="16"/>
        <v>0</v>
      </c>
      <c r="N54" s="167">
        <f t="shared" si="0"/>
        <v>122</v>
      </c>
      <c r="O54" s="167">
        <f t="shared" si="1"/>
        <v>1308</v>
      </c>
      <c r="P54" s="422">
        <f t="shared" si="2"/>
        <v>391</v>
      </c>
      <c r="Q54" s="167">
        <f t="shared" si="3"/>
        <v>21579</v>
      </c>
      <c r="R54" s="167">
        <f t="shared" si="17"/>
        <v>21579</v>
      </c>
      <c r="S54" s="424">
        <f t="shared" si="4"/>
        <v>1</v>
      </c>
      <c r="T54" s="521">
        <f>IFERROR(VLOOKUP(Capacity_Entsoe_SFS_2017[[#This Row],[Country]],$AK$3:$AQ$39,7,0),0)</f>
        <v>6699</v>
      </c>
      <c r="U54" s="443">
        <f>IFERROR(VLOOKUP(Capacity_Entsoe_SFS_2017[[#This Row],[Country]],$AK$3:$AQ$39,4,0),0)</f>
        <v>13270</v>
      </c>
    </row>
    <row r="55" spans="1:21" x14ac:dyDescent="0.2">
      <c r="A55" s="259" t="str">
        <f t="shared" si="5"/>
        <v>BG</v>
      </c>
      <c r="B55" s="366">
        <f t="shared" si="6"/>
        <v>2017</v>
      </c>
      <c r="C55" s="366" t="str">
        <f t="shared" si="6"/>
        <v>MW</v>
      </c>
      <c r="D55" s="144">
        <f t="shared" si="7"/>
        <v>2000</v>
      </c>
      <c r="E55" s="144">
        <f t="shared" si="8"/>
        <v>4119</v>
      </c>
      <c r="F55" s="167">
        <f t="shared" si="9"/>
        <v>362</v>
      </c>
      <c r="G55" s="167">
        <f t="shared" si="10"/>
        <v>563</v>
      </c>
      <c r="H55" s="422">
        <f t="shared" si="11"/>
        <v>0</v>
      </c>
      <c r="I55" s="167">
        <f t="shared" si="12"/>
        <v>701</v>
      </c>
      <c r="J55" s="144">
        <f t="shared" si="13"/>
        <v>0</v>
      </c>
      <c r="K55" s="422">
        <f t="shared" si="14"/>
        <v>1046</v>
      </c>
      <c r="L55" s="422">
        <f t="shared" si="15"/>
        <v>77</v>
      </c>
      <c r="M55" s="422">
        <f t="shared" si="16"/>
        <v>0</v>
      </c>
      <c r="N55" s="167">
        <f t="shared" si="0"/>
        <v>2207</v>
      </c>
      <c r="O55" s="167">
        <f t="shared" si="1"/>
        <v>997</v>
      </c>
      <c r="P55" s="422">
        <f t="shared" si="2"/>
        <v>0</v>
      </c>
      <c r="Q55" s="167">
        <f t="shared" si="3"/>
        <v>12072</v>
      </c>
      <c r="R55" s="167">
        <f t="shared" si="17"/>
        <v>12073</v>
      </c>
      <c r="S55" s="424">
        <f t="shared" si="4"/>
        <v>0.99991717054584606</v>
      </c>
      <c r="T55" s="521">
        <f>IFERROR(VLOOKUP(Capacity_Entsoe_SFS_2017[[#This Row],[Country]],$AK$3:$AQ$39,7,0),0)</f>
        <v>2739</v>
      </c>
      <c r="U55" s="443">
        <f>IFERROR(VLOOKUP(Capacity_Entsoe_SFS_2017[[#This Row],[Country]],$AK$3:$AQ$39,4,0),0)</f>
        <v>7690</v>
      </c>
    </row>
    <row r="56" spans="1:21" x14ac:dyDescent="0.2">
      <c r="A56" s="259" t="str">
        <f t="shared" si="5"/>
        <v>CH</v>
      </c>
      <c r="B56" s="366">
        <f t="shared" si="6"/>
        <v>2017</v>
      </c>
      <c r="C56" s="366" t="str">
        <f t="shared" si="6"/>
        <v>MW</v>
      </c>
      <c r="D56" s="144">
        <f t="shared" si="7"/>
        <v>3333</v>
      </c>
      <c r="E56" s="144">
        <f t="shared" si="8"/>
        <v>0</v>
      </c>
      <c r="F56" s="167">
        <f t="shared" si="9"/>
        <v>0</v>
      </c>
      <c r="G56" s="167">
        <f t="shared" si="10"/>
        <v>0</v>
      </c>
      <c r="H56" s="422">
        <f t="shared" si="11"/>
        <v>0</v>
      </c>
      <c r="I56" s="167">
        <f t="shared" si="12"/>
        <v>60</v>
      </c>
      <c r="J56" s="144">
        <f t="shared" si="13"/>
        <v>0</v>
      </c>
      <c r="K56" s="422">
        <f t="shared" si="14"/>
        <v>1394</v>
      </c>
      <c r="L56" s="422">
        <f t="shared" si="15"/>
        <v>247</v>
      </c>
      <c r="M56" s="422">
        <f t="shared" si="16"/>
        <v>211</v>
      </c>
      <c r="N56" s="167">
        <f t="shared" si="0"/>
        <v>12160</v>
      </c>
      <c r="O56" s="167">
        <f t="shared" si="1"/>
        <v>0</v>
      </c>
      <c r="P56" s="422">
        <f t="shared" si="2"/>
        <v>211</v>
      </c>
      <c r="Q56" s="167">
        <f t="shared" si="3"/>
        <v>17616</v>
      </c>
      <c r="R56" s="167">
        <f t="shared" si="17"/>
        <v>17616</v>
      </c>
      <c r="S56" s="424">
        <f t="shared" si="4"/>
        <v>1</v>
      </c>
      <c r="T56" s="521">
        <f>IFERROR(VLOOKUP(Capacity_Entsoe_SFS_2017[[#This Row],[Country]],$AK$3:$AQ$39,7,0),0)</f>
        <v>4245</v>
      </c>
      <c r="U56" s="443">
        <f>IFERROR(VLOOKUP(Capacity_Entsoe_SFS_2017[[#This Row],[Country]],$AK$3:$AQ$39,4,0),0)</f>
        <v>9946</v>
      </c>
    </row>
    <row r="57" spans="1:21" x14ac:dyDescent="0.2">
      <c r="A57" s="259" t="str">
        <f t="shared" si="5"/>
        <v>CY</v>
      </c>
      <c r="B57" s="366">
        <f t="shared" si="6"/>
        <v>2017</v>
      </c>
      <c r="C57" s="366" t="str">
        <f t="shared" si="6"/>
        <v>MW</v>
      </c>
      <c r="D57" s="144">
        <f t="shared" si="7"/>
        <v>0</v>
      </c>
      <c r="E57" s="144">
        <f t="shared" si="8"/>
        <v>0</v>
      </c>
      <c r="F57" s="167">
        <f t="shared" si="9"/>
        <v>0</v>
      </c>
      <c r="G57" s="167">
        <f t="shared" si="10"/>
        <v>0</v>
      </c>
      <c r="H57" s="422">
        <f t="shared" si="11"/>
        <v>1478</v>
      </c>
      <c r="I57" s="167">
        <f t="shared" si="12"/>
        <v>155</v>
      </c>
      <c r="J57" s="144">
        <f t="shared" si="13"/>
        <v>0</v>
      </c>
      <c r="K57" s="422">
        <f t="shared" si="14"/>
        <v>0</v>
      </c>
      <c r="L57" s="422">
        <f t="shared" si="15"/>
        <v>0</v>
      </c>
      <c r="M57" s="422">
        <f t="shared" si="16"/>
        <v>124</v>
      </c>
      <c r="N57" s="167">
        <f t="shared" si="0"/>
        <v>0</v>
      </c>
      <c r="O57" s="167">
        <f t="shared" si="1"/>
        <v>0</v>
      </c>
      <c r="P57" s="422">
        <f t="shared" si="2"/>
        <v>0</v>
      </c>
      <c r="Q57" s="167">
        <f t="shared" si="3"/>
        <v>1757</v>
      </c>
      <c r="R57" s="167">
        <f t="shared" si="17"/>
        <v>1757</v>
      </c>
      <c r="S57" s="424">
        <f t="shared" si="4"/>
        <v>1</v>
      </c>
      <c r="T57" s="521">
        <f>IFERROR(VLOOKUP(Capacity_Entsoe_SFS_2017[[#This Row],[Country]],$AK$3:$AQ$39,7,0),0)</f>
        <v>300</v>
      </c>
      <c r="U57" s="443">
        <f>IFERROR(VLOOKUP(Capacity_Entsoe_SFS_2017[[#This Row],[Country]],$AK$3:$AQ$39,4,0),0)</f>
        <v>1025</v>
      </c>
    </row>
    <row r="58" spans="1:21" x14ac:dyDescent="0.2">
      <c r="A58" s="259" t="str">
        <f t="shared" si="5"/>
        <v>CZ</v>
      </c>
      <c r="B58" s="366">
        <f t="shared" si="6"/>
        <v>2017</v>
      </c>
      <c r="C58" s="366" t="str">
        <f t="shared" si="6"/>
        <v>MW</v>
      </c>
      <c r="D58" s="144">
        <f t="shared" si="7"/>
        <v>4040</v>
      </c>
      <c r="E58" s="144">
        <f t="shared" si="8"/>
        <v>8492</v>
      </c>
      <c r="F58" s="167">
        <f t="shared" si="9"/>
        <v>1200</v>
      </c>
      <c r="G58" s="167">
        <f t="shared" si="10"/>
        <v>1606</v>
      </c>
      <c r="H58" s="422">
        <f t="shared" si="11"/>
        <v>0</v>
      </c>
      <c r="I58" s="167">
        <f t="shared" si="12"/>
        <v>308</v>
      </c>
      <c r="J58" s="144">
        <f t="shared" si="13"/>
        <v>0</v>
      </c>
      <c r="K58" s="422">
        <f t="shared" si="14"/>
        <v>2040</v>
      </c>
      <c r="L58" s="422">
        <f t="shared" si="15"/>
        <v>800</v>
      </c>
      <c r="M58" s="422">
        <f t="shared" si="16"/>
        <v>0</v>
      </c>
      <c r="N58" s="167">
        <f t="shared" si="0"/>
        <v>1087</v>
      </c>
      <c r="O58" s="167">
        <f t="shared" si="1"/>
        <v>1172</v>
      </c>
      <c r="P58" s="422">
        <f t="shared" si="2"/>
        <v>100</v>
      </c>
      <c r="Q58" s="167">
        <f t="shared" si="3"/>
        <v>20845</v>
      </c>
      <c r="R58" s="167">
        <f t="shared" si="17"/>
        <v>20845</v>
      </c>
      <c r="S58" s="424">
        <f t="shared" si="4"/>
        <v>1</v>
      </c>
      <c r="T58" s="521">
        <f>IFERROR(VLOOKUP(Capacity_Entsoe_SFS_2017[[#This Row],[Country]],$AK$3:$AQ$39,7,0),0)</f>
        <v>4360</v>
      </c>
      <c r="U58" s="443">
        <f>IFERROR(VLOOKUP(Capacity_Entsoe_SFS_2017[[#This Row],[Country]],$AK$3:$AQ$39,4,0),0)</f>
        <v>10900</v>
      </c>
    </row>
    <row r="59" spans="1:21" x14ac:dyDescent="0.2">
      <c r="A59" s="259" t="str">
        <f t="shared" si="5"/>
        <v>DE</v>
      </c>
      <c r="B59" s="366">
        <f t="shared" si="6"/>
        <v>2017</v>
      </c>
      <c r="C59" s="366" t="str">
        <f t="shared" si="6"/>
        <v>MW</v>
      </c>
      <c r="D59" s="144">
        <f t="shared" si="7"/>
        <v>9509</v>
      </c>
      <c r="E59" s="144">
        <f t="shared" si="8"/>
        <v>20804</v>
      </c>
      <c r="F59" s="167">
        <f t="shared" si="9"/>
        <v>25010</v>
      </c>
      <c r="G59" s="167">
        <f t="shared" si="10"/>
        <v>30582</v>
      </c>
      <c r="H59" s="422">
        <f t="shared" si="11"/>
        <v>5181</v>
      </c>
      <c r="I59" s="167">
        <f t="shared" si="12"/>
        <v>49701</v>
      </c>
      <c r="J59" s="144">
        <f t="shared" si="13"/>
        <v>5371</v>
      </c>
      <c r="K59" s="422">
        <f t="shared" si="14"/>
        <v>42020</v>
      </c>
      <c r="L59" s="422">
        <f t="shared" si="15"/>
        <v>7250</v>
      </c>
      <c r="M59" s="422">
        <f t="shared" si="16"/>
        <v>1366</v>
      </c>
      <c r="N59" s="167">
        <f t="shared" si="0"/>
        <v>4333</v>
      </c>
      <c r="O59" s="167">
        <f t="shared" si="1"/>
        <v>6282</v>
      </c>
      <c r="P59" s="422">
        <f t="shared" si="2"/>
        <v>820</v>
      </c>
      <c r="Q59" s="167">
        <f t="shared" si="3"/>
        <v>208229</v>
      </c>
      <c r="R59" s="167">
        <f t="shared" si="17"/>
        <v>208229</v>
      </c>
      <c r="S59" s="424">
        <f t="shared" si="4"/>
        <v>1</v>
      </c>
      <c r="T59" s="521">
        <f>IFERROR(VLOOKUP(Capacity_Entsoe_SFS_2017[[#This Row],[Country]],$AK$3:$AQ$39,7,0),0)</f>
        <v>35085</v>
      </c>
      <c r="U59" s="443">
        <f>IFERROR(VLOOKUP(Capacity_Entsoe_SFS_2017[[#This Row],[Country]],$AK$3:$AQ$39,4,0),0)</f>
        <v>78710</v>
      </c>
    </row>
    <row r="60" spans="1:21" x14ac:dyDescent="0.2">
      <c r="A60" s="259" t="str">
        <f t="shared" si="5"/>
        <v>DK</v>
      </c>
      <c r="B60" s="366">
        <f t="shared" si="6"/>
        <v>2017</v>
      </c>
      <c r="C60" s="366" t="str">
        <f t="shared" si="6"/>
        <v>MW</v>
      </c>
      <c r="D60" s="144">
        <f t="shared" si="7"/>
        <v>0</v>
      </c>
      <c r="E60" s="144">
        <f t="shared" si="8"/>
        <v>0</v>
      </c>
      <c r="F60" s="167">
        <f t="shared" si="9"/>
        <v>4300</v>
      </c>
      <c r="G60" s="167">
        <f t="shared" si="10"/>
        <v>2262</v>
      </c>
      <c r="H60" s="422">
        <f t="shared" si="11"/>
        <v>1048</v>
      </c>
      <c r="I60" s="167">
        <f t="shared" si="12"/>
        <v>4233</v>
      </c>
      <c r="J60" s="144">
        <f t="shared" si="13"/>
        <v>1264</v>
      </c>
      <c r="K60" s="422">
        <f t="shared" si="14"/>
        <v>908</v>
      </c>
      <c r="L60" s="422">
        <f t="shared" si="15"/>
        <v>1349</v>
      </c>
      <c r="M60" s="422">
        <f t="shared" si="16"/>
        <v>414</v>
      </c>
      <c r="N60" s="167">
        <f t="shared" si="0"/>
        <v>6</v>
      </c>
      <c r="O60" s="167">
        <f t="shared" si="1"/>
        <v>0</v>
      </c>
      <c r="P60" s="422">
        <f t="shared" si="2"/>
        <v>0</v>
      </c>
      <c r="Q60" s="167">
        <f t="shared" si="3"/>
        <v>15784</v>
      </c>
      <c r="R60" s="167">
        <f t="shared" si="17"/>
        <v>15784</v>
      </c>
      <c r="S60" s="424">
        <f t="shared" si="4"/>
        <v>1</v>
      </c>
      <c r="T60" s="521">
        <f>IFERROR(VLOOKUP(Capacity_Entsoe_SFS_2017[[#This Row],[Country]],$AK$3:$AQ$39,7,0),0)</f>
        <v>2264</v>
      </c>
      <c r="U60" s="443">
        <f>IFERROR(VLOOKUP(Capacity_Entsoe_SFS_2017[[#This Row],[Country]],$AK$3:$AQ$39,4,0),0)</f>
        <v>5878</v>
      </c>
    </row>
    <row r="61" spans="1:21" x14ac:dyDescent="0.2">
      <c r="A61" s="259" t="str">
        <f t="shared" si="5"/>
        <v>EE</v>
      </c>
      <c r="B61" s="366">
        <f t="shared" si="6"/>
        <v>2017</v>
      </c>
      <c r="C61" s="366" t="str">
        <f t="shared" si="6"/>
        <v>MW</v>
      </c>
      <c r="D61" s="144">
        <f t="shared" si="7"/>
        <v>0</v>
      </c>
      <c r="E61" s="144">
        <f t="shared" si="8"/>
        <v>0</v>
      </c>
      <c r="F61" s="167">
        <f t="shared" si="9"/>
        <v>0</v>
      </c>
      <c r="G61" s="167">
        <f t="shared" si="10"/>
        <v>200</v>
      </c>
      <c r="H61" s="422">
        <f t="shared" si="11"/>
        <v>2152</v>
      </c>
      <c r="I61" s="167">
        <f t="shared" si="12"/>
        <v>341</v>
      </c>
      <c r="J61" s="144">
        <f t="shared" si="13"/>
        <v>0</v>
      </c>
      <c r="K61" s="422">
        <f t="shared" si="14"/>
        <v>9</v>
      </c>
      <c r="L61" s="422">
        <f t="shared" si="15"/>
        <v>92</v>
      </c>
      <c r="M61" s="422">
        <f t="shared" si="16"/>
        <v>3</v>
      </c>
      <c r="N61" s="167">
        <f t="shared" si="0"/>
        <v>8</v>
      </c>
      <c r="O61" s="167">
        <f t="shared" si="1"/>
        <v>0</v>
      </c>
      <c r="P61" s="422">
        <f t="shared" si="2"/>
        <v>27</v>
      </c>
      <c r="Q61" s="167">
        <f t="shared" si="3"/>
        <v>2832</v>
      </c>
      <c r="R61" s="167">
        <f t="shared" si="17"/>
        <v>2831</v>
      </c>
      <c r="S61" s="424">
        <f t="shared" si="4"/>
        <v>1.0003532320734723</v>
      </c>
      <c r="T61" s="521">
        <f>IFERROR(VLOOKUP(Capacity_Entsoe_SFS_2017[[#This Row],[Country]],$AK$3:$AQ$39,7,0),0)</f>
        <v>492</v>
      </c>
      <c r="U61" s="443">
        <f>IFERROR(VLOOKUP(Capacity_Entsoe_SFS_2017[[#This Row],[Country]],$AK$3:$AQ$39,4,0),0)</f>
        <v>1472</v>
      </c>
    </row>
    <row r="62" spans="1:21" x14ac:dyDescent="0.2">
      <c r="A62" s="259" t="str">
        <f t="shared" si="5"/>
        <v>ES</v>
      </c>
      <c r="B62" s="366">
        <f t="shared" si="6"/>
        <v>2017</v>
      </c>
      <c r="C62" s="366" t="str">
        <f t="shared" si="6"/>
        <v>MW</v>
      </c>
      <c r="D62" s="144">
        <f t="shared" si="7"/>
        <v>7117</v>
      </c>
      <c r="E62" s="144">
        <f t="shared" si="8"/>
        <v>1056</v>
      </c>
      <c r="F62" s="167">
        <f t="shared" si="9"/>
        <v>8949</v>
      </c>
      <c r="G62" s="167">
        <f t="shared" si="10"/>
        <v>32158</v>
      </c>
      <c r="H62" s="422">
        <f t="shared" si="11"/>
        <v>3365</v>
      </c>
      <c r="I62" s="167">
        <f t="shared" si="12"/>
        <v>23005</v>
      </c>
      <c r="J62" s="144">
        <f t="shared" si="13"/>
        <v>0</v>
      </c>
      <c r="K62" s="422">
        <f t="shared" si="14"/>
        <v>4676</v>
      </c>
      <c r="L62" s="422">
        <f t="shared" si="15"/>
        <v>744</v>
      </c>
      <c r="M62" s="422">
        <f t="shared" si="16"/>
        <v>2422</v>
      </c>
      <c r="N62" s="167">
        <f t="shared" si="0"/>
        <v>17003</v>
      </c>
      <c r="O62" s="167">
        <f t="shared" si="1"/>
        <v>3329</v>
      </c>
      <c r="P62" s="422">
        <f t="shared" si="2"/>
        <v>701</v>
      </c>
      <c r="Q62" s="167">
        <f t="shared" si="3"/>
        <v>104525</v>
      </c>
      <c r="R62" s="167">
        <f t="shared" si="17"/>
        <v>104526</v>
      </c>
      <c r="S62" s="424">
        <f t="shared" si="4"/>
        <v>0.99999043300231516</v>
      </c>
      <c r="T62" s="521">
        <f>IFERROR(VLOOKUP(Capacity_Entsoe_SFS_2017[[#This Row],[Country]],$AK$3:$AQ$39,7,0),0)</f>
        <v>18758</v>
      </c>
      <c r="U62" s="443">
        <f>IFERROR(VLOOKUP(Capacity_Entsoe_SFS_2017[[#This Row],[Country]],$AK$3:$AQ$39,4,0),0)</f>
        <v>41015</v>
      </c>
    </row>
    <row r="63" spans="1:21" x14ac:dyDescent="0.2">
      <c r="A63" s="259" t="str">
        <f t="shared" si="5"/>
        <v>FI</v>
      </c>
      <c r="B63" s="366">
        <f t="shared" si="6"/>
        <v>2017</v>
      </c>
      <c r="C63" s="366" t="str">
        <f t="shared" si="6"/>
        <v>MW</v>
      </c>
      <c r="D63" s="144">
        <f t="shared" si="7"/>
        <v>2782</v>
      </c>
      <c r="E63" s="144">
        <f t="shared" si="8"/>
        <v>0</v>
      </c>
      <c r="F63" s="167">
        <f t="shared" si="9"/>
        <v>2278</v>
      </c>
      <c r="G63" s="167">
        <f t="shared" si="10"/>
        <v>1865</v>
      </c>
      <c r="H63" s="422">
        <f t="shared" si="11"/>
        <v>2521</v>
      </c>
      <c r="I63" s="167">
        <f t="shared" si="12"/>
        <v>1908</v>
      </c>
      <c r="J63" s="144">
        <f t="shared" si="13"/>
        <v>0</v>
      </c>
      <c r="K63" s="422">
        <f t="shared" si="14"/>
        <v>0</v>
      </c>
      <c r="L63" s="422">
        <f t="shared" si="15"/>
        <v>1813</v>
      </c>
      <c r="M63" s="422">
        <f t="shared" si="16"/>
        <v>257</v>
      </c>
      <c r="N63" s="167">
        <f t="shared" si="0"/>
        <v>3149</v>
      </c>
      <c r="O63" s="167">
        <f t="shared" si="1"/>
        <v>0</v>
      </c>
      <c r="P63" s="422">
        <f t="shared" si="2"/>
        <v>157</v>
      </c>
      <c r="Q63" s="167">
        <f t="shared" si="3"/>
        <v>16730</v>
      </c>
      <c r="R63" s="167">
        <f t="shared" si="17"/>
        <v>16730</v>
      </c>
      <c r="S63" s="424">
        <f t="shared" si="4"/>
        <v>1</v>
      </c>
      <c r="T63" s="521">
        <f>IFERROR(VLOOKUP(Capacity_Entsoe_SFS_2017[[#This Row],[Country]],$AK$3:$AQ$39,7,0),0)</f>
        <v>5916</v>
      </c>
      <c r="U63" s="443">
        <f>IFERROR(VLOOKUP(Capacity_Entsoe_SFS_2017[[#This Row],[Country]],$AK$3:$AQ$39,4,0),0)</f>
        <v>14374</v>
      </c>
    </row>
    <row r="64" spans="1:21" x14ac:dyDescent="0.2">
      <c r="A64" s="259" t="str">
        <f t="shared" si="5"/>
        <v>FR</v>
      </c>
      <c r="B64" s="366">
        <f t="shared" si="6"/>
        <v>2017</v>
      </c>
      <c r="C64" s="366" t="str">
        <f t="shared" si="6"/>
        <v>MW</v>
      </c>
      <c r="D64" s="144">
        <f t="shared" si="7"/>
        <v>63130</v>
      </c>
      <c r="E64" s="144">
        <f t="shared" si="8"/>
        <v>0</v>
      </c>
      <c r="F64" s="167">
        <f t="shared" si="9"/>
        <v>2997</v>
      </c>
      <c r="G64" s="167">
        <f t="shared" si="10"/>
        <v>11851</v>
      </c>
      <c r="H64" s="422">
        <f t="shared" si="11"/>
        <v>4098</v>
      </c>
      <c r="I64" s="167">
        <f t="shared" si="12"/>
        <v>13539</v>
      </c>
      <c r="J64" s="144">
        <f t="shared" si="13"/>
        <v>0</v>
      </c>
      <c r="K64" s="422">
        <f t="shared" si="14"/>
        <v>7646</v>
      </c>
      <c r="L64" s="422">
        <f t="shared" si="15"/>
        <v>1081</v>
      </c>
      <c r="M64" s="422">
        <f t="shared" si="16"/>
        <v>2596</v>
      </c>
      <c r="N64" s="167">
        <f t="shared" si="0"/>
        <v>23789</v>
      </c>
      <c r="O64" s="167">
        <f t="shared" si="1"/>
        <v>0</v>
      </c>
      <c r="P64" s="422">
        <f t="shared" si="2"/>
        <v>0</v>
      </c>
      <c r="Q64" s="167">
        <f t="shared" si="3"/>
        <v>130727</v>
      </c>
      <c r="R64" s="167">
        <f t="shared" si="17"/>
        <v>130729</v>
      </c>
      <c r="S64" s="424">
        <f t="shared" si="4"/>
        <v>0.9999847011757147</v>
      </c>
      <c r="T64" s="521">
        <f>IFERROR(VLOOKUP(Capacity_Entsoe_SFS_2017[[#This Row],[Country]],$AK$3:$AQ$39,7,0),0)</f>
        <v>30199</v>
      </c>
      <c r="U64" s="443">
        <f>IFERROR(VLOOKUP(Capacity_Entsoe_SFS_2017[[#This Row],[Country]],$AK$3:$AQ$39,4,0),0)</f>
        <v>94497</v>
      </c>
    </row>
    <row r="65" spans="1:21" x14ac:dyDescent="0.2">
      <c r="A65" s="259" t="str">
        <f t="shared" si="5"/>
        <v>GB</v>
      </c>
      <c r="B65" s="366">
        <f t="shared" si="6"/>
        <v>2017</v>
      </c>
      <c r="C65" s="366" t="str">
        <f t="shared" si="6"/>
        <v>MW</v>
      </c>
      <c r="D65" s="144">
        <f t="shared" si="7"/>
        <v>9248</v>
      </c>
      <c r="E65" s="144">
        <f t="shared" si="8"/>
        <v>0</v>
      </c>
      <c r="F65" s="167">
        <f t="shared" si="9"/>
        <v>14145</v>
      </c>
      <c r="G65" s="167">
        <f t="shared" si="10"/>
        <v>31124</v>
      </c>
      <c r="H65" s="422">
        <f t="shared" si="11"/>
        <v>875</v>
      </c>
      <c r="I65" s="167">
        <f t="shared" si="12"/>
        <v>12950</v>
      </c>
      <c r="J65" s="144">
        <f t="shared" si="13"/>
        <v>5400</v>
      </c>
      <c r="K65" s="422">
        <f t="shared" si="14"/>
        <v>12900</v>
      </c>
      <c r="L65" s="422">
        <f t="shared" si="15"/>
        <v>2098</v>
      </c>
      <c r="M65" s="422">
        <f t="shared" si="16"/>
        <v>1</v>
      </c>
      <c r="N65" s="167">
        <f t="shared" si="0"/>
        <v>3821</v>
      </c>
      <c r="O65" s="167">
        <f t="shared" si="1"/>
        <v>0</v>
      </c>
      <c r="P65" s="422">
        <f t="shared" si="2"/>
        <v>0</v>
      </c>
      <c r="Q65" s="167">
        <f t="shared" si="3"/>
        <v>92562</v>
      </c>
      <c r="R65" s="167">
        <f t="shared" si="17"/>
        <v>92562</v>
      </c>
      <c r="S65" s="424">
        <f t="shared" si="4"/>
        <v>1</v>
      </c>
      <c r="T65" s="521">
        <f>IFERROR(VLOOKUP(Capacity_Entsoe_SFS_2017[[#This Row],[Country]],$AK$3:$AQ$39,7,0),0)</f>
        <v>21296</v>
      </c>
      <c r="U65" s="443">
        <f>IFERROR(VLOOKUP(Capacity_Entsoe_SFS_2017[[#This Row],[Country]],$AK$3:$AQ$39,4,0),0)</f>
        <v>63626</v>
      </c>
    </row>
    <row r="66" spans="1:21" x14ac:dyDescent="0.2">
      <c r="A66" s="259" t="str">
        <f t="shared" si="5"/>
        <v>GR</v>
      </c>
      <c r="B66" s="366">
        <f t="shared" si="6"/>
        <v>2017</v>
      </c>
      <c r="C66" s="366" t="str">
        <f t="shared" si="6"/>
        <v>MW</v>
      </c>
      <c r="D66" s="144">
        <f t="shared" si="7"/>
        <v>0</v>
      </c>
      <c r="E66" s="144">
        <f t="shared" si="8"/>
        <v>3904</v>
      </c>
      <c r="F66" s="167">
        <f t="shared" si="9"/>
        <v>0</v>
      </c>
      <c r="G66" s="167">
        <f t="shared" si="10"/>
        <v>4269</v>
      </c>
      <c r="H66" s="422">
        <f t="shared" si="11"/>
        <v>0</v>
      </c>
      <c r="I66" s="167">
        <f t="shared" si="12"/>
        <v>2082</v>
      </c>
      <c r="J66" s="144">
        <f t="shared" si="13"/>
        <v>0</v>
      </c>
      <c r="K66" s="422">
        <f t="shared" si="14"/>
        <v>2448</v>
      </c>
      <c r="L66" s="422">
        <f t="shared" si="15"/>
        <v>60</v>
      </c>
      <c r="M66" s="422">
        <f t="shared" si="16"/>
        <v>230</v>
      </c>
      <c r="N66" s="167">
        <f t="shared" si="0"/>
        <v>3399</v>
      </c>
      <c r="O66" s="167">
        <f t="shared" si="1"/>
        <v>0</v>
      </c>
      <c r="P66" s="422">
        <f t="shared" si="2"/>
        <v>0</v>
      </c>
      <c r="Q66" s="167">
        <f t="shared" si="3"/>
        <v>16392</v>
      </c>
      <c r="R66" s="167">
        <f t="shared" si="17"/>
        <v>16392</v>
      </c>
      <c r="S66" s="424">
        <f t="shared" si="4"/>
        <v>1</v>
      </c>
      <c r="T66" s="521">
        <f>IFERROR(VLOOKUP(Capacity_Entsoe_SFS_2017[[#This Row],[Country]],$AK$3:$AQ$39,7,0),0)</f>
        <v>3404</v>
      </c>
      <c r="U66" s="443">
        <f>IFERROR(VLOOKUP(Capacity_Entsoe_SFS_2017[[#This Row],[Country]],$AK$3:$AQ$39,4,0),0)</f>
        <v>9674</v>
      </c>
    </row>
    <row r="67" spans="1:21" x14ac:dyDescent="0.2">
      <c r="A67" s="259" t="str">
        <f t="shared" si="5"/>
        <v>HR</v>
      </c>
      <c r="B67" s="366">
        <f t="shared" si="6"/>
        <v>2017</v>
      </c>
      <c r="C67" s="366" t="str">
        <f t="shared" si="6"/>
        <v>MW</v>
      </c>
      <c r="D67" s="144">
        <f t="shared" si="7"/>
        <v>0</v>
      </c>
      <c r="E67" s="144">
        <f t="shared" si="8"/>
        <v>0</v>
      </c>
      <c r="F67" s="167">
        <f t="shared" si="9"/>
        <v>325</v>
      </c>
      <c r="G67" s="167">
        <f t="shared" si="10"/>
        <v>743</v>
      </c>
      <c r="H67" s="422">
        <f t="shared" si="11"/>
        <v>950</v>
      </c>
      <c r="I67" s="167">
        <f t="shared" si="12"/>
        <v>537</v>
      </c>
      <c r="J67" s="144">
        <f t="shared" si="13"/>
        <v>0</v>
      </c>
      <c r="K67" s="422">
        <f t="shared" si="14"/>
        <v>51</v>
      </c>
      <c r="L67" s="422">
        <f t="shared" si="15"/>
        <v>72</v>
      </c>
      <c r="M67" s="422">
        <f t="shared" si="16"/>
        <v>10</v>
      </c>
      <c r="N67" s="167">
        <f t="shared" si="0"/>
        <v>2090</v>
      </c>
      <c r="O67" s="167">
        <f t="shared" si="1"/>
        <v>0</v>
      </c>
      <c r="P67" s="422">
        <f t="shared" si="2"/>
        <v>0</v>
      </c>
      <c r="Q67" s="167">
        <f t="shared" si="3"/>
        <v>4778</v>
      </c>
      <c r="R67" s="167">
        <f t="shared" si="17"/>
        <v>4778</v>
      </c>
      <c r="S67" s="424">
        <f t="shared" si="4"/>
        <v>1</v>
      </c>
      <c r="T67" s="521">
        <f>IFERROR(VLOOKUP(Capacity_Entsoe_SFS_2017[[#This Row],[Country]],$AK$3:$AQ$39,7,0),0)</f>
        <v>1305</v>
      </c>
      <c r="U67" s="443">
        <f>IFERROR(VLOOKUP(Capacity_Entsoe_SFS_2017[[#This Row],[Country]],$AK$3:$AQ$39,4,0),0)</f>
        <v>3079</v>
      </c>
    </row>
    <row r="68" spans="1:21" x14ac:dyDescent="0.2">
      <c r="A68" s="259" t="str">
        <f t="shared" si="5"/>
        <v>HU</v>
      </c>
      <c r="B68" s="366">
        <f t="shared" si="6"/>
        <v>2017</v>
      </c>
      <c r="C68" s="366" t="str">
        <f t="shared" si="6"/>
        <v>MW</v>
      </c>
      <c r="D68" s="144">
        <f t="shared" si="7"/>
        <v>1887</v>
      </c>
      <c r="E68" s="144">
        <f t="shared" si="8"/>
        <v>1049</v>
      </c>
      <c r="F68" s="167">
        <f t="shared" si="9"/>
        <v>292</v>
      </c>
      <c r="G68" s="167">
        <f t="shared" si="10"/>
        <v>4120</v>
      </c>
      <c r="H68" s="422">
        <f t="shared" si="11"/>
        <v>410</v>
      </c>
      <c r="I68" s="167">
        <f t="shared" si="12"/>
        <v>323</v>
      </c>
      <c r="J68" s="144">
        <f t="shared" si="13"/>
        <v>0</v>
      </c>
      <c r="K68" s="422">
        <f t="shared" si="14"/>
        <v>94</v>
      </c>
      <c r="L68" s="422">
        <f t="shared" si="15"/>
        <v>310</v>
      </c>
      <c r="M68" s="422">
        <f t="shared" si="16"/>
        <v>28</v>
      </c>
      <c r="N68" s="167">
        <f t="shared" si="0"/>
        <v>56</v>
      </c>
      <c r="O68" s="167">
        <f t="shared" si="1"/>
        <v>0</v>
      </c>
      <c r="P68" s="422">
        <f t="shared" si="2"/>
        <v>0</v>
      </c>
      <c r="Q68" s="167">
        <f t="shared" si="3"/>
        <v>8569</v>
      </c>
      <c r="R68" s="167">
        <f t="shared" si="17"/>
        <v>8569</v>
      </c>
      <c r="S68" s="424">
        <f t="shared" si="4"/>
        <v>1</v>
      </c>
      <c r="T68" s="521">
        <f>IFERROR(VLOOKUP(Capacity_Entsoe_SFS_2017[[#This Row],[Country]],$AK$3:$AQ$39,7,0),0)</f>
        <v>3129</v>
      </c>
      <c r="U68" s="443">
        <f>IFERROR(VLOOKUP(Capacity_Entsoe_SFS_2017[[#This Row],[Country]],$AK$3:$AQ$39,4,0),0)</f>
        <v>6483</v>
      </c>
    </row>
    <row r="69" spans="1:21" x14ac:dyDescent="0.2">
      <c r="A69" s="259" t="str">
        <f t="shared" si="5"/>
        <v>IE</v>
      </c>
      <c r="B69" s="366">
        <f t="shared" si="6"/>
        <v>2017</v>
      </c>
      <c r="C69" s="366" t="str">
        <f t="shared" si="6"/>
        <v>MW</v>
      </c>
      <c r="D69" s="144">
        <f t="shared" si="7"/>
        <v>0</v>
      </c>
      <c r="E69" s="144">
        <f t="shared" si="8"/>
        <v>0</v>
      </c>
      <c r="F69" s="167">
        <f t="shared" si="9"/>
        <v>855</v>
      </c>
      <c r="G69" s="167">
        <f t="shared" si="10"/>
        <v>4215</v>
      </c>
      <c r="H69" s="422">
        <f t="shared" si="11"/>
        <v>1144</v>
      </c>
      <c r="I69" s="167">
        <f t="shared" si="12"/>
        <v>3080</v>
      </c>
      <c r="J69" s="144">
        <f t="shared" si="13"/>
        <v>0</v>
      </c>
      <c r="K69" s="422">
        <f t="shared" si="14"/>
        <v>0</v>
      </c>
      <c r="L69" s="422">
        <f t="shared" si="15"/>
        <v>0</v>
      </c>
      <c r="M69" s="422">
        <f t="shared" si="16"/>
        <v>647</v>
      </c>
      <c r="N69" s="167">
        <f t="shared" si="0"/>
        <v>238</v>
      </c>
      <c r="O69" s="167">
        <f t="shared" si="1"/>
        <v>292</v>
      </c>
      <c r="P69" s="422">
        <f t="shared" si="2"/>
        <v>40</v>
      </c>
      <c r="Q69" s="167">
        <f t="shared" si="3"/>
        <v>10511</v>
      </c>
      <c r="R69" s="167">
        <f t="shared" si="17"/>
        <v>10510</v>
      </c>
      <c r="S69" s="424">
        <f t="shared" si="4"/>
        <v>1.0000951474785917</v>
      </c>
      <c r="T69" s="521">
        <f>IFERROR(VLOOKUP(Capacity_Entsoe_SFS_2017[[#This Row],[Country]],$AK$3:$AQ$39,7,0),0)</f>
        <v>1938</v>
      </c>
      <c r="U69" s="443">
        <f>IFERROR(VLOOKUP(Capacity_Entsoe_SFS_2017[[#This Row],[Country]],$AK$3:$AQ$39,4,0),0)</f>
        <v>4907</v>
      </c>
    </row>
    <row r="70" spans="1:21" x14ac:dyDescent="0.2">
      <c r="A70" s="259" t="str">
        <f t="shared" si="5"/>
        <v>IS</v>
      </c>
      <c r="B70" s="366">
        <f t="shared" si="6"/>
        <v>2017</v>
      </c>
      <c r="C70" s="366" t="str">
        <f t="shared" si="6"/>
        <v>MW</v>
      </c>
      <c r="D70" s="144">
        <f t="shared" si="7"/>
        <v>0</v>
      </c>
      <c r="E70" s="144">
        <f t="shared" si="8"/>
        <v>0</v>
      </c>
      <c r="F70" s="167">
        <f t="shared" si="9"/>
        <v>0</v>
      </c>
      <c r="G70" s="167">
        <f t="shared" si="10"/>
        <v>0</v>
      </c>
      <c r="H70" s="422">
        <f t="shared" si="11"/>
        <v>11</v>
      </c>
      <c r="I70" s="167">
        <f t="shared" si="12"/>
        <v>2</v>
      </c>
      <c r="J70" s="144">
        <f t="shared" si="13"/>
        <v>0</v>
      </c>
      <c r="K70" s="422">
        <f t="shared" si="14"/>
        <v>0</v>
      </c>
      <c r="L70" s="422">
        <f t="shared" si="15"/>
        <v>0</v>
      </c>
      <c r="M70" s="422">
        <f t="shared" si="16"/>
        <v>706</v>
      </c>
      <c r="N70" s="167">
        <f t="shared" si="0"/>
        <v>1973</v>
      </c>
      <c r="O70" s="167">
        <f t="shared" si="1"/>
        <v>0</v>
      </c>
      <c r="P70" s="422">
        <f t="shared" si="2"/>
        <v>0</v>
      </c>
      <c r="Q70" s="167">
        <f t="shared" si="3"/>
        <v>2692</v>
      </c>
      <c r="R70" s="167">
        <f t="shared" si="17"/>
        <v>2691</v>
      </c>
      <c r="S70" s="424">
        <f t="shared" si="4"/>
        <v>1.0003716090672612</v>
      </c>
      <c r="T70" s="521">
        <f>IFERROR(VLOOKUP(Capacity_Entsoe_SFS_2017[[#This Row],[Country]],$AK$3:$AQ$39,7,0),0)</f>
        <v>1622</v>
      </c>
      <c r="U70" s="443">
        <f>IFERROR(VLOOKUP(Capacity_Entsoe_SFS_2017[[#This Row],[Country]],$AK$3:$AQ$39,4,0),0)</f>
        <v>2360</v>
      </c>
    </row>
    <row r="71" spans="1:21" x14ac:dyDescent="0.2">
      <c r="A71" s="259" t="str">
        <f t="shared" si="5"/>
        <v>IT</v>
      </c>
      <c r="B71" s="366">
        <f t="shared" si="6"/>
        <v>2017</v>
      </c>
      <c r="C71" s="366" t="str">
        <f t="shared" si="6"/>
        <v>MW</v>
      </c>
      <c r="D71" s="144">
        <f t="shared" si="7"/>
        <v>0</v>
      </c>
      <c r="E71" s="144">
        <f t="shared" si="8"/>
        <v>0</v>
      </c>
      <c r="F71" s="167">
        <f t="shared" si="9"/>
        <v>7354</v>
      </c>
      <c r="G71" s="167">
        <f t="shared" si="10"/>
        <v>46340</v>
      </c>
      <c r="H71" s="422">
        <f t="shared" si="11"/>
        <v>15545</v>
      </c>
      <c r="I71" s="167">
        <f t="shared" si="12"/>
        <v>9778</v>
      </c>
      <c r="J71" s="144">
        <f t="shared" si="13"/>
        <v>0</v>
      </c>
      <c r="K71" s="422">
        <f t="shared" si="14"/>
        <v>19662</v>
      </c>
      <c r="L71" s="422">
        <f t="shared" si="15"/>
        <v>2962</v>
      </c>
      <c r="M71" s="422">
        <f t="shared" si="16"/>
        <v>1444</v>
      </c>
      <c r="N71" s="167">
        <f t="shared" si="0"/>
        <v>21872</v>
      </c>
      <c r="O71" s="167">
        <f t="shared" si="1"/>
        <v>4753</v>
      </c>
      <c r="P71" s="422">
        <f t="shared" si="2"/>
        <v>3422</v>
      </c>
      <c r="Q71" s="167">
        <f t="shared" si="3"/>
        <v>133132</v>
      </c>
      <c r="R71" s="167">
        <f t="shared" si="17"/>
        <v>133132</v>
      </c>
      <c r="S71" s="424">
        <f t="shared" si="4"/>
        <v>1</v>
      </c>
      <c r="T71" s="521">
        <f>IFERROR(VLOOKUP(Capacity_Entsoe_SFS_2017[[#This Row],[Country]],$AK$3:$AQ$39,7,0),0)</f>
        <v>19045</v>
      </c>
      <c r="U71" s="443">
        <f>IFERROR(VLOOKUP(Capacity_Entsoe_SFS_2017[[#This Row],[Country]],$AK$3:$AQ$39,4,0),0)</f>
        <v>56584</v>
      </c>
    </row>
    <row r="72" spans="1:21" x14ac:dyDescent="0.2">
      <c r="A72" s="259" t="str">
        <f t="shared" si="5"/>
        <v>LT</v>
      </c>
      <c r="B72" s="366">
        <f t="shared" si="6"/>
        <v>2017</v>
      </c>
      <c r="C72" s="366" t="str">
        <f t="shared" si="6"/>
        <v>MW</v>
      </c>
      <c r="D72" s="144">
        <f t="shared" si="7"/>
        <v>0</v>
      </c>
      <c r="E72" s="144">
        <f t="shared" si="8"/>
        <v>0</v>
      </c>
      <c r="F72" s="167">
        <f t="shared" si="9"/>
        <v>0</v>
      </c>
      <c r="G72" s="167">
        <f t="shared" si="10"/>
        <v>560</v>
      </c>
      <c r="H72" s="422">
        <f t="shared" si="11"/>
        <v>1192</v>
      </c>
      <c r="I72" s="167">
        <f t="shared" si="12"/>
        <v>521</v>
      </c>
      <c r="J72" s="144">
        <f t="shared" si="13"/>
        <v>0</v>
      </c>
      <c r="K72" s="422">
        <f t="shared" si="14"/>
        <v>82</v>
      </c>
      <c r="L72" s="422">
        <f t="shared" si="15"/>
        <v>91</v>
      </c>
      <c r="M72" s="422">
        <f t="shared" si="16"/>
        <v>0</v>
      </c>
      <c r="N72" s="167">
        <f t="shared" si="0"/>
        <v>127</v>
      </c>
      <c r="O72" s="167">
        <f t="shared" si="1"/>
        <v>900</v>
      </c>
      <c r="P72" s="422">
        <f t="shared" si="2"/>
        <v>35</v>
      </c>
      <c r="Q72" s="167">
        <f t="shared" si="3"/>
        <v>3508</v>
      </c>
      <c r="R72" s="167">
        <f t="shared" si="17"/>
        <v>3509</v>
      </c>
      <c r="S72" s="424">
        <f t="shared" si="4"/>
        <v>0.99971501852379596</v>
      </c>
      <c r="T72" s="521">
        <f>IFERROR(VLOOKUP(Capacity_Entsoe_SFS_2017[[#This Row],[Country]],$AK$3:$AQ$39,7,0),0)</f>
        <v>837</v>
      </c>
      <c r="U72" s="443">
        <f>IFERROR(VLOOKUP(Capacity_Entsoe_SFS_2017[[#This Row],[Country]],$AK$3:$AQ$39,4,0),0)</f>
        <v>1896</v>
      </c>
    </row>
    <row r="73" spans="1:21" x14ac:dyDescent="0.2">
      <c r="A73" s="259" t="str">
        <f t="shared" si="5"/>
        <v>LU</v>
      </c>
      <c r="B73" s="366">
        <f t="shared" ref="B73:C77" si="18">B29</f>
        <v>2017</v>
      </c>
      <c r="C73" s="366" t="str">
        <f t="shared" si="18"/>
        <v>MW</v>
      </c>
      <c r="D73" s="144">
        <f t="shared" si="7"/>
        <v>0</v>
      </c>
      <c r="E73" s="144">
        <f t="shared" si="8"/>
        <v>0</v>
      </c>
      <c r="F73" s="167">
        <f t="shared" si="9"/>
        <v>0</v>
      </c>
      <c r="G73" s="167">
        <f t="shared" si="10"/>
        <v>136</v>
      </c>
      <c r="H73" s="422">
        <f t="shared" si="11"/>
        <v>0</v>
      </c>
      <c r="I73" s="167">
        <f t="shared" si="12"/>
        <v>120</v>
      </c>
      <c r="J73" s="144">
        <f t="shared" si="13"/>
        <v>0</v>
      </c>
      <c r="K73" s="422">
        <f t="shared" si="14"/>
        <v>128</v>
      </c>
      <c r="L73" s="422">
        <f t="shared" si="15"/>
        <v>11</v>
      </c>
      <c r="M73" s="422">
        <f t="shared" si="16"/>
        <v>0</v>
      </c>
      <c r="N73" s="167">
        <f t="shared" si="0"/>
        <v>32</v>
      </c>
      <c r="O73" s="167">
        <f t="shared" si="1"/>
        <v>1290</v>
      </c>
      <c r="P73" s="422">
        <f t="shared" si="2"/>
        <v>21</v>
      </c>
      <c r="Q73" s="167">
        <f t="shared" si="3"/>
        <v>1738</v>
      </c>
      <c r="R73" s="167">
        <f t="shared" si="17"/>
        <v>1738</v>
      </c>
      <c r="S73" s="424">
        <f t="shared" si="4"/>
        <v>1</v>
      </c>
      <c r="T73" s="521">
        <f>IFERROR(VLOOKUP(Capacity_Entsoe_SFS_2017[[#This Row],[Country]],$AK$3:$AQ$39,7,0),0)</f>
        <v>368</v>
      </c>
      <c r="U73" s="443">
        <f>IFERROR(VLOOKUP(Capacity_Entsoe_SFS_2017[[#This Row],[Country]],$AK$3:$AQ$39,4,0),0)</f>
        <v>927</v>
      </c>
    </row>
    <row r="74" spans="1:21" x14ac:dyDescent="0.2">
      <c r="A74" s="259" t="str">
        <f t="shared" si="5"/>
        <v>LV</v>
      </c>
      <c r="B74" s="366">
        <f t="shared" si="18"/>
        <v>2017</v>
      </c>
      <c r="C74" s="366" t="str">
        <f t="shared" si="18"/>
        <v>MW</v>
      </c>
      <c r="D74" s="144">
        <f t="shared" si="7"/>
        <v>0</v>
      </c>
      <c r="E74" s="144">
        <f t="shared" si="8"/>
        <v>0</v>
      </c>
      <c r="F74" s="167">
        <f t="shared" si="9"/>
        <v>0</v>
      </c>
      <c r="G74" s="167">
        <f t="shared" si="10"/>
        <v>1031</v>
      </c>
      <c r="H74" s="422">
        <f t="shared" si="11"/>
        <v>109</v>
      </c>
      <c r="I74" s="167">
        <f t="shared" si="12"/>
        <v>74</v>
      </c>
      <c r="J74" s="144">
        <f t="shared" si="13"/>
        <v>0</v>
      </c>
      <c r="K74" s="422">
        <f t="shared" si="14"/>
        <v>0</v>
      </c>
      <c r="L74" s="422">
        <f t="shared" si="15"/>
        <v>143</v>
      </c>
      <c r="M74" s="422">
        <f t="shared" si="16"/>
        <v>0</v>
      </c>
      <c r="N74" s="167">
        <f t="shared" si="0"/>
        <v>1572</v>
      </c>
      <c r="O74" s="167">
        <f t="shared" si="1"/>
        <v>0</v>
      </c>
      <c r="P74" s="422">
        <f t="shared" si="2"/>
        <v>0</v>
      </c>
      <c r="Q74" s="167">
        <f t="shared" si="3"/>
        <v>2929</v>
      </c>
      <c r="R74" s="167">
        <f t="shared" si="17"/>
        <v>2929</v>
      </c>
      <c r="S74" s="424">
        <f t="shared" si="4"/>
        <v>1</v>
      </c>
      <c r="T74" s="521">
        <f>IFERROR(VLOOKUP(Capacity_Entsoe_SFS_2017[[#This Row],[Country]],$AK$3:$AQ$39,7,0),0)</f>
        <v>436</v>
      </c>
      <c r="U74" s="443">
        <f>IFERROR(VLOOKUP(Capacity_Entsoe_SFS_2017[[#This Row],[Country]],$AK$3:$AQ$39,4,0),0)</f>
        <v>1236</v>
      </c>
    </row>
    <row r="75" spans="1:21" x14ac:dyDescent="0.2">
      <c r="A75" s="259" t="str">
        <f t="shared" si="5"/>
        <v>ME</v>
      </c>
      <c r="B75" s="366">
        <f t="shared" si="18"/>
        <v>2017</v>
      </c>
      <c r="C75" s="366" t="str">
        <f t="shared" si="18"/>
        <v>MW</v>
      </c>
      <c r="D75" s="144">
        <f t="shared" si="7"/>
        <v>0</v>
      </c>
      <c r="E75" s="144">
        <f t="shared" si="8"/>
        <v>220</v>
      </c>
      <c r="F75" s="167">
        <f t="shared" si="9"/>
        <v>0</v>
      </c>
      <c r="G75" s="167">
        <f t="shared" si="10"/>
        <v>0</v>
      </c>
      <c r="H75" s="422">
        <f t="shared" si="11"/>
        <v>0</v>
      </c>
      <c r="I75" s="167">
        <f t="shared" si="12"/>
        <v>72</v>
      </c>
      <c r="J75" s="144">
        <f t="shared" si="13"/>
        <v>0</v>
      </c>
      <c r="K75" s="422">
        <f t="shared" si="14"/>
        <v>0</v>
      </c>
      <c r="L75" s="422">
        <f t="shared" si="15"/>
        <v>0</v>
      </c>
      <c r="M75" s="422">
        <f t="shared" si="16"/>
        <v>0</v>
      </c>
      <c r="N75" s="167">
        <f t="shared" si="0"/>
        <v>0</v>
      </c>
      <c r="O75" s="167">
        <f t="shared" si="1"/>
        <v>660</v>
      </c>
      <c r="P75" s="422">
        <f t="shared" si="2"/>
        <v>0</v>
      </c>
      <c r="Q75" s="167">
        <f t="shared" si="3"/>
        <v>952</v>
      </c>
      <c r="R75" s="167">
        <f t="shared" si="17"/>
        <v>952</v>
      </c>
      <c r="S75" s="424">
        <f t="shared" si="4"/>
        <v>1</v>
      </c>
      <c r="T75" s="521">
        <f>IFERROR(VLOOKUP(Capacity_Entsoe_SFS_2017[[#This Row],[Country]],$AK$3:$AQ$39,7,0),0)</f>
        <v>221</v>
      </c>
      <c r="U75" s="443">
        <f>IFERROR(VLOOKUP(Capacity_Entsoe_SFS_2017[[#This Row],[Country]],$AK$3:$AQ$39,4,0),0)</f>
        <v>654</v>
      </c>
    </row>
    <row r="76" spans="1:21" x14ac:dyDescent="0.2">
      <c r="A76" s="259" t="str">
        <f t="shared" si="5"/>
        <v>MK</v>
      </c>
      <c r="B76" s="366">
        <f t="shared" si="18"/>
        <v>2017</v>
      </c>
      <c r="C76" s="366" t="str">
        <f t="shared" si="18"/>
        <v>MW</v>
      </c>
      <c r="D76" s="144">
        <f t="shared" si="7"/>
        <v>0</v>
      </c>
      <c r="E76" s="144">
        <f t="shared" si="8"/>
        <v>718</v>
      </c>
      <c r="F76" s="167">
        <f t="shared" si="9"/>
        <v>0</v>
      </c>
      <c r="G76" s="167">
        <f t="shared" si="10"/>
        <v>250</v>
      </c>
      <c r="H76" s="422">
        <f t="shared" si="11"/>
        <v>189</v>
      </c>
      <c r="I76" s="167">
        <f t="shared" si="12"/>
        <v>36</v>
      </c>
      <c r="J76" s="144">
        <f t="shared" si="13"/>
        <v>0</v>
      </c>
      <c r="K76" s="422">
        <f t="shared" si="14"/>
        <v>17</v>
      </c>
      <c r="L76" s="422">
        <f t="shared" si="15"/>
        <v>4</v>
      </c>
      <c r="M76" s="422">
        <f t="shared" si="16"/>
        <v>0</v>
      </c>
      <c r="N76" s="167">
        <f t="shared" si="0"/>
        <v>676</v>
      </c>
      <c r="O76" s="167">
        <f t="shared" si="1"/>
        <v>0</v>
      </c>
      <c r="P76" s="422">
        <f t="shared" si="2"/>
        <v>0</v>
      </c>
      <c r="Q76" s="167">
        <f t="shared" si="3"/>
        <v>1890</v>
      </c>
      <c r="R76" s="167">
        <f t="shared" si="17"/>
        <v>1890</v>
      </c>
      <c r="S76" s="424">
        <f t="shared" si="4"/>
        <v>1</v>
      </c>
      <c r="T76" s="521">
        <f>IFERROR(VLOOKUP(Capacity_Entsoe_SFS_2017[[#This Row],[Country]],$AK$3:$AQ$39,7,0),0)</f>
        <v>422</v>
      </c>
      <c r="U76" s="443">
        <f>IFERROR(VLOOKUP(Capacity_Entsoe_SFS_2017[[#This Row],[Country]],$AK$3:$AQ$39,4,0),0)</f>
        <v>1514</v>
      </c>
    </row>
    <row r="77" spans="1:21" x14ac:dyDescent="0.2">
      <c r="A77" s="259" t="str">
        <f t="shared" si="5"/>
        <v>NL</v>
      </c>
      <c r="B77" s="366">
        <f t="shared" si="18"/>
        <v>2017</v>
      </c>
      <c r="C77" s="366" t="str">
        <f t="shared" si="18"/>
        <v>MW</v>
      </c>
      <c r="D77" s="144">
        <f t="shared" si="7"/>
        <v>486</v>
      </c>
      <c r="E77" s="144">
        <f t="shared" si="8"/>
        <v>0</v>
      </c>
      <c r="F77" s="167">
        <f t="shared" si="9"/>
        <v>4631</v>
      </c>
      <c r="G77" s="167">
        <f t="shared" si="10"/>
        <v>18433</v>
      </c>
      <c r="H77" s="422">
        <f t="shared" si="11"/>
        <v>0</v>
      </c>
      <c r="I77" s="167">
        <f t="shared" si="12"/>
        <v>3675</v>
      </c>
      <c r="J77" s="144">
        <f t="shared" si="13"/>
        <v>957</v>
      </c>
      <c r="K77" s="422">
        <f t="shared" si="14"/>
        <v>2584</v>
      </c>
      <c r="L77" s="422">
        <f t="shared" si="15"/>
        <v>489</v>
      </c>
      <c r="M77" s="422">
        <f t="shared" si="16"/>
        <v>683</v>
      </c>
      <c r="N77" s="167">
        <f t="shared" si="0"/>
        <v>38</v>
      </c>
      <c r="O77" s="167">
        <f t="shared" si="1"/>
        <v>0</v>
      </c>
      <c r="P77" s="422">
        <f t="shared" si="2"/>
        <v>0</v>
      </c>
      <c r="Q77" s="167">
        <f t="shared" si="3"/>
        <v>31976</v>
      </c>
      <c r="R77" s="167">
        <f t="shared" si="17"/>
        <v>31976</v>
      </c>
      <c r="S77" s="424">
        <f t="shared" si="4"/>
        <v>1</v>
      </c>
      <c r="T77" s="521">
        <f>IFERROR(VLOOKUP(Capacity_Entsoe_SFS_2017[[#This Row],[Country]],$AK$3:$AQ$39,7,0),0)</f>
        <v>7490</v>
      </c>
      <c r="U77" s="443">
        <f>IFERROR(VLOOKUP(Capacity_Entsoe_SFS_2017[[#This Row],[Country]],$AK$3:$AQ$39,4,0),0)</f>
        <v>18620</v>
      </c>
    </row>
    <row r="78" spans="1:21" x14ac:dyDescent="0.2">
      <c r="A78" s="259" t="str">
        <f t="shared" si="5"/>
        <v>NO</v>
      </c>
      <c r="B78" s="366">
        <f t="shared" ref="B78:C81" si="19">B35</f>
        <v>2017</v>
      </c>
      <c r="C78" s="366" t="str">
        <f t="shared" si="19"/>
        <v>MW</v>
      </c>
      <c r="D78" s="144">
        <f t="shared" si="7"/>
        <v>0</v>
      </c>
      <c r="E78" s="144">
        <f t="shared" si="8"/>
        <v>0</v>
      </c>
      <c r="F78" s="167">
        <f t="shared" si="9"/>
        <v>0</v>
      </c>
      <c r="G78" s="167">
        <f t="shared" si="10"/>
        <v>448</v>
      </c>
      <c r="H78" s="422">
        <f t="shared" si="11"/>
        <v>0</v>
      </c>
      <c r="I78" s="167">
        <f t="shared" si="12"/>
        <v>1083</v>
      </c>
      <c r="J78" s="144">
        <f t="shared" si="13"/>
        <v>0</v>
      </c>
      <c r="K78" s="422">
        <f t="shared" si="14"/>
        <v>6</v>
      </c>
      <c r="L78" s="422">
        <f t="shared" si="15"/>
        <v>7</v>
      </c>
      <c r="M78" s="422">
        <f t="shared" si="16"/>
        <v>125</v>
      </c>
      <c r="N78" s="167">
        <f t="shared" si="0"/>
        <v>31660</v>
      </c>
      <c r="O78" s="167">
        <f t="shared" si="1"/>
        <v>0</v>
      </c>
      <c r="P78" s="422">
        <f t="shared" si="2"/>
        <v>0</v>
      </c>
      <c r="Q78" s="167">
        <f t="shared" si="3"/>
        <v>33329</v>
      </c>
      <c r="R78" s="167">
        <f t="shared" si="17"/>
        <v>33329</v>
      </c>
      <c r="S78" s="424">
        <f t="shared" si="4"/>
        <v>1</v>
      </c>
      <c r="T78" s="521">
        <f>IFERROR(VLOOKUP(Capacity_Entsoe_SFS_2017[[#This Row],[Country]],$AK$3:$AQ$39,7,0),0)</f>
        <v>9457</v>
      </c>
      <c r="U78" s="443">
        <f>IFERROR(VLOOKUP(Capacity_Entsoe_SFS_2017[[#This Row],[Country]],$AK$3:$AQ$39,4,0),0)</f>
        <v>23246</v>
      </c>
    </row>
    <row r="79" spans="1:21" x14ac:dyDescent="0.2">
      <c r="A79" s="259" t="str">
        <f t="shared" si="5"/>
        <v>PL</v>
      </c>
      <c r="B79" s="366">
        <f t="shared" si="19"/>
        <v>2017</v>
      </c>
      <c r="C79" s="366" t="str">
        <f t="shared" si="19"/>
        <v>MW</v>
      </c>
      <c r="D79" s="144">
        <f t="shared" si="7"/>
        <v>0</v>
      </c>
      <c r="E79" s="144">
        <f t="shared" si="8"/>
        <v>8590</v>
      </c>
      <c r="F79" s="167">
        <f t="shared" si="9"/>
        <v>18161</v>
      </c>
      <c r="G79" s="167">
        <f t="shared" si="10"/>
        <v>2521</v>
      </c>
      <c r="H79" s="422">
        <f t="shared" si="11"/>
        <v>310</v>
      </c>
      <c r="I79" s="167">
        <f t="shared" si="12"/>
        <v>5652</v>
      </c>
      <c r="J79" s="144">
        <f t="shared" si="13"/>
        <v>0</v>
      </c>
      <c r="K79" s="422">
        <f t="shared" si="14"/>
        <v>285</v>
      </c>
      <c r="L79" s="422">
        <f t="shared" si="15"/>
        <v>1175</v>
      </c>
      <c r="M79" s="422">
        <f t="shared" si="16"/>
        <v>0</v>
      </c>
      <c r="N79" s="167">
        <f t="shared" si="0"/>
        <v>971</v>
      </c>
      <c r="O79" s="167">
        <f t="shared" si="1"/>
        <v>1398</v>
      </c>
      <c r="P79" s="422">
        <f t="shared" si="2"/>
        <v>326</v>
      </c>
      <c r="Q79" s="167">
        <f t="shared" si="3"/>
        <v>39389</v>
      </c>
      <c r="R79" s="167">
        <f t="shared" si="17"/>
        <v>39389</v>
      </c>
      <c r="S79" s="424">
        <f t="shared" si="4"/>
        <v>1</v>
      </c>
      <c r="T79" s="521">
        <f>IFERROR(VLOOKUP(Capacity_Entsoe_SFS_2017[[#This Row],[Country]],$AK$3:$AQ$39,7,0),0)</f>
        <v>11082</v>
      </c>
      <c r="U79" s="443">
        <f>IFERROR(VLOOKUP(Capacity_Entsoe_SFS_2017[[#This Row],[Country]],$AK$3:$AQ$39,4,0),0)</f>
        <v>24392</v>
      </c>
    </row>
    <row r="80" spans="1:21" x14ac:dyDescent="0.2">
      <c r="A80" s="259" t="str">
        <f t="shared" si="5"/>
        <v>PT</v>
      </c>
      <c r="B80" s="366">
        <f t="shared" si="19"/>
        <v>2017</v>
      </c>
      <c r="C80" s="366" t="str">
        <f t="shared" si="19"/>
        <v>MW</v>
      </c>
      <c r="D80" s="144">
        <f t="shared" si="7"/>
        <v>0</v>
      </c>
      <c r="E80" s="144">
        <f t="shared" si="8"/>
        <v>0</v>
      </c>
      <c r="F80" s="167">
        <f t="shared" si="9"/>
        <v>1756</v>
      </c>
      <c r="G80" s="167">
        <f t="shared" si="10"/>
        <v>4607</v>
      </c>
      <c r="H80" s="422">
        <f t="shared" si="11"/>
        <v>40</v>
      </c>
      <c r="I80" s="167">
        <f t="shared" si="12"/>
        <v>5090</v>
      </c>
      <c r="J80" s="144">
        <f t="shared" si="13"/>
        <v>0</v>
      </c>
      <c r="K80" s="422">
        <f t="shared" si="14"/>
        <v>490</v>
      </c>
      <c r="L80" s="422">
        <f t="shared" si="15"/>
        <v>624</v>
      </c>
      <c r="M80" s="422">
        <f t="shared" si="16"/>
        <v>0</v>
      </c>
      <c r="N80" s="167">
        <f t="shared" si="0"/>
        <v>7193</v>
      </c>
      <c r="O80" s="167">
        <f t="shared" si="1"/>
        <v>0</v>
      </c>
      <c r="P80" s="422">
        <f t="shared" si="2"/>
        <v>0</v>
      </c>
      <c r="Q80" s="167">
        <f t="shared" si="3"/>
        <v>19800</v>
      </c>
      <c r="R80" s="167">
        <f t="shared" si="17"/>
        <v>19799</v>
      </c>
      <c r="S80" s="424">
        <f t="shared" si="4"/>
        <v>1.0000505076013939</v>
      </c>
      <c r="T80" s="521">
        <f>IFERROR(VLOOKUP(Capacity_Entsoe_SFS_2017[[#This Row],[Country]],$AK$3:$AQ$39,7,0),0)</f>
        <v>3413</v>
      </c>
      <c r="U80" s="443">
        <f>IFERROR(VLOOKUP(Capacity_Entsoe_SFS_2017[[#This Row],[Country]],$AK$3:$AQ$39,4,0),0)</f>
        <v>8734</v>
      </c>
    </row>
    <row r="81" spans="1:39" x14ac:dyDescent="0.2">
      <c r="A81" s="259" t="str">
        <f t="shared" si="5"/>
        <v>RO</v>
      </c>
      <c r="B81" s="477">
        <f t="shared" si="19"/>
        <v>2017</v>
      </c>
      <c r="C81" s="477" t="str">
        <f t="shared" si="19"/>
        <v>MW</v>
      </c>
      <c r="D81" s="144">
        <f t="shared" si="7"/>
        <v>1300</v>
      </c>
      <c r="E81" s="144">
        <f t="shared" si="8"/>
        <v>3312</v>
      </c>
      <c r="F81" s="167">
        <f t="shared" si="9"/>
        <v>1155</v>
      </c>
      <c r="G81" s="167">
        <f t="shared" si="10"/>
        <v>1829</v>
      </c>
      <c r="H81" s="422">
        <f t="shared" si="11"/>
        <v>1605</v>
      </c>
      <c r="I81" s="167">
        <f t="shared" si="12"/>
        <v>2975</v>
      </c>
      <c r="J81" s="144">
        <f t="shared" si="13"/>
        <v>0</v>
      </c>
      <c r="K81" s="422">
        <f t="shared" si="14"/>
        <v>1285</v>
      </c>
      <c r="L81" s="422">
        <f t="shared" si="15"/>
        <v>121</v>
      </c>
      <c r="M81" s="422">
        <f t="shared" si="16"/>
        <v>0</v>
      </c>
      <c r="N81" s="167">
        <f t="shared" si="0"/>
        <v>6375</v>
      </c>
      <c r="O81" s="167">
        <f t="shared" si="1"/>
        <v>0</v>
      </c>
      <c r="P81" s="422">
        <f t="shared" si="2"/>
        <v>0</v>
      </c>
      <c r="Q81" s="443">
        <f t="shared" si="3"/>
        <v>19957</v>
      </c>
      <c r="R81" s="167">
        <f t="shared" si="17"/>
        <v>19957</v>
      </c>
      <c r="S81" s="478">
        <f t="shared" ref="S81:S86" si="20">Q81/R81</f>
        <v>1</v>
      </c>
      <c r="T81" s="521">
        <f>IFERROR(VLOOKUP(Capacity_Entsoe_SFS_2017[[#This Row],[Country]],$AK$3:$AQ$39,7,0),0)</f>
        <v>4057</v>
      </c>
      <c r="U81" s="443">
        <f>IFERROR(VLOOKUP(Capacity_Entsoe_SFS_2017[[#This Row],[Country]],$AK$3:$AQ$39,4,0),0)</f>
        <v>8940</v>
      </c>
    </row>
    <row r="82" spans="1:39" x14ac:dyDescent="0.2">
      <c r="A82" s="259" t="str">
        <f t="shared" si="5"/>
        <v>RS</v>
      </c>
      <c r="B82" s="366">
        <f>B3</f>
        <v>2017</v>
      </c>
      <c r="C82" s="366" t="str">
        <f>C3</f>
        <v>MW</v>
      </c>
      <c r="D82" s="144">
        <f t="shared" si="7"/>
        <v>0</v>
      </c>
      <c r="E82" s="144">
        <f t="shared" si="8"/>
        <v>5289</v>
      </c>
      <c r="F82" s="167">
        <f t="shared" si="9"/>
        <v>0</v>
      </c>
      <c r="G82" s="167">
        <f t="shared" si="10"/>
        <v>208</v>
      </c>
      <c r="H82" s="422">
        <f t="shared" si="11"/>
        <v>0</v>
      </c>
      <c r="I82" s="167">
        <f t="shared" si="12"/>
        <v>0</v>
      </c>
      <c r="J82" s="144">
        <f t="shared" si="13"/>
        <v>0</v>
      </c>
      <c r="K82" s="422">
        <f t="shared" si="14"/>
        <v>0</v>
      </c>
      <c r="L82" s="422">
        <f t="shared" si="15"/>
        <v>0</v>
      </c>
      <c r="M82" s="422">
        <f t="shared" si="16"/>
        <v>0</v>
      </c>
      <c r="N82" s="167">
        <f t="shared" si="0"/>
        <v>2383</v>
      </c>
      <c r="O82" s="167">
        <f t="shared" si="1"/>
        <v>614</v>
      </c>
      <c r="P82" s="422">
        <f t="shared" si="2"/>
        <v>0</v>
      </c>
      <c r="Q82" s="167">
        <f t="shared" si="3"/>
        <v>8494</v>
      </c>
      <c r="R82" s="167">
        <f t="shared" si="17"/>
        <v>8494</v>
      </c>
      <c r="S82" s="424">
        <f t="shared" si="20"/>
        <v>1</v>
      </c>
      <c r="T82" s="521">
        <f>IFERROR(VLOOKUP(Capacity_Entsoe_SFS_2017[[#This Row],[Country]],$AK$3:$AQ$39,7,0),0)</f>
        <v>2503</v>
      </c>
      <c r="U82" s="443">
        <f>IFERROR(VLOOKUP(Capacity_Entsoe_SFS_2017[[#This Row],[Country]],$AK$3:$AQ$39,4,0),0)</f>
        <v>7429</v>
      </c>
    </row>
    <row r="83" spans="1:39" x14ac:dyDescent="0.2">
      <c r="A83" s="259" t="str">
        <f t="shared" si="5"/>
        <v>SE</v>
      </c>
      <c r="B83" s="366">
        <f>B5</f>
        <v>2017</v>
      </c>
      <c r="C83" s="366" t="str">
        <f>C5</f>
        <v>MW</v>
      </c>
      <c r="D83" s="144">
        <f t="shared" si="7"/>
        <v>8586</v>
      </c>
      <c r="E83" s="144">
        <f t="shared" si="8"/>
        <v>0</v>
      </c>
      <c r="F83" s="167">
        <f t="shared" si="9"/>
        <v>205</v>
      </c>
      <c r="G83" s="167">
        <f t="shared" si="10"/>
        <v>849</v>
      </c>
      <c r="H83" s="422">
        <f t="shared" si="11"/>
        <v>2815</v>
      </c>
      <c r="I83" s="167">
        <f t="shared" si="12"/>
        <v>6691</v>
      </c>
      <c r="J83" s="144">
        <f t="shared" si="13"/>
        <v>0</v>
      </c>
      <c r="K83" s="422">
        <f t="shared" si="14"/>
        <v>0</v>
      </c>
      <c r="L83" s="422">
        <f t="shared" si="15"/>
        <v>3145</v>
      </c>
      <c r="M83" s="422">
        <f t="shared" si="16"/>
        <v>0</v>
      </c>
      <c r="N83" s="167">
        <f t="shared" si="0"/>
        <v>16301</v>
      </c>
      <c r="O83" s="167">
        <f t="shared" si="1"/>
        <v>0</v>
      </c>
      <c r="P83" s="422">
        <f t="shared" si="2"/>
        <v>445</v>
      </c>
      <c r="Q83" s="167">
        <f t="shared" si="3"/>
        <v>39037</v>
      </c>
      <c r="R83" s="167">
        <f t="shared" si="17"/>
        <v>39037</v>
      </c>
      <c r="S83" s="424">
        <f t="shared" si="20"/>
        <v>1</v>
      </c>
      <c r="T83" s="521">
        <f>IFERROR(VLOOKUP(Capacity_Entsoe_SFS_2017[[#This Row],[Country]],$AK$3:$AQ$39,7,0),0)</f>
        <v>8905</v>
      </c>
      <c r="U83" s="443">
        <f>IFERROR(VLOOKUP(Capacity_Entsoe_SFS_2017[[#This Row],[Country]],$AK$3:$AQ$39,4,0),0)</f>
        <v>26224</v>
      </c>
    </row>
    <row r="84" spans="1:39" x14ac:dyDescent="0.2">
      <c r="A84" s="259" t="str">
        <f t="shared" si="5"/>
        <v>SI</v>
      </c>
      <c r="B84" s="366">
        <f t="shared" ref="B84:C85" si="21">B27</f>
        <v>2017</v>
      </c>
      <c r="C84" s="366" t="str">
        <f t="shared" si="21"/>
        <v>MW</v>
      </c>
      <c r="D84" s="144">
        <f t="shared" si="7"/>
        <v>696</v>
      </c>
      <c r="E84" s="144">
        <f t="shared" si="8"/>
        <v>924</v>
      </c>
      <c r="F84" s="167">
        <f t="shared" si="9"/>
        <v>0</v>
      </c>
      <c r="G84" s="167">
        <f t="shared" si="10"/>
        <v>455</v>
      </c>
      <c r="H84" s="422">
        <f t="shared" si="11"/>
        <v>0</v>
      </c>
      <c r="I84" s="167">
        <f t="shared" si="12"/>
        <v>3</v>
      </c>
      <c r="J84" s="144">
        <f t="shared" si="13"/>
        <v>0</v>
      </c>
      <c r="K84" s="422">
        <f t="shared" si="14"/>
        <v>271</v>
      </c>
      <c r="L84" s="422">
        <f t="shared" si="15"/>
        <v>41</v>
      </c>
      <c r="M84" s="422">
        <f t="shared" si="16"/>
        <v>14</v>
      </c>
      <c r="N84" s="167">
        <f t="shared" si="0"/>
        <v>1117</v>
      </c>
      <c r="O84" s="167">
        <f t="shared" si="1"/>
        <v>180</v>
      </c>
      <c r="P84" s="422">
        <f t="shared" si="2"/>
        <v>115</v>
      </c>
      <c r="Q84" s="167">
        <f t="shared" si="3"/>
        <v>3816</v>
      </c>
      <c r="R84" s="167">
        <f t="shared" si="17"/>
        <v>3816</v>
      </c>
      <c r="S84" s="424">
        <f t="shared" si="20"/>
        <v>1</v>
      </c>
      <c r="T84" s="521">
        <f>IFERROR(VLOOKUP(Capacity_Entsoe_SFS_2017[[#This Row],[Country]],$AK$3:$AQ$39,7,0),0)</f>
        <v>937</v>
      </c>
      <c r="U84" s="443">
        <f>IFERROR(VLOOKUP(Capacity_Entsoe_SFS_2017[[#This Row],[Country]],$AK$3:$AQ$39,4,0),0)</f>
        <v>2270</v>
      </c>
    </row>
    <row r="85" spans="1:39" x14ac:dyDescent="0.2">
      <c r="A85" s="259" t="str">
        <f t="shared" si="5"/>
        <v>SK</v>
      </c>
      <c r="B85" s="366">
        <f t="shared" si="21"/>
        <v>2017</v>
      </c>
      <c r="C85" s="366" t="str">
        <f t="shared" si="21"/>
        <v>MW</v>
      </c>
      <c r="D85" s="144">
        <f t="shared" si="7"/>
        <v>1940</v>
      </c>
      <c r="E85" s="144">
        <f t="shared" si="8"/>
        <v>333</v>
      </c>
      <c r="F85" s="167">
        <f t="shared" si="9"/>
        <v>221</v>
      </c>
      <c r="G85" s="167">
        <f t="shared" si="10"/>
        <v>1106</v>
      </c>
      <c r="H85" s="422">
        <f t="shared" si="11"/>
        <v>688</v>
      </c>
      <c r="I85" s="167">
        <f t="shared" si="12"/>
        <v>3</v>
      </c>
      <c r="J85" s="144">
        <f t="shared" si="13"/>
        <v>0</v>
      </c>
      <c r="K85" s="422">
        <f t="shared" si="14"/>
        <v>530</v>
      </c>
      <c r="L85" s="422">
        <f t="shared" si="15"/>
        <v>330</v>
      </c>
      <c r="M85" s="422">
        <f t="shared" si="16"/>
        <v>12</v>
      </c>
      <c r="N85" s="167">
        <f t="shared" si="0"/>
        <v>1805</v>
      </c>
      <c r="O85" s="167">
        <f t="shared" si="1"/>
        <v>734</v>
      </c>
      <c r="P85" s="422">
        <f t="shared" si="2"/>
        <v>19</v>
      </c>
      <c r="Q85" s="167">
        <f t="shared" si="3"/>
        <v>7721</v>
      </c>
      <c r="R85" s="167">
        <f t="shared" si="17"/>
        <v>7721</v>
      </c>
      <c r="S85" s="424">
        <f t="shared" si="20"/>
        <v>1</v>
      </c>
      <c r="T85" s="521">
        <f>IFERROR(VLOOKUP(Capacity_Entsoe_SFS_2017[[#This Row],[Country]],$AK$3:$AQ$39,7,0),0)</f>
        <v>2320</v>
      </c>
      <c r="U85" s="443">
        <f>IFERROR(VLOOKUP(Capacity_Entsoe_SFS_2017[[#This Row],[Country]],$AK$3:$AQ$39,4,0),0)</f>
        <v>4541</v>
      </c>
    </row>
    <row r="86" spans="1:39" x14ac:dyDescent="0.2">
      <c r="A86" s="259" t="str">
        <f t="shared" si="5"/>
        <v>TR</v>
      </c>
      <c r="B86" s="366">
        <f>B34</f>
        <v>2017</v>
      </c>
      <c r="C86" s="366" t="str">
        <f>C34</f>
        <v>MW</v>
      </c>
      <c r="D86" s="144">
        <f t="shared" si="7"/>
        <v>0</v>
      </c>
      <c r="E86" s="144">
        <f t="shared" si="8"/>
        <v>9773</v>
      </c>
      <c r="F86" s="167">
        <f t="shared" si="9"/>
        <v>9576</v>
      </c>
      <c r="G86" s="167">
        <f t="shared" si="10"/>
        <v>26637</v>
      </c>
      <c r="H86" s="422">
        <f t="shared" si="11"/>
        <v>306</v>
      </c>
      <c r="I86" s="167">
        <f t="shared" si="12"/>
        <v>6516</v>
      </c>
      <c r="J86" s="144">
        <f t="shared" si="13"/>
        <v>0</v>
      </c>
      <c r="K86" s="422">
        <f t="shared" si="14"/>
        <v>3421</v>
      </c>
      <c r="L86" s="422">
        <f t="shared" si="15"/>
        <v>634</v>
      </c>
      <c r="M86" s="422">
        <f t="shared" si="16"/>
        <v>1064</v>
      </c>
      <c r="N86" s="167">
        <f t="shared" si="0"/>
        <v>27273</v>
      </c>
      <c r="O86" s="167">
        <f t="shared" si="1"/>
        <v>0</v>
      </c>
      <c r="P86" s="422">
        <f t="shared" si="2"/>
        <v>0</v>
      </c>
      <c r="Q86" s="167">
        <f t="shared" si="3"/>
        <v>85200</v>
      </c>
      <c r="R86" s="167">
        <f t="shared" si="17"/>
        <v>85200</v>
      </c>
      <c r="S86" s="424">
        <f t="shared" si="20"/>
        <v>1</v>
      </c>
      <c r="T86" s="521">
        <f>IFERROR(VLOOKUP(Capacity_Entsoe_SFS_2017[[#This Row],[Country]],$AK$3:$AQ$39,7,0),0)</f>
        <v>18851</v>
      </c>
      <c r="U86" s="443">
        <f>IFERROR(VLOOKUP(Capacity_Entsoe_SFS_2017[[#This Row],[Country]],$AK$3:$AQ$39,4,0),0)</f>
        <v>47062</v>
      </c>
      <c r="AK86" s="144"/>
      <c r="AM86" s="107"/>
    </row>
    <row r="87" spans="1:39" x14ac:dyDescent="0.2">
      <c r="A87" s="259" t="str">
        <f t="shared" si="5"/>
        <v>ENTSO-E</v>
      </c>
      <c r="B87" s="520">
        <f>B39</f>
        <v>2017</v>
      </c>
      <c r="C87" s="520" t="str">
        <f>C39</f>
        <v>MW</v>
      </c>
      <c r="D87" s="144">
        <f t="shared" si="7"/>
        <v>121973</v>
      </c>
      <c r="E87" s="144">
        <f t="shared" si="8"/>
        <v>70471</v>
      </c>
      <c r="F87" s="167">
        <f t="shared" si="9"/>
        <v>104370</v>
      </c>
      <c r="G87" s="167">
        <f t="shared" si="10"/>
        <v>242496</v>
      </c>
      <c r="H87" s="422">
        <f t="shared" si="11"/>
        <v>47302</v>
      </c>
      <c r="I87" s="167">
        <f t="shared" si="12"/>
        <v>159874</v>
      </c>
      <c r="J87" s="144">
        <f t="shared" si="13"/>
        <v>13870</v>
      </c>
      <c r="K87" s="422">
        <f t="shared" si="14"/>
        <v>108403</v>
      </c>
      <c r="L87" s="422">
        <f t="shared" si="15"/>
        <v>27148</v>
      </c>
      <c r="M87" s="422">
        <f t="shared" si="16"/>
        <v>12379</v>
      </c>
      <c r="N87" s="167">
        <f t="shared" si="0"/>
        <v>212443</v>
      </c>
      <c r="O87" s="167">
        <f t="shared" si="1"/>
        <v>24349</v>
      </c>
      <c r="P87" s="422">
        <f t="shared" si="2"/>
        <v>6936</v>
      </c>
      <c r="Q87" s="521">
        <f t="shared" si="3"/>
        <v>1152014</v>
      </c>
      <c r="R87" s="167">
        <f t="shared" si="17"/>
        <v>1152017</v>
      </c>
      <c r="S87" s="519">
        <f>Q87/R87</f>
        <v>0.99999739587176228</v>
      </c>
      <c r="T87" s="521">
        <f>IFERROR(VLOOKUP(Capacity_Entsoe_SFS_2017[[#This Row],[Country]],$AK$3:$AQ$39,7,0),0)</f>
        <v>265419</v>
      </c>
      <c r="U87" s="521">
        <f>IFERROR(VLOOKUP(Capacity_Entsoe_SFS_2017[[#This Row],[Country]],$AK$3:$AQ$39,4,0),0)</f>
        <v>581276</v>
      </c>
      <c r="AK87" s="144"/>
      <c r="AM87" s="107"/>
    </row>
    <row r="88" spans="1:39" x14ac:dyDescent="0.2">
      <c r="A88" s="259" t="str">
        <f t="shared" si="5"/>
        <v>EU</v>
      </c>
      <c r="B88" s="520">
        <f>B40</f>
        <v>2017</v>
      </c>
      <c r="C88" s="520" t="str">
        <f>C40</f>
        <v>MW</v>
      </c>
      <c r="D88" s="144">
        <f t="shared" si="7"/>
        <v>118640</v>
      </c>
      <c r="E88" s="144">
        <f t="shared" si="8"/>
        <v>52583</v>
      </c>
      <c r="F88" s="167">
        <f t="shared" si="9"/>
        <v>94794</v>
      </c>
      <c r="G88" s="167">
        <f t="shared" si="10"/>
        <v>214953</v>
      </c>
      <c r="H88" s="422">
        <f t="shared" si="11"/>
        <v>46700</v>
      </c>
      <c r="I88" s="167">
        <f t="shared" si="12"/>
        <v>152104</v>
      </c>
      <c r="J88" s="144">
        <f t="shared" si="13"/>
        <v>13870</v>
      </c>
      <c r="K88" s="422">
        <f t="shared" si="14"/>
        <v>103566</v>
      </c>
      <c r="L88" s="422">
        <f t="shared" si="15"/>
        <v>26256</v>
      </c>
      <c r="M88" s="422">
        <f t="shared" si="16"/>
        <v>10274</v>
      </c>
      <c r="N88" s="167">
        <f t="shared" si="0"/>
        <v>132827</v>
      </c>
      <c r="O88" s="167">
        <f t="shared" si="1"/>
        <v>22635</v>
      </c>
      <c r="P88" s="422">
        <f t="shared" si="2"/>
        <v>6725</v>
      </c>
      <c r="Q88" s="521">
        <f t="shared" si="3"/>
        <v>995927</v>
      </c>
      <c r="R88" s="167">
        <f t="shared" si="17"/>
        <v>995929</v>
      </c>
      <c r="S88" s="519">
        <f>Q88/R88</f>
        <v>0.99999799182471838</v>
      </c>
      <c r="T88" s="521">
        <f>IFERROR(VLOOKUP(Capacity_Entsoe_SFS_2017[[#This Row],[Country]],$AK$3:$AQ$39,7,0),0)</f>
        <v>0</v>
      </c>
      <c r="U88" s="521">
        <f>IFERROR(VLOOKUP(Capacity_Entsoe_SFS_2017[[#This Row],[Country]],$AK$3:$AQ$39,4,0),0)</f>
        <v>0</v>
      </c>
      <c r="AK88" s="144"/>
      <c r="AM88" s="10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theme="8"/>
  </sheetPr>
  <dimension ref="A1:BE88"/>
  <sheetViews>
    <sheetView topLeftCell="Z1" zoomScale="85" zoomScaleNormal="85" workbookViewId="0">
      <selection activeCell="AI15" sqref="AI15"/>
    </sheetView>
  </sheetViews>
  <sheetFormatPr baseColWidth="10" defaultColWidth="8.28515625" defaultRowHeight="15" x14ac:dyDescent="0.25"/>
  <cols>
    <col min="1" max="1" width="10.85546875" style="168" customWidth="1"/>
    <col min="2" max="3" width="8.28515625" style="168"/>
    <col min="4" max="4" width="8.85546875" style="168" customWidth="1"/>
    <col min="5" max="5" width="8.28515625" style="168"/>
    <col min="6" max="6" width="10.7109375" style="168" customWidth="1"/>
    <col min="7" max="7" width="13.140625" style="168" customWidth="1"/>
    <col min="8" max="8" width="16.42578125" style="168" customWidth="1"/>
    <col min="9" max="10" width="14.140625" style="168" customWidth="1"/>
    <col min="11" max="11" width="9.7109375" style="168" customWidth="1"/>
    <col min="12" max="13" width="11.140625" style="168" customWidth="1"/>
    <col min="14" max="14" width="20.5703125" style="168" customWidth="1"/>
    <col min="15" max="15" width="16.7109375" style="168" customWidth="1"/>
    <col min="16" max="16" width="14.28515625" style="168" customWidth="1"/>
    <col min="17" max="17" width="16.5703125" style="168" customWidth="1"/>
    <col min="18" max="18" width="16.42578125" style="168" customWidth="1"/>
    <col min="19" max="19" width="17.42578125" style="168" customWidth="1"/>
    <col min="20" max="35" width="8.28515625" style="168"/>
    <col min="36" max="36" width="8.28515625" style="107"/>
    <col min="37" max="43" width="8.28515625" style="168"/>
    <col min="47" max="16384" width="8.28515625" style="168"/>
  </cols>
  <sheetData>
    <row r="1" spans="1:57" ht="87.75" x14ac:dyDescent="0.25">
      <c r="A1" s="226" t="s">
        <v>265</v>
      </c>
      <c r="B1" s="226"/>
      <c r="C1" s="226"/>
      <c r="D1" s="96" t="s">
        <v>320</v>
      </c>
      <c r="E1" s="97" t="s">
        <v>321</v>
      </c>
      <c r="F1" s="97" t="s">
        <v>322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323</v>
      </c>
      <c r="Q1" s="99" t="s">
        <v>324</v>
      </c>
      <c r="R1" s="99" t="s">
        <v>325</v>
      </c>
      <c r="S1" s="99" t="s">
        <v>326</v>
      </c>
      <c r="T1" s="100" t="s">
        <v>327</v>
      </c>
      <c r="U1" s="101" t="s">
        <v>328</v>
      </c>
      <c r="V1" s="101" t="s">
        <v>329</v>
      </c>
      <c r="W1" s="101" t="s">
        <v>330</v>
      </c>
      <c r="X1" s="101" t="s">
        <v>331</v>
      </c>
      <c r="Y1" s="101" t="s">
        <v>332</v>
      </c>
      <c r="Z1" s="101" t="s">
        <v>333</v>
      </c>
      <c r="AA1" s="101" t="s">
        <v>334</v>
      </c>
      <c r="AB1" s="101" t="s">
        <v>335</v>
      </c>
      <c r="AC1" s="101" t="s">
        <v>336</v>
      </c>
      <c r="AD1" s="101" t="s">
        <v>337</v>
      </c>
      <c r="AE1" s="101" t="s">
        <v>338</v>
      </c>
      <c r="AF1" s="101" t="s">
        <v>339</v>
      </c>
      <c r="AG1" s="101" t="s">
        <v>340</v>
      </c>
      <c r="AH1" s="101" t="s">
        <v>341</v>
      </c>
      <c r="AI1" s="102" t="s">
        <v>319</v>
      </c>
      <c r="AU1" s="169" t="s">
        <v>265</v>
      </c>
      <c r="AV1" s="96" t="s">
        <v>203</v>
      </c>
      <c r="AW1" s="96" t="s">
        <v>204</v>
      </c>
      <c r="AY1" s="169" t="s">
        <v>197</v>
      </c>
      <c r="AZ1" s="96" t="s">
        <v>203</v>
      </c>
      <c r="BA1" s="96" t="s">
        <v>204</v>
      </c>
      <c r="BC1" s="169" t="s">
        <v>197</v>
      </c>
      <c r="BD1" s="96" t="s">
        <v>203</v>
      </c>
      <c r="BE1" s="96" t="s">
        <v>204</v>
      </c>
    </row>
    <row r="2" spans="1:57" ht="27" x14ac:dyDescent="0.25">
      <c r="A2" s="171"/>
      <c r="B2" s="171"/>
      <c r="C2" s="171"/>
      <c r="D2" s="172" t="s">
        <v>342</v>
      </c>
      <c r="E2" s="173" t="s">
        <v>343</v>
      </c>
      <c r="F2" s="173" t="s">
        <v>343</v>
      </c>
      <c r="G2" s="173" t="s">
        <v>343</v>
      </c>
      <c r="H2" s="173" t="s">
        <v>343</v>
      </c>
      <c r="I2" s="173" t="s">
        <v>343</v>
      </c>
      <c r="J2" s="173" t="s">
        <v>343</v>
      </c>
      <c r="K2" s="173" t="s">
        <v>343</v>
      </c>
      <c r="L2" s="173" t="s">
        <v>343</v>
      </c>
      <c r="M2" s="173" t="s">
        <v>343</v>
      </c>
      <c r="N2" s="173" t="s">
        <v>343</v>
      </c>
      <c r="O2" s="173" t="s">
        <v>343</v>
      </c>
      <c r="P2" s="173" t="s">
        <v>343</v>
      </c>
      <c r="Q2" s="173" t="s">
        <v>343</v>
      </c>
      <c r="R2" s="173" t="s">
        <v>343</v>
      </c>
      <c r="S2" s="173" t="s">
        <v>343</v>
      </c>
      <c r="T2" s="174" t="s">
        <v>342</v>
      </c>
      <c r="U2" s="175" t="s">
        <v>343</v>
      </c>
      <c r="V2" s="175" t="s">
        <v>343</v>
      </c>
      <c r="W2" s="175" t="s">
        <v>343</v>
      </c>
      <c r="X2" s="175" t="s">
        <v>343</v>
      </c>
      <c r="Y2" s="175" t="s">
        <v>343</v>
      </c>
      <c r="Z2" s="175" t="s">
        <v>343</v>
      </c>
      <c r="AA2" s="175" t="s">
        <v>343</v>
      </c>
      <c r="AB2" s="175" t="s">
        <v>343</v>
      </c>
      <c r="AC2" s="175" t="s">
        <v>343</v>
      </c>
      <c r="AD2" s="175" t="s">
        <v>343</v>
      </c>
      <c r="AE2" s="175" t="s">
        <v>343</v>
      </c>
      <c r="AF2" s="175" t="s">
        <v>343</v>
      </c>
      <c r="AG2" s="175" t="s">
        <v>343</v>
      </c>
      <c r="AH2" s="176" t="s">
        <v>343</v>
      </c>
      <c r="AI2" s="177" t="s">
        <v>342</v>
      </c>
      <c r="AK2" s="568" t="s">
        <v>414</v>
      </c>
      <c r="AL2" s="568"/>
      <c r="AM2" s="568"/>
      <c r="AN2" s="444" t="s">
        <v>415</v>
      </c>
      <c r="AO2" s="445" t="s">
        <v>416</v>
      </c>
      <c r="AP2" s="446" t="s">
        <v>417</v>
      </c>
      <c r="AQ2" s="447" t="s">
        <v>418</v>
      </c>
      <c r="AU2" s="180"/>
      <c r="AV2" s="172" t="s">
        <v>205</v>
      </c>
      <c r="AW2" s="172" t="s">
        <v>196</v>
      </c>
      <c r="AY2" s="227"/>
      <c r="AZ2" s="228" t="s">
        <v>205</v>
      </c>
      <c r="BA2" s="228" t="s">
        <v>196</v>
      </c>
      <c r="BC2" s="227"/>
      <c r="BD2" s="228" t="s">
        <v>205</v>
      </c>
      <c r="BE2" s="228" t="s">
        <v>196</v>
      </c>
    </row>
    <row r="3" spans="1:57" ht="18" x14ac:dyDescent="0.25">
      <c r="A3" s="181" t="s">
        <v>268</v>
      </c>
      <c r="B3" s="181">
        <v>2018</v>
      </c>
      <c r="C3" s="181" t="s">
        <v>205</v>
      </c>
      <c r="D3" s="229">
        <v>97</v>
      </c>
      <c r="E3" s="183">
        <v>0</v>
      </c>
      <c r="F3" s="230">
        <v>97</v>
      </c>
      <c r="G3" s="183">
        <v>0</v>
      </c>
      <c r="H3" s="183">
        <v>0</v>
      </c>
      <c r="I3" s="183">
        <v>0</v>
      </c>
      <c r="J3" s="183">
        <v>0</v>
      </c>
      <c r="K3" s="230">
        <v>97</v>
      </c>
      <c r="L3" s="183">
        <v>0</v>
      </c>
      <c r="M3" s="183">
        <v>0</v>
      </c>
      <c r="N3" s="183">
        <v>0</v>
      </c>
      <c r="O3" s="183">
        <v>0</v>
      </c>
      <c r="P3" s="183">
        <v>0</v>
      </c>
      <c r="Q3" s="183">
        <v>0</v>
      </c>
      <c r="R3" s="183">
        <v>0</v>
      </c>
      <c r="S3" s="183">
        <v>0</v>
      </c>
      <c r="T3" s="231">
        <v>1835</v>
      </c>
      <c r="U3" s="183">
        <v>0</v>
      </c>
      <c r="V3" s="183">
        <v>0</v>
      </c>
      <c r="W3" s="183">
        <v>0</v>
      </c>
      <c r="X3" s="183">
        <v>0</v>
      </c>
      <c r="Y3" s="183">
        <v>0</v>
      </c>
      <c r="Z3" s="183">
        <v>0</v>
      </c>
      <c r="AA3" s="183">
        <v>0</v>
      </c>
      <c r="AB3" s="183">
        <v>0</v>
      </c>
      <c r="AC3" s="232">
        <v>1534</v>
      </c>
      <c r="AD3" s="230">
        <v>301</v>
      </c>
      <c r="AE3" s="183">
        <v>0</v>
      </c>
      <c r="AF3" s="183">
        <v>0</v>
      </c>
      <c r="AG3" s="183">
        <v>0</v>
      </c>
      <c r="AH3" s="183">
        <v>0</v>
      </c>
      <c r="AI3" s="231">
        <v>1932</v>
      </c>
      <c r="AK3" s="448" t="s">
        <v>419</v>
      </c>
      <c r="AL3" s="449">
        <v>43465</v>
      </c>
      <c r="AM3" s="450" t="s">
        <v>420</v>
      </c>
      <c r="AN3" s="451">
        <v>1480</v>
      </c>
      <c r="AO3" s="452">
        <v>43102</v>
      </c>
      <c r="AP3" s="453" t="s">
        <v>421</v>
      </c>
      <c r="AQ3" s="454">
        <v>434</v>
      </c>
      <c r="AU3" s="187" t="s">
        <v>268</v>
      </c>
      <c r="AV3" s="190">
        <f t="shared" ref="AV3:AV39" si="0">G3+H3+J3</f>
        <v>0</v>
      </c>
      <c r="AW3" s="233">
        <f t="shared" ref="AW3:AW39" si="1">AV3/AI3</f>
        <v>0</v>
      </c>
      <c r="AY3" s="234" t="s">
        <v>98</v>
      </c>
      <c r="AZ3" s="235">
        <v>0</v>
      </c>
      <c r="BA3" s="236">
        <v>0</v>
      </c>
      <c r="BC3" s="234" t="s">
        <v>98</v>
      </c>
      <c r="BD3" s="235">
        <v>0</v>
      </c>
      <c r="BE3" s="236">
        <v>0</v>
      </c>
    </row>
    <row r="4" spans="1:57" ht="18" x14ac:dyDescent="0.25">
      <c r="A4" s="181" t="s">
        <v>269</v>
      </c>
      <c r="B4" s="181">
        <v>2018</v>
      </c>
      <c r="C4" s="181" t="s">
        <v>205</v>
      </c>
      <c r="D4" s="237">
        <v>6574</v>
      </c>
      <c r="E4" s="189">
        <v>0</v>
      </c>
      <c r="F4" s="238">
        <v>6469</v>
      </c>
      <c r="G4" s="189">
        <v>0</v>
      </c>
      <c r="H4" s="189">
        <v>0</v>
      </c>
      <c r="I4" s="238">
        <v>4853</v>
      </c>
      <c r="J4" s="239">
        <v>598</v>
      </c>
      <c r="K4" s="239">
        <v>168</v>
      </c>
      <c r="L4" s="189">
        <v>0</v>
      </c>
      <c r="M4" s="189">
        <v>0</v>
      </c>
      <c r="N4" s="239">
        <v>436</v>
      </c>
      <c r="O4" s="239">
        <v>414</v>
      </c>
      <c r="P4" s="189">
        <v>0</v>
      </c>
      <c r="Q4" s="189">
        <v>0</v>
      </c>
      <c r="R4" s="189">
        <v>0</v>
      </c>
      <c r="S4" s="239">
        <v>105</v>
      </c>
      <c r="T4" s="240">
        <v>18839</v>
      </c>
      <c r="U4" s="192">
        <v>0</v>
      </c>
      <c r="V4" s="241">
        <v>2887</v>
      </c>
      <c r="W4" s="241">
        <v>1193</v>
      </c>
      <c r="X4" s="192">
        <v>0</v>
      </c>
      <c r="Y4" s="242">
        <v>501</v>
      </c>
      <c r="Z4" s="242">
        <v>85</v>
      </c>
      <c r="AA4" s="242">
        <v>1</v>
      </c>
      <c r="AB4" s="242">
        <v>22</v>
      </c>
      <c r="AC4" s="192">
        <v>0</v>
      </c>
      <c r="AD4" s="241">
        <v>5714</v>
      </c>
      <c r="AE4" s="241">
        <v>8436</v>
      </c>
      <c r="AF4" s="192">
        <v>0</v>
      </c>
      <c r="AG4" s="192">
        <v>0</v>
      </c>
      <c r="AH4" s="186">
        <v>0</v>
      </c>
      <c r="AI4" s="243">
        <v>25413</v>
      </c>
      <c r="AK4" s="448" t="s">
        <v>422</v>
      </c>
      <c r="AL4" s="449">
        <v>43447</v>
      </c>
      <c r="AM4" s="450" t="s">
        <v>423</v>
      </c>
      <c r="AN4" s="451">
        <v>12073</v>
      </c>
      <c r="AO4" s="452">
        <v>43282</v>
      </c>
      <c r="AP4" s="453" t="s">
        <v>424</v>
      </c>
      <c r="AQ4" s="455">
        <v>4844</v>
      </c>
      <c r="AU4" s="187" t="s">
        <v>269</v>
      </c>
      <c r="AV4" s="190">
        <f>G4+H4+J4</f>
        <v>598</v>
      </c>
      <c r="AW4" s="233">
        <f t="shared" si="1"/>
        <v>2.3531263526541533E-2</v>
      </c>
      <c r="AY4" s="187" t="s">
        <v>101</v>
      </c>
      <c r="AZ4" s="190">
        <v>0</v>
      </c>
      <c r="BA4" s="233">
        <v>0</v>
      </c>
      <c r="BC4" s="187" t="s">
        <v>101</v>
      </c>
      <c r="BD4" s="190">
        <v>0</v>
      </c>
      <c r="BE4" s="233">
        <v>0</v>
      </c>
    </row>
    <row r="5" spans="1:57" ht="18" x14ac:dyDescent="0.25">
      <c r="A5" s="181" t="s">
        <v>270</v>
      </c>
      <c r="B5" s="181">
        <v>2018</v>
      </c>
      <c r="C5" s="181" t="s">
        <v>205</v>
      </c>
      <c r="D5" s="231">
        <v>1993</v>
      </c>
      <c r="E5" s="183">
        <v>0</v>
      </c>
      <c r="F5" s="232">
        <v>1888</v>
      </c>
      <c r="G5" s="232">
        <v>1888</v>
      </c>
      <c r="H5" s="183">
        <v>0</v>
      </c>
      <c r="I5" s="183">
        <v>0</v>
      </c>
      <c r="J5" s="183">
        <v>0</v>
      </c>
      <c r="K5" s="183">
        <v>0</v>
      </c>
      <c r="L5" s="183">
        <v>0</v>
      </c>
      <c r="M5" s="183">
        <v>0</v>
      </c>
      <c r="N5" s="183">
        <v>0</v>
      </c>
      <c r="O5" s="183">
        <v>0</v>
      </c>
      <c r="P5" s="183">
        <v>0</v>
      </c>
      <c r="Q5" s="230">
        <v>105</v>
      </c>
      <c r="R5" s="183">
        <v>0</v>
      </c>
      <c r="S5" s="183">
        <v>0</v>
      </c>
      <c r="T5" s="231">
        <v>2051</v>
      </c>
      <c r="U5" s="183">
        <v>0</v>
      </c>
      <c r="V5" s="230">
        <v>51</v>
      </c>
      <c r="W5" s="183">
        <v>0</v>
      </c>
      <c r="X5" s="183">
        <v>0</v>
      </c>
      <c r="Y5" s="183">
        <v>0</v>
      </c>
      <c r="Z5" s="183">
        <v>0</v>
      </c>
      <c r="AA5" s="183">
        <v>0</v>
      </c>
      <c r="AB5" s="183">
        <v>0</v>
      </c>
      <c r="AC5" s="232">
        <v>1665</v>
      </c>
      <c r="AD5" s="183">
        <v>0</v>
      </c>
      <c r="AE5" s="230">
        <v>335</v>
      </c>
      <c r="AF5" s="183">
        <v>0</v>
      </c>
      <c r="AG5" s="183">
        <v>0</v>
      </c>
      <c r="AH5" s="183">
        <v>0</v>
      </c>
      <c r="AI5" s="231">
        <v>4044</v>
      </c>
      <c r="AK5" s="448" t="s">
        <v>425</v>
      </c>
      <c r="AL5" s="449">
        <v>43157</v>
      </c>
      <c r="AM5" s="450" t="s">
        <v>426</v>
      </c>
      <c r="AN5" s="451">
        <v>2080</v>
      </c>
      <c r="AO5" s="452">
        <v>43222</v>
      </c>
      <c r="AP5" s="453" t="s">
        <v>421</v>
      </c>
      <c r="AQ5" s="454">
        <v>828</v>
      </c>
      <c r="AU5" s="187" t="s">
        <v>270</v>
      </c>
      <c r="AV5" s="190">
        <f>G5+H5+J5</f>
        <v>1888</v>
      </c>
      <c r="AW5" s="233">
        <f t="shared" si="1"/>
        <v>0.46686449060336299</v>
      </c>
      <c r="AY5" s="187" t="s">
        <v>103</v>
      </c>
      <c r="AZ5" s="190">
        <v>0</v>
      </c>
      <c r="BA5" s="233">
        <v>0</v>
      </c>
      <c r="BC5" s="187" t="s">
        <v>103</v>
      </c>
      <c r="BD5" s="190">
        <v>0</v>
      </c>
      <c r="BE5" s="233">
        <v>0</v>
      </c>
    </row>
    <row r="6" spans="1:57" x14ac:dyDescent="0.25">
      <c r="A6" s="181" t="s">
        <v>272</v>
      </c>
      <c r="B6" s="181">
        <v>2018</v>
      </c>
      <c r="C6" s="181" t="s">
        <v>205</v>
      </c>
      <c r="D6" s="237">
        <v>14907</v>
      </c>
      <c r="E6" s="238">
        <v>5919</v>
      </c>
      <c r="F6" s="238">
        <v>7378</v>
      </c>
      <c r="G6" s="189">
        <v>0</v>
      </c>
      <c r="H6" s="189">
        <v>0</v>
      </c>
      <c r="I6" s="238">
        <v>6974</v>
      </c>
      <c r="J6" s="189">
        <v>0</v>
      </c>
      <c r="K6" s="239">
        <v>404</v>
      </c>
      <c r="L6" s="189">
        <v>0</v>
      </c>
      <c r="M6" s="189">
        <v>0</v>
      </c>
      <c r="N6" s="189">
        <v>0</v>
      </c>
      <c r="O6" s="189">
        <v>0</v>
      </c>
      <c r="P6" s="238">
        <v>1308</v>
      </c>
      <c r="Q6" s="189">
        <v>0</v>
      </c>
      <c r="R6" s="239">
        <v>302</v>
      </c>
      <c r="S6" s="189">
        <v>0</v>
      </c>
      <c r="T6" s="240">
        <v>7764</v>
      </c>
      <c r="U6" s="241">
        <v>1179</v>
      </c>
      <c r="V6" s="241">
        <v>2068</v>
      </c>
      <c r="W6" s="241">
        <v>3581</v>
      </c>
      <c r="X6" s="192">
        <v>0</v>
      </c>
      <c r="Y6" s="242">
        <v>811</v>
      </c>
      <c r="Z6" s="192">
        <v>0</v>
      </c>
      <c r="AA6" s="192">
        <v>0</v>
      </c>
      <c r="AB6" s="192">
        <v>0</v>
      </c>
      <c r="AC6" s="192">
        <v>0</v>
      </c>
      <c r="AD6" s="242">
        <v>125</v>
      </c>
      <c r="AE6" s="192">
        <v>0</v>
      </c>
      <c r="AF6" s="192">
        <v>0</v>
      </c>
      <c r="AG6" s="192">
        <v>0</v>
      </c>
      <c r="AH6" s="186">
        <v>0</v>
      </c>
      <c r="AI6" s="243">
        <v>22671</v>
      </c>
      <c r="AK6" s="448" t="s">
        <v>427</v>
      </c>
      <c r="AL6" s="449">
        <v>43423</v>
      </c>
      <c r="AM6" s="450" t="s">
        <v>426</v>
      </c>
      <c r="AN6" s="451">
        <v>13453</v>
      </c>
      <c r="AO6" s="452">
        <v>43240</v>
      </c>
      <c r="AP6" s="453" t="s">
        <v>428</v>
      </c>
      <c r="AQ6" s="455">
        <v>6067</v>
      </c>
      <c r="AU6" s="187" t="s">
        <v>272</v>
      </c>
      <c r="AV6" s="190">
        <f t="shared" si="0"/>
        <v>0</v>
      </c>
      <c r="AW6" s="233">
        <f t="shared" si="1"/>
        <v>0</v>
      </c>
      <c r="AY6" s="187" t="s">
        <v>198</v>
      </c>
      <c r="AZ6" s="190">
        <v>0</v>
      </c>
      <c r="BA6" s="233">
        <v>0</v>
      </c>
      <c r="BC6" s="187" t="s">
        <v>198</v>
      </c>
      <c r="BD6" s="190">
        <v>0</v>
      </c>
      <c r="BE6" s="233">
        <v>0</v>
      </c>
    </row>
    <row r="7" spans="1:57" ht="18" x14ac:dyDescent="0.25">
      <c r="A7" s="181" t="s">
        <v>273</v>
      </c>
      <c r="B7" s="181">
        <v>2018</v>
      </c>
      <c r="C7" s="181" t="s">
        <v>205</v>
      </c>
      <c r="D7" s="231">
        <v>7435</v>
      </c>
      <c r="E7" s="232">
        <v>1950</v>
      </c>
      <c r="F7" s="232">
        <v>4488</v>
      </c>
      <c r="G7" s="232">
        <v>3558</v>
      </c>
      <c r="H7" s="183">
        <v>0</v>
      </c>
      <c r="I7" s="230">
        <v>755</v>
      </c>
      <c r="J7" s="230">
        <v>175</v>
      </c>
      <c r="K7" s="183">
        <v>0</v>
      </c>
      <c r="L7" s="183">
        <v>0</v>
      </c>
      <c r="M7" s="183">
        <v>0</v>
      </c>
      <c r="N7" s="183">
        <v>0</v>
      </c>
      <c r="O7" s="183">
        <v>0</v>
      </c>
      <c r="P7" s="230">
        <v>864</v>
      </c>
      <c r="Q7" s="230">
        <v>133</v>
      </c>
      <c r="R7" s="183">
        <v>0</v>
      </c>
      <c r="S7" s="183">
        <v>0</v>
      </c>
      <c r="T7" s="231">
        <v>4020</v>
      </c>
      <c r="U7" s="183">
        <v>0</v>
      </c>
      <c r="V7" s="230">
        <v>700</v>
      </c>
      <c r="W7" s="232">
        <v>1052</v>
      </c>
      <c r="X7" s="183">
        <v>0</v>
      </c>
      <c r="Y7" s="230">
        <v>77</v>
      </c>
      <c r="Z7" s="183">
        <v>0</v>
      </c>
      <c r="AA7" s="183">
        <v>0</v>
      </c>
      <c r="AB7" s="183">
        <v>0</v>
      </c>
      <c r="AC7" s="232">
        <v>1534</v>
      </c>
      <c r="AD7" s="230">
        <v>600</v>
      </c>
      <c r="AE7" s="230">
        <v>57</v>
      </c>
      <c r="AF7" s="183">
        <v>0</v>
      </c>
      <c r="AG7" s="183">
        <v>0</v>
      </c>
      <c r="AH7" s="183">
        <v>0</v>
      </c>
      <c r="AI7" s="231">
        <v>11454</v>
      </c>
      <c r="AK7" s="448" t="s">
        <v>429</v>
      </c>
      <c r="AL7" s="449">
        <v>43159</v>
      </c>
      <c r="AM7" s="450" t="s">
        <v>426</v>
      </c>
      <c r="AN7" s="451">
        <v>6469</v>
      </c>
      <c r="AO7" s="452">
        <v>43227</v>
      </c>
      <c r="AP7" s="453" t="s">
        <v>430</v>
      </c>
      <c r="AQ7" s="455">
        <v>2361</v>
      </c>
      <c r="AU7" s="187" t="s">
        <v>273</v>
      </c>
      <c r="AV7" s="190">
        <f t="shared" si="0"/>
        <v>3733</v>
      </c>
      <c r="AW7" s="233">
        <f t="shared" si="1"/>
        <v>0.32591234503230315</v>
      </c>
      <c r="AY7" s="187" t="s">
        <v>199</v>
      </c>
      <c r="AZ7" s="190">
        <v>0</v>
      </c>
      <c r="BA7" s="233">
        <v>0</v>
      </c>
      <c r="BC7" s="187" t="s">
        <v>199</v>
      </c>
      <c r="BD7" s="190">
        <v>0</v>
      </c>
      <c r="BE7" s="233">
        <v>0</v>
      </c>
    </row>
    <row r="8" spans="1:57" ht="18" x14ac:dyDescent="0.25">
      <c r="A8" s="181" t="s">
        <v>275</v>
      </c>
      <c r="B8" s="181">
        <v>2018</v>
      </c>
      <c r="C8" s="181" t="s">
        <v>205</v>
      </c>
      <c r="D8" s="237">
        <v>3544</v>
      </c>
      <c r="E8" s="238">
        <v>3333</v>
      </c>
      <c r="F8" s="189">
        <v>0</v>
      </c>
      <c r="G8" s="189">
        <v>0</v>
      </c>
      <c r="H8" s="189">
        <v>0</v>
      </c>
      <c r="I8" s="189">
        <v>0</v>
      </c>
      <c r="J8" s="189">
        <v>0</v>
      </c>
      <c r="K8" s="189">
        <v>0</v>
      </c>
      <c r="L8" s="189">
        <v>0</v>
      </c>
      <c r="M8" s="189">
        <v>0</v>
      </c>
      <c r="N8" s="189">
        <v>0</v>
      </c>
      <c r="O8" s="189">
        <v>0</v>
      </c>
      <c r="P8" s="189">
        <v>0</v>
      </c>
      <c r="Q8" s="189">
        <v>0</v>
      </c>
      <c r="R8" s="239">
        <v>211</v>
      </c>
      <c r="S8" s="189">
        <v>0</v>
      </c>
      <c r="T8" s="240">
        <v>14351</v>
      </c>
      <c r="U8" s="192">
        <v>0</v>
      </c>
      <c r="V8" s="242">
        <v>75</v>
      </c>
      <c r="W8" s="241">
        <v>1664</v>
      </c>
      <c r="X8" s="192">
        <v>0</v>
      </c>
      <c r="Y8" s="242">
        <v>196</v>
      </c>
      <c r="Z8" s="192">
        <v>0</v>
      </c>
      <c r="AA8" s="192">
        <v>0</v>
      </c>
      <c r="AB8" s="242">
        <v>211</v>
      </c>
      <c r="AC8" s="241">
        <v>8152</v>
      </c>
      <c r="AD8" s="241">
        <v>4053</v>
      </c>
      <c r="AE8" s="192">
        <v>0</v>
      </c>
      <c r="AF8" s="192">
        <v>0</v>
      </c>
      <c r="AG8" s="192">
        <v>0</v>
      </c>
      <c r="AH8" s="186">
        <v>0</v>
      </c>
      <c r="AI8" s="243">
        <v>17895</v>
      </c>
      <c r="AK8" s="448" t="s">
        <v>431</v>
      </c>
      <c r="AL8" s="449">
        <v>43160</v>
      </c>
      <c r="AM8" s="450" t="s">
        <v>432</v>
      </c>
      <c r="AN8" s="451">
        <v>9762</v>
      </c>
      <c r="AO8" s="452">
        <v>43313</v>
      </c>
      <c r="AP8" s="453" t="s">
        <v>433</v>
      </c>
      <c r="AQ8" s="455">
        <v>4476</v>
      </c>
      <c r="AU8" s="187" t="s">
        <v>275</v>
      </c>
      <c r="AV8" s="190">
        <f t="shared" si="0"/>
        <v>0</v>
      </c>
      <c r="AW8" s="233">
        <f t="shared" si="1"/>
        <v>0</v>
      </c>
      <c r="AY8" s="187" t="s">
        <v>200</v>
      </c>
      <c r="AZ8" s="190">
        <v>0</v>
      </c>
      <c r="BA8" s="233">
        <v>0</v>
      </c>
      <c r="BC8" s="187" t="s">
        <v>200</v>
      </c>
      <c r="BD8" s="190">
        <v>0</v>
      </c>
      <c r="BE8" s="233">
        <v>0</v>
      </c>
    </row>
    <row r="9" spans="1:57" x14ac:dyDescent="0.25">
      <c r="A9" s="181" t="s">
        <v>277</v>
      </c>
      <c r="B9" s="181">
        <v>2018</v>
      </c>
      <c r="C9" s="181" t="s">
        <v>205</v>
      </c>
      <c r="D9" s="231">
        <v>1478</v>
      </c>
      <c r="E9" s="183">
        <v>0</v>
      </c>
      <c r="F9" s="232">
        <v>1478</v>
      </c>
      <c r="G9" s="183">
        <v>0</v>
      </c>
      <c r="H9" s="183">
        <v>0</v>
      </c>
      <c r="I9" s="183">
        <v>0</v>
      </c>
      <c r="J9" s="183">
        <v>0</v>
      </c>
      <c r="K9" s="232">
        <v>1478</v>
      </c>
      <c r="L9" s="183">
        <v>0</v>
      </c>
      <c r="M9" s="183">
        <v>0</v>
      </c>
      <c r="N9" s="183">
        <v>0</v>
      </c>
      <c r="O9" s="183">
        <v>0</v>
      </c>
      <c r="P9" s="183">
        <v>0</v>
      </c>
      <c r="Q9" s="183">
        <v>0</v>
      </c>
      <c r="R9" s="183">
        <v>0</v>
      </c>
      <c r="S9" s="183">
        <v>0</v>
      </c>
      <c r="T9" s="229">
        <v>290</v>
      </c>
      <c r="U9" s="183">
        <v>0</v>
      </c>
      <c r="V9" s="230">
        <v>155</v>
      </c>
      <c r="W9" s="183">
        <v>0</v>
      </c>
      <c r="X9" s="183">
        <v>0</v>
      </c>
      <c r="Y9" s="183">
        <v>0</v>
      </c>
      <c r="Z9" s="183">
        <v>0</v>
      </c>
      <c r="AA9" s="183">
        <v>0</v>
      </c>
      <c r="AB9" s="183">
        <v>0</v>
      </c>
      <c r="AC9" s="183">
        <v>0</v>
      </c>
      <c r="AD9" s="183">
        <v>0</v>
      </c>
      <c r="AE9" s="183">
        <v>0</v>
      </c>
      <c r="AF9" s="183">
        <v>0</v>
      </c>
      <c r="AG9" s="230">
        <v>135</v>
      </c>
      <c r="AH9" s="183">
        <v>0</v>
      </c>
      <c r="AI9" s="231">
        <v>1768</v>
      </c>
      <c r="AK9" s="448" t="s">
        <v>434</v>
      </c>
      <c r="AL9" s="449">
        <v>43297</v>
      </c>
      <c r="AM9" s="450" t="s">
        <v>428</v>
      </c>
      <c r="AN9" s="456">
        <v>958</v>
      </c>
      <c r="AO9" s="452">
        <v>43198</v>
      </c>
      <c r="AP9" s="453" t="s">
        <v>435</v>
      </c>
      <c r="AQ9" s="454">
        <v>308</v>
      </c>
      <c r="AU9" s="187" t="s">
        <v>277</v>
      </c>
      <c r="AV9" s="190">
        <f t="shared" si="0"/>
        <v>0</v>
      </c>
      <c r="AW9" s="233">
        <f t="shared" si="1"/>
        <v>0</v>
      </c>
      <c r="AY9" s="187" t="s">
        <v>116</v>
      </c>
      <c r="AZ9" s="190">
        <v>0</v>
      </c>
      <c r="BA9" s="233">
        <v>0</v>
      </c>
      <c r="BC9" s="187" t="s">
        <v>116</v>
      </c>
      <c r="BD9" s="190">
        <v>0</v>
      </c>
      <c r="BE9" s="233">
        <v>0</v>
      </c>
    </row>
    <row r="10" spans="1:57" ht="18" x14ac:dyDescent="0.25">
      <c r="A10" s="181" t="s">
        <v>278</v>
      </c>
      <c r="B10" s="181">
        <v>2018</v>
      </c>
      <c r="C10" s="181" t="s">
        <v>205</v>
      </c>
      <c r="D10" s="237">
        <v>16568</v>
      </c>
      <c r="E10" s="238">
        <v>4040</v>
      </c>
      <c r="F10" s="238">
        <v>11256</v>
      </c>
      <c r="G10" s="238">
        <v>8450</v>
      </c>
      <c r="H10" s="239">
        <v>380</v>
      </c>
      <c r="I10" s="238">
        <v>1226</v>
      </c>
      <c r="J10" s="238">
        <v>1200</v>
      </c>
      <c r="K10" s="189">
        <v>0</v>
      </c>
      <c r="L10" s="189">
        <v>0</v>
      </c>
      <c r="M10" s="189">
        <v>0</v>
      </c>
      <c r="N10" s="189">
        <v>0</v>
      </c>
      <c r="O10" s="189">
        <v>0</v>
      </c>
      <c r="P10" s="238">
        <v>1172</v>
      </c>
      <c r="Q10" s="189">
        <v>0</v>
      </c>
      <c r="R10" s="239">
        <v>100</v>
      </c>
      <c r="S10" s="189">
        <v>0</v>
      </c>
      <c r="T10" s="240">
        <v>4252</v>
      </c>
      <c r="U10" s="192">
        <v>0</v>
      </c>
      <c r="V10" s="242">
        <v>316</v>
      </c>
      <c r="W10" s="241">
        <v>2049</v>
      </c>
      <c r="X10" s="192">
        <v>0</v>
      </c>
      <c r="Y10" s="242">
        <v>400</v>
      </c>
      <c r="Z10" s="242">
        <v>400</v>
      </c>
      <c r="AA10" s="192">
        <v>0</v>
      </c>
      <c r="AB10" s="192">
        <v>0</v>
      </c>
      <c r="AC10" s="242">
        <v>753</v>
      </c>
      <c r="AD10" s="242">
        <v>334</v>
      </c>
      <c r="AE10" s="192">
        <v>0</v>
      </c>
      <c r="AF10" s="192">
        <v>0</v>
      </c>
      <c r="AG10" s="192">
        <v>0</v>
      </c>
      <c r="AH10" s="186">
        <v>0</v>
      </c>
      <c r="AI10" s="243">
        <v>20820</v>
      </c>
      <c r="AK10" s="448" t="s">
        <v>436</v>
      </c>
      <c r="AL10" s="449">
        <v>43159</v>
      </c>
      <c r="AM10" s="450" t="s">
        <v>437</v>
      </c>
      <c r="AN10" s="451">
        <v>11142</v>
      </c>
      <c r="AO10" s="452">
        <v>43289</v>
      </c>
      <c r="AP10" s="453" t="s">
        <v>438</v>
      </c>
      <c r="AQ10" s="455">
        <v>4618</v>
      </c>
      <c r="AU10" s="187" t="s">
        <v>278</v>
      </c>
      <c r="AV10" s="190">
        <f t="shared" si="0"/>
        <v>10030</v>
      </c>
      <c r="AW10" s="233">
        <f t="shared" si="1"/>
        <v>0.48174831892411141</v>
      </c>
      <c r="AY10" s="187" t="s">
        <v>117</v>
      </c>
      <c r="AZ10" s="190">
        <v>0</v>
      </c>
      <c r="BA10" s="233">
        <v>0</v>
      </c>
      <c r="BC10" s="187" t="s">
        <v>117</v>
      </c>
      <c r="BD10" s="190">
        <v>0</v>
      </c>
      <c r="BE10" s="233">
        <v>0</v>
      </c>
    </row>
    <row r="11" spans="1:57" ht="18" x14ac:dyDescent="0.25">
      <c r="A11" s="181" t="s">
        <v>279</v>
      </c>
      <c r="B11" s="181">
        <v>2018</v>
      </c>
      <c r="C11" s="181" t="s">
        <v>205</v>
      </c>
      <c r="D11" s="231">
        <v>99933</v>
      </c>
      <c r="E11" s="232">
        <v>9516</v>
      </c>
      <c r="F11" s="232">
        <v>83170</v>
      </c>
      <c r="G11" s="232">
        <v>21110</v>
      </c>
      <c r="H11" s="183">
        <v>0</v>
      </c>
      <c r="I11" s="232">
        <v>31614</v>
      </c>
      <c r="J11" s="232">
        <v>24645</v>
      </c>
      <c r="K11" s="232">
        <v>4440</v>
      </c>
      <c r="L11" s="183">
        <v>0</v>
      </c>
      <c r="M11" s="183">
        <v>0</v>
      </c>
      <c r="N11" s="232">
        <v>1361</v>
      </c>
      <c r="O11" s="183">
        <v>0</v>
      </c>
      <c r="P11" s="232">
        <v>5294</v>
      </c>
      <c r="Q11" s="232">
        <v>1062</v>
      </c>
      <c r="R11" s="230">
        <v>892</v>
      </c>
      <c r="S11" s="183">
        <v>0</v>
      </c>
      <c r="T11" s="231">
        <v>115112</v>
      </c>
      <c r="U11" s="232">
        <v>6385</v>
      </c>
      <c r="V11" s="232">
        <v>51844</v>
      </c>
      <c r="W11" s="232">
        <v>43922</v>
      </c>
      <c r="X11" s="183">
        <v>0</v>
      </c>
      <c r="Y11" s="232">
        <v>7570</v>
      </c>
      <c r="Z11" s="183">
        <v>0</v>
      </c>
      <c r="AA11" s="230">
        <v>42</v>
      </c>
      <c r="AB11" s="230">
        <v>892</v>
      </c>
      <c r="AC11" s="230">
        <v>205</v>
      </c>
      <c r="AD11" s="232">
        <v>3781</v>
      </c>
      <c r="AE11" s="183">
        <v>0</v>
      </c>
      <c r="AF11" s="183">
        <v>0</v>
      </c>
      <c r="AG11" s="230">
        <v>472</v>
      </c>
      <c r="AH11" s="183">
        <v>0</v>
      </c>
      <c r="AI11" s="231">
        <v>215046</v>
      </c>
      <c r="AK11" s="448" t="s">
        <v>439</v>
      </c>
      <c r="AL11" s="449">
        <v>43159</v>
      </c>
      <c r="AM11" s="450" t="s">
        <v>440</v>
      </c>
      <c r="AN11" s="451">
        <v>79074</v>
      </c>
      <c r="AO11" s="452">
        <v>43240</v>
      </c>
      <c r="AP11" s="453" t="s">
        <v>438</v>
      </c>
      <c r="AQ11" s="455">
        <v>35718</v>
      </c>
      <c r="AU11" s="187" t="s">
        <v>279</v>
      </c>
      <c r="AV11" s="190">
        <f t="shared" si="0"/>
        <v>45755</v>
      </c>
      <c r="AW11" s="233">
        <f t="shared" si="1"/>
        <v>0.21276843094035694</v>
      </c>
      <c r="AY11" s="187" t="s">
        <v>201</v>
      </c>
      <c r="AZ11" s="190">
        <v>0</v>
      </c>
      <c r="BA11" s="233">
        <v>0</v>
      </c>
      <c r="BC11" s="187" t="s">
        <v>201</v>
      </c>
      <c r="BD11" s="190">
        <v>0</v>
      </c>
      <c r="BE11" s="233">
        <v>0</v>
      </c>
    </row>
    <row r="12" spans="1:57" ht="18" x14ac:dyDescent="0.25">
      <c r="A12" s="181" t="s">
        <v>281</v>
      </c>
      <c r="B12" s="181">
        <v>2018</v>
      </c>
      <c r="C12" s="181" t="s">
        <v>205</v>
      </c>
      <c r="D12" s="237">
        <v>6536</v>
      </c>
      <c r="E12" s="189">
        <v>0</v>
      </c>
      <c r="F12" s="238">
        <v>6536</v>
      </c>
      <c r="G12" s="189">
        <v>0</v>
      </c>
      <c r="H12" s="189">
        <v>0</v>
      </c>
      <c r="I12" s="238">
        <v>1829</v>
      </c>
      <c r="J12" s="238">
        <v>3656</v>
      </c>
      <c r="K12" s="238">
        <v>1007</v>
      </c>
      <c r="L12" s="189">
        <v>0</v>
      </c>
      <c r="M12" s="189">
        <v>0</v>
      </c>
      <c r="N12" s="239">
        <v>44</v>
      </c>
      <c r="O12" s="189">
        <v>0</v>
      </c>
      <c r="P12" s="189">
        <v>0</v>
      </c>
      <c r="Q12" s="189">
        <v>0</v>
      </c>
      <c r="R12" s="189">
        <v>0</v>
      </c>
      <c r="S12" s="189">
        <v>0</v>
      </c>
      <c r="T12" s="240">
        <v>9519</v>
      </c>
      <c r="U12" s="241">
        <v>1701</v>
      </c>
      <c r="V12" s="241">
        <v>4423</v>
      </c>
      <c r="W12" s="241">
        <v>1000</v>
      </c>
      <c r="X12" s="192">
        <v>0</v>
      </c>
      <c r="Y12" s="241">
        <v>1954</v>
      </c>
      <c r="Z12" s="242">
        <v>112</v>
      </c>
      <c r="AA12" s="192">
        <v>0</v>
      </c>
      <c r="AB12" s="242">
        <v>323</v>
      </c>
      <c r="AC12" s="192">
        <v>0</v>
      </c>
      <c r="AD12" s="242">
        <v>7</v>
      </c>
      <c r="AE12" s="192">
        <v>0</v>
      </c>
      <c r="AF12" s="192">
        <v>0</v>
      </c>
      <c r="AG12" s="192">
        <v>0</v>
      </c>
      <c r="AH12" s="186">
        <v>0</v>
      </c>
      <c r="AI12" s="243">
        <v>16055</v>
      </c>
      <c r="AK12" s="448" t="s">
        <v>441</v>
      </c>
      <c r="AL12" s="449">
        <v>43159</v>
      </c>
      <c r="AM12" s="450" t="s">
        <v>426</v>
      </c>
      <c r="AN12" s="451">
        <v>6076</v>
      </c>
      <c r="AO12" s="452">
        <v>43324</v>
      </c>
      <c r="AP12" s="453" t="s">
        <v>438</v>
      </c>
      <c r="AQ12" s="455">
        <v>2294</v>
      </c>
      <c r="AU12" s="187" t="s">
        <v>281</v>
      </c>
      <c r="AV12" s="190">
        <f t="shared" si="0"/>
        <v>3656</v>
      </c>
      <c r="AW12" s="233">
        <f t="shared" si="1"/>
        <v>0.22771722204920586</v>
      </c>
      <c r="AY12" s="187" t="s">
        <v>121</v>
      </c>
      <c r="AZ12" s="190">
        <v>0</v>
      </c>
      <c r="BA12" s="233">
        <v>0</v>
      </c>
      <c r="BC12" s="187" t="s">
        <v>121</v>
      </c>
      <c r="BD12" s="190">
        <v>0</v>
      </c>
      <c r="BE12" s="233">
        <v>0</v>
      </c>
    </row>
    <row r="13" spans="1:57" ht="18" x14ac:dyDescent="0.25">
      <c r="A13" s="181" t="s">
        <v>282</v>
      </c>
      <c r="B13" s="181">
        <v>2018</v>
      </c>
      <c r="C13" s="181" t="s">
        <v>205</v>
      </c>
      <c r="D13" s="231">
        <v>2378</v>
      </c>
      <c r="E13" s="183">
        <v>0</v>
      </c>
      <c r="F13" s="232">
        <v>2351</v>
      </c>
      <c r="G13" s="183">
        <v>0</v>
      </c>
      <c r="H13" s="183">
        <v>0</v>
      </c>
      <c r="I13" s="230">
        <v>200</v>
      </c>
      <c r="J13" s="183">
        <v>0</v>
      </c>
      <c r="K13" s="230">
        <v>9</v>
      </c>
      <c r="L13" s="232">
        <v>1903</v>
      </c>
      <c r="M13" s="183">
        <v>0</v>
      </c>
      <c r="N13" s="230">
        <v>240</v>
      </c>
      <c r="O13" s="183">
        <v>0</v>
      </c>
      <c r="P13" s="183">
        <v>0</v>
      </c>
      <c r="Q13" s="183">
        <v>0</v>
      </c>
      <c r="R13" s="230">
        <v>17</v>
      </c>
      <c r="S13" s="230">
        <v>10</v>
      </c>
      <c r="T13" s="229">
        <v>454</v>
      </c>
      <c r="U13" s="183">
        <v>0</v>
      </c>
      <c r="V13" s="230">
        <v>341</v>
      </c>
      <c r="W13" s="230">
        <v>9</v>
      </c>
      <c r="X13" s="183">
        <v>0</v>
      </c>
      <c r="Y13" s="230">
        <v>86</v>
      </c>
      <c r="Z13" s="230">
        <v>6</v>
      </c>
      <c r="AA13" s="183">
        <v>0</v>
      </c>
      <c r="AB13" s="230">
        <v>3</v>
      </c>
      <c r="AC13" s="183">
        <v>0</v>
      </c>
      <c r="AD13" s="230">
        <v>9</v>
      </c>
      <c r="AE13" s="183">
        <v>0</v>
      </c>
      <c r="AF13" s="183">
        <v>0</v>
      </c>
      <c r="AG13" s="183">
        <v>0</v>
      </c>
      <c r="AH13" s="183">
        <v>0</v>
      </c>
      <c r="AI13" s="231">
        <v>2832</v>
      </c>
      <c r="AK13" s="448" t="s">
        <v>442</v>
      </c>
      <c r="AL13" s="449">
        <v>43160</v>
      </c>
      <c r="AM13" s="450" t="s">
        <v>443</v>
      </c>
      <c r="AN13" s="451">
        <v>1532</v>
      </c>
      <c r="AO13" s="452">
        <v>43244</v>
      </c>
      <c r="AP13" s="453" t="s">
        <v>421</v>
      </c>
      <c r="AQ13" s="454">
        <v>452</v>
      </c>
      <c r="AU13" s="187" t="s">
        <v>282</v>
      </c>
      <c r="AV13" s="190">
        <f t="shared" si="0"/>
        <v>0</v>
      </c>
      <c r="AW13" s="233">
        <f t="shared" si="1"/>
        <v>0</v>
      </c>
      <c r="AY13" s="187" t="s">
        <v>126</v>
      </c>
      <c r="AZ13" s="190">
        <v>205</v>
      </c>
      <c r="BA13" s="233">
        <v>5.1368146737496238E-3</v>
      </c>
      <c r="BC13" s="187" t="s">
        <v>126</v>
      </c>
      <c r="BD13" s="190">
        <v>205</v>
      </c>
      <c r="BE13" s="233">
        <v>5.1368146737496238E-3</v>
      </c>
    </row>
    <row r="14" spans="1:57" ht="18" x14ac:dyDescent="0.25">
      <c r="A14" s="181" t="s">
        <v>283</v>
      </c>
      <c r="B14" s="181">
        <v>2018</v>
      </c>
      <c r="C14" s="181" t="s">
        <v>205</v>
      </c>
      <c r="D14" s="237">
        <v>55482</v>
      </c>
      <c r="E14" s="238">
        <v>7117</v>
      </c>
      <c r="F14" s="238">
        <v>44449</v>
      </c>
      <c r="G14" s="238">
        <v>1056</v>
      </c>
      <c r="H14" s="189">
        <v>0</v>
      </c>
      <c r="I14" s="238">
        <v>31184</v>
      </c>
      <c r="J14" s="238">
        <v>8975</v>
      </c>
      <c r="K14" s="238">
        <v>3235</v>
      </c>
      <c r="L14" s="189">
        <v>0</v>
      </c>
      <c r="M14" s="189">
        <v>0</v>
      </c>
      <c r="N14" s="189">
        <v>0</v>
      </c>
      <c r="O14" s="189">
        <v>0</v>
      </c>
      <c r="P14" s="238">
        <v>3329</v>
      </c>
      <c r="Q14" s="189">
        <v>0</v>
      </c>
      <c r="R14" s="239">
        <v>518</v>
      </c>
      <c r="S14" s="239">
        <v>68</v>
      </c>
      <c r="T14" s="240">
        <v>48612</v>
      </c>
      <c r="U14" s="192">
        <v>0</v>
      </c>
      <c r="V14" s="241">
        <v>23507</v>
      </c>
      <c r="W14" s="241">
        <v>4714</v>
      </c>
      <c r="X14" s="241">
        <v>2304</v>
      </c>
      <c r="Y14" s="242">
        <v>628</v>
      </c>
      <c r="Z14" s="242">
        <v>232</v>
      </c>
      <c r="AA14" s="192">
        <v>0</v>
      </c>
      <c r="AB14" s="242">
        <v>162</v>
      </c>
      <c r="AC14" s="241">
        <v>12034</v>
      </c>
      <c r="AD14" s="241">
        <v>1942</v>
      </c>
      <c r="AE14" s="241">
        <v>3073</v>
      </c>
      <c r="AF14" s="192">
        <v>0</v>
      </c>
      <c r="AG14" s="242">
        <v>16</v>
      </c>
      <c r="AH14" s="186">
        <v>0</v>
      </c>
      <c r="AI14" s="243">
        <v>104094</v>
      </c>
      <c r="AK14" s="448" t="s">
        <v>444</v>
      </c>
      <c r="AL14" s="449">
        <v>43139</v>
      </c>
      <c r="AM14" s="450" t="s">
        <v>445</v>
      </c>
      <c r="AN14" s="451">
        <v>40611</v>
      </c>
      <c r="AO14" s="452">
        <v>43459</v>
      </c>
      <c r="AP14" s="453" t="s">
        <v>438</v>
      </c>
      <c r="AQ14" s="455">
        <v>18031</v>
      </c>
      <c r="AU14" s="187" t="s">
        <v>283</v>
      </c>
      <c r="AV14" s="190">
        <f t="shared" si="0"/>
        <v>10031</v>
      </c>
      <c r="AW14" s="233">
        <f t="shared" si="1"/>
        <v>9.6364824101293059E-2</v>
      </c>
      <c r="AY14" s="187" t="s">
        <v>118</v>
      </c>
      <c r="AZ14" s="190">
        <v>220</v>
      </c>
      <c r="BA14" s="233">
        <v>0.23109243697478993</v>
      </c>
      <c r="BC14" s="187" t="s">
        <v>109</v>
      </c>
      <c r="BD14" s="190">
        <v>2997</v>
      </c>
      <c r="BE14" s="233">
        <v>2.2556051449171742E-2</v>
      </c>
    </row>
    <row r="15" spans="1:57" ht="18" x14ac:dyDescent="0.25">
      <c r="A15" s="181" t="s">
        <v>284</v>
      </c>
      <c r="B15" s="181">
        <v>2018</v>
      </c>
      <c r="C15" s="181" t="s">
        <v>205</v>
      </c>
      <c r="D15" s="231">
        <v>10036</v>
      </c>
      <c r="E15" s="232">
        <v>2785</v>
      </c>
      <c r="F15" s="232">
        <v>6759</v>
      </c>
      <c r="G15" s="183">
        <v>0</v>
      </c>
      <c r="H15" s="183">
        <v>0</v>
      </c>
      <c r="I15" s="232">
        <v>1912</v>
      </c>
      <c r="J15" s="232">
        <v>2278</v>
      </c>
      <c r="K15" s="232">
        <v>1434</v>
      </c>
      <c r="L15" s="183">
        <v>0</v>
      </c>
      <c r="M15" s="232">
        <v>1135</v>
      </c>
      <c r="N15" s="183">
        <v>0</v>
      </c>
      <c r="O15" s="183">
        <v>0</v>
      </c>
      <c r="P15" s="183">
        <v>0</v>
      </c>
      <c r="Q15" s="183">
        <v>0</v>
      </c>
      <c r="R15" s="230">
        <v>158</v>
      </c>
      <c r="S15" s="230">
        <v>334</v>
      </c>
      <c r="T15" s="231">
        <v>7335</v>
      </c>
      <c r="U15" s="183">
        <v>0</v>
      </c>
      <c r="V15" s="232">
        <v>2013</v>
      </c>
      <c r="W15" s="230">
        <v>113</v>
      </c>
      <c r="X15" s="183">
        <v>0</v>
      </c>
      <c r="Y15" s="232">
        <v>1804</v>
      </c>
      <c r="Z15" s="183">
        <v>0</v>
      </c>
      <c r="AA15" s="183">
        <v>0</v>
      </c>
      <c r="AB15" s="183">
        <v>0</v>
      </c>
      <c r="AC15" s="183">
        <v>0</v>
      </c>
      <c r="AD15" s="232">
        <v>3148</v>
      </c>
      <c r="AE15" s="183">
        <v>0</v>
      </c>
      <c r="AF15" s="183">
        <v>0</v>
      </c>
      <c r="AG15" s="230">
        <v>257</v>
      </c>
      <c r="AH15" s="183">
        <v>0</v>
      </c>
      <c r="AI15" s="231">
        <v>17371</v>
      </c>
      <c r="AK15" s="448" t="s">
        <v>446</v>
      </c>
      <c r="AL15" s="449">
        <v>43159</v>
      </c>
      <c r="AM15" s="450" t="s">
        <v>443</v>
      </c>
      <c r="AN15" s="451">
        <v>14155</v>
      </c>
      <c r="AO15" s="452">
        <v>43275</v>
      </c>
      <c r="AP15" s="453" t="s">
        <v>421</v>
      </c>
      <c r="AQ15" s="455">
        <v>6581</v>
      </c>
      <c r="AU15" s="187" t="s">
        <v>284</v>
      </c>
      <c r="AV15" s="190">
        <f t="shared" si="0"/>
        <v>2278</v>
      </c>
      <c r="AW15" s="233">
        <f t="shared" si="1"/>
        <v>0.1311381037361119</v>
      </c>
      <c r="AY15" s="187" t="s">
        <v>112</v>
      </c>
      <c r="AZ15" s="190">
        <v>325</v>
      </c>
      <c r="BA15" s="233">
        <v>6.7259933774834441E-2</v>
      </c>
      <c r="BC15" s="187" t="s">
        <v>99</v>
      </c>
      <c r="BD15" s="190">
        <v>598</v>
      </c>
      <c r="BE15" s="233">
        <v>2.3531263526541533E-2</v>
      </c>
    </row>
    <row r="16" spans="1:57" ht="18" x14ac:dyDescent="0.25">
      <c r="A16" s="181" t="s">
        <v>285</v>
      </c>
      <c r="B16" s="181">
        <v>2018</v>
      </c>
      <c r="C16" s="181" t="s">
        <v>205</v>
      </c>
      <c r="D16" s="237">
        <v>81718</v>
      </c>
      <c r="E16" s="238">
        <v>63130</v>
      </c>
      <c r="F16" s="238">
        <v>18588</v>
      </c>
      <c r="G16" s="189">
        <v>0</v>
      </c>
      <c r="H16" s="189">
        <v>0</v>
      </c>
      <c r="I16" s="238">
        <v>12151</v>
      </c>
      <c r="J16" s="238">
        <v>2997</v>
      </c>
      <c r="K16" s="238">
        <v>3441</v>
      </c>
      <c r="L16" s="189">
        <v>0</v>
      </c>
      <c r="M16" s="189">
        <v>0</v>
      </c>
      <c r="N16" s="189">
        <v>0</v>
      </c>
      <c r="O16" s="189">
        <v>0</v>
      </c>
      <c r="P16" s="189">
        <v>0</v>
      </c>
      <c r="Q16" s="189">
        <v>0</v>
      </c>
      <c r="R16" s="189">
        <v>0</v>
      </c>
      <c r="S16" s="189">
        <v>0</v>
      </c>
      <c r="T16" s="240">
        <v>51151</v>
      </c>
      <c r="U16" s="192">
        <v>0</v>
      </c>
      <c r="V16" s="241">
        <v>15084</v>
      </c>
      <c r="W16" s="241">
        <v>8526</v>
      </c>
      <c r="X16" s="192">
        <v>0</v>
      </c>
      <c r="Y16" s="242">
        <v>691</v>
      </c>
      <c r="Z16" s="242">
        <v>452</v>
      </c>
      <c r="AA16" s="192">
        <v>0</v>
      </c>
      <c r="AB16" s="242">
        <v>883</v>
      </c>
      <c r="AC16" s="192">
        <v>0</v>
      </c>
      <c r="AD16" s="241">
        <v>21092</v>
      </c>
      <c r="AE16" s="241">
        <v>2455</v>
      </c>
      <c r="AF16" s="242">
        <v>240</v>
      </c>
      <c r="AG16" s="241">
        <v>1728</v>
      </c>
      <c r="AH16" s="186">
        <v>0</v>
      </c>
      <c r="AI16" s="243">
        <v>132869</v>
      </c>
      <c r="AK16" s="448" t="s">
        <v>447</v>
      </c>
      <c r="AL16" s="449">
        <v>43159</v>
      </c>
      <c r="AM16" s="450" t="s">
        <v>426</v>
      </c>
      <c r="AN16" s="451">
        <v>96328</v>
      </c>
      <c r="AO16" s="452">
        <v>43324</v>
      </c>
      <c r="AP16" s="453" t="s">
        <v>433</v>
      </c>
      <c r="AQ16" s="455">
        <v>30448</v>
      </c>
      <c r="AU16" s="187" t="s">
        <v>285</v>
      </c>
      <c r="AV16" s="190">
        <f t="shared" si="0"/>
        <v>2997</v>
      </c>
      <c r="AW16" s="233">
        <f t="shared" si="1"/>
        <v>2.2556051449171742E-2</v>
      </c>
      <c r="AY16" s="187" t="s">
        <v>128</v>
      </c>
      <c r="AZ16" s="190">
        <v>566</v>
      </c>
      <c r="BA16" s="233">
        <v>7.3240165631469983E-2</v>
      </c>
      <c r="BC16" s="187" t="s">
        <v>115</v>
      </c>
      <c r="BD16" s="190">
        <v>7752</v>
      </c>
      <c r="BE16" s="233">
        <v>5.920494902050636E-2</v>
      </c>
    </row>
    <row r="17" spans="1:57" ht="18" x14ac:dyDescent="0.25">
      <c r="A17" s="181" t="s">
        <v>287</v>
      </c>
      <c r="B17" s="181">
        <v>2018</v>
      </c>
      <c r="C17" s="181" t="s">
        <v>205</v>
      </c>
      <c r="D17" s="231">
        <v>51078</v>
      </c>
      <c r="E17" s="232">
        <v>9160</v>
      </c>
      <c r="F17" s="232">
        <v>41918</v>
      </c>
      <c r="G17" s="183">
        <v>0</v>
      </c>
      <c r="H17" s="183">
        <v>0</v>
      </c>
      <c r="I17" s="232">
        <v>30176</v>
      </c>
      <c r="J17" s="232">
        <v>10860</v>
      </c>
      <c r="K17" s="230">
        <v>882</v>
      </c>
      <c r="L17" s="183">
        <v>0</v>
      </c>
      <c r="M17" s="183">
        <v>0</v>
      </c>
      <c r="N17" s="183">
        <v>0</v>
      </c>
      <c r="O17" s="183">
        <v>0</v>
      </c>
      <c r="P17" s="183">
        <v>0</v>
      </c>
      <c r="Q17" s="183">
        <v>0</v>
      </c>
      <c r="R17" s="183">
        <v>0</v>
      </c>
      <c r="S17" s="183">
        <v>0</v>
      </c>
      <c r="T17" s="231">
        <v>39129</v>
      </c>
      <c r="U17" s="232">
        <v>6610</v>
      </c>
      <c r="V17" s="232">
        <v>13604</v>
      </c>
      <c r="W17" s="232">
        <v>13100</v>
      </c>
      <c r="X17" s="183">
        <v>0</v>
      </c>
      <c r="Y17" s="232">
        <v>2016</v>
      </c>
      <c r="Z17" s="230">
        <v>1</v>
      </c>
      <c r="AA17" s="183">
        <v>0</v>
      </c>
      <c r="AB17" s="230">
        <v>5</v>
      </c>
      <c r="AC17" s="232">
        <v>2830</v>
      </c>
      <c r="AD17" s="230">
        <v>963</v>
      </c>
      <c r="AE17" s="183">
        <v>0</v>
      </c>
      <c r="AF17" s="183">
        <v>0</v>
      </c>
      <c r="AG17" s="183">
        <v>0</v>
      </c>
      <c r="AH17" s="183">
        <v>0</v>
      </c>
      <c r="AI17" s="231">
        <v>90207</v>
      </c>
      <c r="AK17" s="493" t="s">
        <v>110</v>
      </c>
      <c r="AL17" s="449">
        <v>43157</v>
      </c>
      <c r="AM17" s="450" t="s">
        <v>440</v>
      </c>
      <c r="AN17" s="451">
        <v>61437</v>
      </c>
      <c r="AO17" s="452">
        <v>43310</v>
      </c>
      <c r="AP17" s="453" t="s">
        <v>433</v>
      </c>
      <c r="AQ17" s="455">
        <v>20369</v>
      </c>
      <c r="AU17" s="187" t="s">
        <v>287</v>
      </c>
      <c r="AV17" s="190">
        <f t="shared" si="0"/>
        <v>10860</v>
      </c>
      <c r="AW17" s="233">
        <f t="shared" si="1"/>
        <v>0.12038977019521767</v>
      </c>
      <c r="AY17" s="187" t="s">
        <v>99</v>
      </c>
      <c r="AZ17" s="190">
        <v>598</v>
      </c>
      <c r="BA17" s="233">
        <v>2.3531263526541533E-2</v>
      </c>
      <c r="BC17" s="187" t="s">
        <v>112</v>
      </c>
      <c r="BD17" s="190">
        <v>325</v>
      </c>
      <c r="BE17" s="233">
        <v>6.7259933774834441E-2</v>
      </c>
    </row>
    <row r="18" spans="1:57" ht="18" x14ac:dyDescent="0.25">
      <c r="A18" s="181" t="s">
        <v>289</v>
      </c>
      <c r="B18" s="181">
        <v>2018</v>
      </c>
      <c r="C18" s="181" t="s">
        <v>205</v>
      </c>
      <c r="D18" s="237">
        <v>8172</v>
      </c>
      <c r="E18" s="189">
        <v>0</v>
      </c>
      <c r="F18" s="238">
        <v>8172</v>
      </c>
      <c r="G18" s="238">
        <v>3904</v>
      </c>
      <c r="H18" s="189">
        <v>0</v>
      </c>
      <c r="I18" s="238">
        <v>4269</v>
      </c>
      <c r="J18" s="189">
        <v>0</v>
      </c>
      <c r="K18" s="189">
        <v>0</v>
      </c>
      <c r="L18" s="189">
        <v>0</v>
      </c>
      <c r="M18" s="189">
        <v>0</v>
      </c>
      <c r="N18" s="189">
        <v>0</v>
      </c>
      <c r="O18" s="189">
        <v>0</v>
      </c>
      <c r="P18" s="189">
        <v>0</v>
      </c>
      <c r="Q18" s="189">
        <v>0</v>
      </c>
      <c r="R18" s="189">
        <v>0</v>
      </c>
      <c r="S18" s="189">
        <v>0</v>
      </c>
      <c r="T18" s="240">
        <v>8220</v>
      </c>
      <c r="U18" s="192">
        <v>0</v>
      </c>
      <c r="V18" s="241">
        <v>2082</v>
      </c>
      <c r="W18" s="241">
        <v>2448</v>
      </c>
      <c r="X18" s="192">
        <v>0</v>
      </c>
      <c r="Y18" s="242">
        <v>60</v>
      </c>
      <c r="Z18" s="192">
        <v>0</v>
      </c>
      <c r="AA18" s="192">
        <v>0</v>
      </c>
      <c r="AB18" s="192">
        <v>0</v>
      </c>
      <c r="AC18" s="241">
        <v>2470</v>
      </c>
      <c r="AD18" s="242">
        <v>230</v>
      </c>
      <c r="AE18" s="242">
        <v>699</v>
      </c>
      <c r="AF18" s="192">
        <v>0</v>
      </c>
      <c r="AG18" s="242">
        <v>230</v>
      </c>
      <c r="AH18" s="186">
        <v>0</v>
      </c>
      <c r="AI18" s="243">
        <v>16392</v>
      </c>
      <c r="AK18" s="448" t="s">
        <v>448</v>
      </c>
      <c r="AL18" s="449">
        <v>43298</v>
      </c>
      <c r="AM18" s="450" t="s">
        <v>449</v>
      </c>
      <c r="AN18" s="451">
        <v>9062</v>
      </c>
      <c r="AO18" s="452">
        <v>43199</v>
      </c>
      <c r="AP18" s="453" t="s">
        <v>424</v>
      </c>
      <c r="AQ18" s="455">
        <v>3437</v>
      </c>
      <c r="AU18" s="187" t="s">
        <v>289</v>
      </c>
      <c r="AV18" s="190">
        <f t="shared" si="0"/>
        <v>3904</v>
      </c>
      <c r="AW18" s="233">
        <f t="shared" si="1"/>
        <v>0.23816495851634945</v>
      </c>
      <c r="AY18" s="187" t="s">
        <v>119</v>
      </c>
      <c r="AZ18" s="190">
        <v>718</v>
      </c>
      <c r="BA18" s="233">
        <v>0.3790918690601901</v>
      </c>
      <c r="BC18" s="187" t="s">
        <v>128</v>
      </c>
      <c r="BD18" s="190">
        <v>566</v>
      </c>
      <c r="BE18" s="233">
        <v>7.3240165631469983E-2</v>
      </c>
    </row>
    <row r="19" spans="1:57" ht="18" x14ac:dyDescent="0.25">
      <c r="A19" s="181" t="s">
        <v>291</v>
      </c>
      <c r="B19" s="181">
        <v>2018</v>
      </c>
      <c r="C19" s="181" t="s">
        <v>205</v>
      </c>
      <c r="D19" s="231">
        <v>2018</v>
      </c>
      <c r="E19" s="183">
        <v>0</v>
      </c>
      <c r="F19" s="232">
        <v>2018</v>
      </c>
      <c r="G19" s="183">
        <v>0</v>
      </c>
      <c r="H19" s="183">
        <v>0</v>
      </c>
      <c r="I19" s="230">
        <v>743</v>
      </c>
      <c r="J19" s="230">
        <v>325</v>
      </c>
      <c r="K19" s="230">
        <v>320</v>
      </c>
      <c r="L19" s="183">
        <v>0</v>
      </c>
      <c r="M19" s="183">
        <v>0</v>
      </c>
      <c r="N19" s="230">
        <v>630</v>
      </c>
      <c r="O19" s="183">
        <v>0</v>
      </c>
      <c r="P19" s="183">
        <v>0</v>
      </c>
      <c r="Q19" s="183">
        <v>0</v>
      </c>
      <c r="R19" s="183">
        <v>0</v>
      </c>
      <c r="S19" s="183">
        <v>0</v>
      </c>
      <c r="T19" s="231">
        <v>2814</v>
      </c>
      <c r="U19" s="183">
        <v>0</v>
      </c>
      <c r="V19" s="230">
        <v>556</v>
      </c>
      <c r="W19" s="230">
        <v>52</v>
      </c>
      <c r="X19" s="183">
        <v>0</v>
      </c>
      <c r="Y19" s="230">
        <v>58</v>
      </c>
      <c r="Z19" s="230">
        <v>41</v>
      </c>
      <c r="AA19" s="183">
        <v>0</v>
      </c>
      <c r="AB19" s="230">
        <v>6</v>
      </c>
      <c r="AC19" s="232">
        <v>1388</v>
      </c>
      <c r="AD19" s="230">
        <v>426</v>
      </c>
      <c r="AE19" s="230">
        <v>281</v>
      </c>
      <c r="AF19" s="183">
        <v>0</v>
      </c>
      <c r="AG19" s="230">
        <v>6</v>
      </c>
      <c r="AH19" s="183">
        <v>0</v>
      </c>
      <c r="AI19" s="231">
        <v>4832</v>
      </c>
      <c r="AK19" s="448" t="s">
        <v>450</v>
      </c>
      <c r="AL19" s="449">
        <v>43157</v>
      </c>
      <c r="AM19" s="450" t="s">
        <v>440</v>
      </c>
      <c r="AN19" s="451">
        <v>3168</v>
      </c>
      <c r="AO19" s="452">
        <v>43240</v>
      </c>
      <c r="AP19" s="453" t="s">
        <v>438</v>
      </c>
      <c r="AQ19" s="455">
        <v>1249</v>
      </c>
      <c r="AU19" s="187" t="s">
        <v>291</v>
      </c>
      <c r="AV19" s="190">
        <f t="shared" si="0"/>
        <v>325</v>
      </c>
      <c r="AW19" s="233">
        <f t="shared" si="1"/>
        <v>6.7259933774834441E-2</v>
      </c>
      <c r="AY19" s="187" t="s">
        <v>114</v>
      </c>
      <c r="AZ19" s="190">
        <v>855</v>
      </c>
      <c r="BA19" s="233">
        <v>8.1351094196003809E-2</v>
      </c>
      <c r="BC19" s="187" t="s">
        <v>114</v>
      </c>
      <c r="BD19" s="190">
        <v>855</v>
      </c>
      <c r="BE19" s="233">
        <v>8.1351094196003809E-2</v>
      </c>
    </row>
    <row r="20" spans="1:57" ht="18" x14ac:dyDescent="0.25">
      <c r="A20" s="181" t="s">
        <v>292</v>
      </c>
      <c r="B20" s="181">
        <v>2018</v>
      </c>
      <c r="C20" s="181" t="s">
        <v>205</v>
      </c>
      <c r="D20" s="237">
        <v>7402</v>
      </c>
      <c r="E20" s="238">
        <v>1899</v>
      </c>
      <c r="F20" s="238">
        <v>5503</v>
      </c>
      <c r="G20" s="238">
        <v>1049</v>
      </c>
      <c r="H20" s="189">
        <v>0</v>
      </c>
      <c r="I20" s="238">
        <v>4042</v>
      </c>
      <c r="J20" s="189">
        <v>0</v>
      </c>
      <c r="K20" s="239">
        <v>412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  <c r="R20" s="189">
        <v>0</v>
      </c>
      <c r="S20" s="189">
        <v>0</v>
      </c>
      <c r="T20" s="240">
        <v>1072</v>
      </c>
      <c r="U20" s="192">
        <v>0</v>
      </c>
      <c r="V20" s="242">
        <v>325</v>
      </c>
      <c r="W20" s="242">
        <v>336</v>
      </c>
      <c r="X20" s="192">
        <v>0</v>
      </c>
      <c r="Y20" s="242">
        <v>251</v>
      </c>
      <c r="Z20" s="242">
        <v>68</v>
      </c>
      <c r="AA20" s="192">
        <v>0</v>
      </c>
      <c r="AB20" s="242">
        <v>36</v>
      </c>
      <c r="AC20" s="242">
        <v>28</v>
      </c>
      <c r="AD20" s="242">
        <v>28</v>
      </c>
      <c r="AE20" s="192">
        <v>0</v>
      </c>
      <c r="AF20" s="192">
        <v>0</v>
      </c>
      <c r="AG20" s="192">
        <v>0</v>
      </c>
      <c r="AH20" s="186">
        <v>0</v>
      </c>
      <c r="AI20" s="243">
        <v>8474</v>
      </c>
      <c r="AK20" s="448" t="s">
        <v>451</v>
      </c>
      <c r="AL20" s="449">
        <v>43161</v>
      </c>
      <c r="AM20" s="450" t="s">
        <v>452</v>
      </c>
      <c r="AN20" s="451">
        <v>6572</v>
      </c>
      <c r="AO20" s="452">
        <v>43241</v>
      </c>
      <c r="AP20" s="453" t="s">
        <v>438</v>
      </c>
      <c r="AQ20" s="455">
        <v>2914</v>
      </c>
      <c r="AU20" s="187" t="s">
        <v>292</v>
      </c>
      <c r="AV20" s="190">
        <f t="shared" si="0"/>
        <v>1049</v>
      </c>
      <c r="AW20" s="233">
        <f t="shared" si="1"/>
        <v>0.12379041774840689</v>
      </c>
      <c r="AY20" s="187" t="s">
        <v>127</v>
      </c>
      <c r="AZ20" s="190">
        <v>981</v>
      </c>
      <c r="BA20" s="233">
        <v>0.24785245073269327</v>
      </c>
      <c r="BC20" s="187" t="s">
        <v>123</v>
      </c>
      <c r="BD20" s="190">
        <v>1756</v>
      </c>
      <c r="BE20" s="233">
        <v>8.7896686354990483E-2</v>
      </c>
    </row>
    <row r="21" spans="1:57" ht="18" x14ac:dyDescent="0.25">
      <c r="A21" s="181" t="s">
        <v>293</v>
      </c>
      <c r="B21" s="181">
        <v>2018</v>
      </c>
      <c r="C21" s="181" t="s">
        <v>205</v>
      </c>
      <c r="D21" s="231">
        <v>6546</v>
      </c>
      <c r="E21" s="183">
        <v>0</v>
      </c>
      <c r="F21" s="232">
        <v>6214</v>
      </c>
      <c r="G21" s="183">
        <v>0</v>
      </c>
      <c r="H21" s="183">
        <v>0</v>
      </c>
      <c r="I21" s="232">
        <v>4215</v>
      </c>
      <c r="J21" s="230">
        <v>855</v>
      </c>
      <c r="K21" s="230">
        <v>916</v>
      </c>
      <c r="L21" s="183">
        <v>0</v>
      </c>
      <c r="M21" s="230">
        <v>228</v>
      </c>
      <c r="N21" s="183">
        <v>0</v>
      </c>
      <c r="O21" s="183">
        <v>0</v>
      </c>
      <c r="P21" s="230">
        <v>292</v>
      </c>
      <c r="Q21" s="183">
        <v>0</v>
      </c>
      <c r="R21" s="230">
        <v>40</v>
      </c>
      <c r="S21" s="183">
        <v>0</v>
      </c>
      <c r="T21" s="231">
        <v>3696</v>
      </c>
      <c r="U21" s="183">
        <v>0</v>
      </c>
      <c r="V21" s="232">
        <v>3080</v>
      </c>
      <c r="W21" s="183">
        <v>0</v>
      </c>
      <c r="X21" s="183">
        <v>0</v>
      </c>
      <c r="Y21" s="183">
        <v>0</v>
      </c>
      <c r="Z21" s="183">
        <v>0</v>
      </c>
      <c r="AA21" s="183">
        <v>0</v>
      </c>
      <c r="AB21" s="230">
        <v>40</v>
      </c>
      <c r="AC21" s="183">
        <v>0</v>
      </c>
      <c r="AD21" s="230">
        <v>238</v>
      </c>
      <c r="AE21" s="183">
        <v>0</v>
      </c>
      <c r="AF21" s="183">
        <v>0</v>
      </c>
      <c r="AG21" s="230">
        <v>338</v>
      </c>
      <c r="AH21" s="230">
        <v>269</v>
      </c>
      <c r="AI21" s="231">
        <v>10510</v>
      </c>
      <c r="AK21" s="448" t="s">
        <v>453</v>
      </c>
      <c r="AL21" s="449">
        <v>43438</v>
      </c>
      <c r="AM21" s="450" t="s">
        <v>426</v>
      </c>
      <c r="AN21" s="451">
        <v>4895</v>
      </c>
      <c r="AO21" s="452">
        <v>43311</v>
      </c>
      <c r="AP21" s="453" t="s">
        <v>424</v>
      </c>
      <c r="AQ21" s="455">
        <v>2044</v>
      </c>
      <c r="AU21" s="187" t="s">
        <v>293</v>
      </c>
      <c r="AV21" s="190">
        <f t="shared" si="0"/>
        <v>855</v>
      </c>
      <c r="AW21" s="233">
        <f t="shared" si="1"/>
        <v>8.1351094196003809E-2</v>
      </c>
      <c r="AY21" s="187" t="s">
        <v>113</v>
      </c>
      <c r="AZ21" s="190">
        <v>1049</v>
      </c>
      <c r="BA21" s="233">
        <v>0.12379041774840689</v>
      </c>
      <c r="BC21" s="187" t="s">
        <v>107</v>
      </c>
      <c r="BD21" s="190">
        <v>10031</v>
      </c>
      <c r="BE21" s="233">
        <v>9.6364824101293059E-2</v>
      </c>
    </row>
    <row r="22" spans="1:57" x14ac:dyDescent="0.25">
      <c r="A22" s="181" t="s">
        <v>294</v>
      </c>
      <c r="B22" s="181">
        <v>2018</v>
      </c>
      <c r="C22" s="181" t="s">
        <v>205</v>
      </c>
      <c r="D22" s="244">
        <v>11</v>
      </c>
      <c r="E22" s="189">
        <v>0</v>
      </c>
      <c r="F22" s="239">
        <v>11</v>
      </c>
      <c r="G22" s="189">
        <v>0</v>
      </c>
      <c r="H22" s="189">
        <v>0</v>
      </c>
      <c r="I22" s="189">
        <v>0</v>
      </c>
      <c r="J22" s="189">
        <v>0</v>
      </c>
      <c r="K22" s="239">
        <v>11</v>
      </c>
      <c r="L22" s="189">
        <v>0</v>
      </c>
      <c r="M22" s="189">
        <v>0</v>
      </c>
      <c r="N22" s="189">
        <v>0</v>
      </c>
      <c r="O22" s="189">
        <v>0</v>
      </c>
      <c r="P22" s="189">
        <v>0</v>
      </c>
      <c r="Q22" s="189">
        <v>0</v>
      </c>
      <c r="R22" s="189">
        <v>0</v>
      </c>
      <c r="S22" s="189">
        <v>0</v>
      </c>
      <c r="T22" s="240">
        <v>2722</v>
      </c>
      <c r="U22" s="192">
        <v>0</v>
      </c>
      <c r="V22" s="242">
        <v>2</v>
      </c>
      <c r="W22" s="192">
        <v>0</v>
      </c>
      <c r="X22" s="192">
        <v>0</v>
      </c>
      <c r="Y22" s="192">
        <v>0</v>
      </c>
      <c r="Z22" s="192">
        <v>0</v>
      </c>
      <c r="AA22" s="242">
        <v>748</v>
      </c>
      <c r="AB22" s="192">
        <v>0</v>
      </c>
      <c r="AC22" s="241">
        <v>1948</v>
      </c>
      <c r="AD22" s="242">
        <v>25</v>
      </c>
      <c r="AE22" s="192">
        <v>0</v>
      </c>
      <c r="AF22" s="192">
        <v>0</v>
      </c>
      <c r="AG22" s="192">
        <v>0</v>
      </c>
      <c r="AH22" s="186">
        <v>0</v>
      </c>
      <c r="AI22" s="243">
        <v>2733</v>
      </c>
      <c r="AK22" s="448" t="s">
        <v>454</v>
      </c>
      <c r="AL22" s="449">
        <v>43433</v>
      </c>
      <c r="AM22" s="450" t="s">
        <v>452</v>
      </c>
      <c r="AN22" s="451">
        <v>2450</v>
      </c>
      <c r="AO22" s="452">
        <v>43148</v>
      </c>
      <c r="AP22" s="453" t="s">
        <v>449</v>
      </c>
      <c r="AQ22" s="455">
        <v>1522</v>
      </c>
      <c r="AU22" s="187" t="s">
        <v>294</v>
      </c>
      <c r="AV22" s="190">
        <f t="shared" si="0"/>
        <v>0</v>
      </c>
      <c r="AW22" s="233">
        <f t="shared" si="1"/>
        <v>0</v>
      </c>
      <c r="AY22" s="187" t="s">
        <v>123</v>
      </c>
      <c r="AZ22" s="190">
        <v>1756</v>
      </c>
      <c r="BA22" s="233">
        <v>8.7896686354990483E-2</v>
      </c>
      <c r="BC22" s="187" t="s">
        <v>110</v>
      </c>
      <c r="BD22" s="190">
        <v>10860</v>
      </c>
      <c r="BE22" s="233">
        <v>0.12038977019521767</v>
      </c>
    </row>
    <row r="23" spans="1:57" ht="18" x14ac:dyDescent="0.25">
      <c r="A23" s="181" t="s">
        <v>295</v>
      </c>
      <c r="B23" s="181">
        <v>2018</v>
      </c>
      <c r="C23" s="181" t="s">
        <v>205</v>
      </c>
      <c r="D23" s="231">
        <v>74399</v>
      </c>
      <c r="E23" s="183">
        <v>0</v>
      </c>
      <c r="F23" s="232">
        <v>67129</v>
      </c>
      <c r="G23" s="183">
        <v>0</v>
      </c>
      <c r="H23" s="232">
        <v>1308</v>
      </c>
      <c r="I23" s="232">
        <v>50778</v>
      </c>
      <c r="J23" s="232">
        <v>6444</v>
      </c>
      <c r="K23" s="232">
        <v>8599</v>
      </c>
      <c r="L23" s="183">
        <v>0</v>
      </c>
      <c r="M23" s="183">
        <v>0</v>
      </c>
      <c r="N23" s="183">
        <v>0</v>
      </c>
      <c r="O23" s="183">
        <v>0</v>
      </c>
      <c r="P23" s="232">
        <v>4753</v>
      </c>
      <c r="Q23" s="183">
        <v>0</v>
      </c>
      <c r="R23" s="230">
        <v>212</v>
      </c>
      <c r="S23" s="232">
        <v>2305</v>
      </c>
      <c r="T23" s="231">
        <v>56537</v>
      </c>
      <c r="U23" s="183">
        <v>0</v>
      </c>
      <c r="V23" s="232">
        <v>10310</v>
      </c>
      <c r="W23" s="232">
        <v>20120</v>
      </c>
      <c r="X23" s="183">
        <v>0</v>
      </c>
      <c r="Y23" s="232">
        <v>1559</v>
      </c>
      <c r="Z23" s="232">
        <v>1375</v>
      </c>
      <c r="AA23" s="230">
        <v>962</v>
      </c>
      <c r="AB23" s="230">
        <v>212</v>
      </c>
      <c r="AC23" s="232">
        <v>5162</v>
      </c>
      <c r="AD23" s="232">
        <v>12768</v>
      </c>
      <c r="AE23" s="232">
        <v>4015</v>
      </c>
      <c r="AF23" s="183">
        <v>0</v>
      </c>
      <c r="AG23" s="230">
        <v>54</v>
      </c>
      <c r="AH23" s="183">
        <v>0</v>
      </c>
      <c r="AI23" s="231">
        <v>130935</v>
      </c>
      <c r="AK23" s="448" t="s">
        <v>455</v>
      </c>
      <c r="AL23" s="449">
        <v>43313</v>
      </c>
      <c r="AM23" s="450" t="s">
        <v>435</v>
      </c>
      <c r="AN23" s="451">
        <v>57572</v>
      </c>
      <c r="AO23" s="452">
        <v>43460</v>
      </c>
      <c r="AP23" s="453" t="s">
        <v>421</v>
      </c>
      <c r="AQ23" s="455">
        <v>19511</v>
      </c>
      <c r="AU23" s="187" t="s">
        <v>295</v>
      </c>
      <c r="AV23" s="190">
        <f t="shared" si="0"/>
        <v>7752</v>
      </c>
      <c r="AW23" s="233">
        <f t="shared" si="1"/>
        <v>5.920494902050636E-2</v>
      </c>
      <c r="AY23" s="187" t="s">
        <v>100</v>
      </c>
      <c r="AZ23" s="190">
        <v>1888</v>
      </c>
      <c r="BA23" s="233">
        <v>0.46686449060336299</v>
      </c>
      <c r="BC23" s="187" t="s">
        <v>113</v>
      </c>
      <c r="BD23" s="190">
        <v>1049</v>
      </c>
      <c r="BE23" s="233">
        <v>0.12379041774840689</v>
      </c>
    </row>
    <row r="24" spans="1:57" ht="18" x14ac:dyDescent="0.25">
      <c r="A24" s="181" t="s">
        <v>296</v>
      </c>
      <c r="B24" s="181">
        <v>2018</v>
      </c>
      <c r="C24" s="181" t="s">
        <v>205</v>
      </c>
      <c r="D24" s="237">
        <v>2718</v>
      </c>
      <c r="E24" s="189">
        <v>0</v>
      </c>
      <c r="F24" s="238">
        <v>1760</v>
      </c>
      <c r="G24" s="189">
        <v>0</v>
      </c>
      <c r="H24" s="189">
        <v>0</v>
      </c>
      <c r="I24" s="239">
        <v>568</v>
      </c>
      <c r="J24" s="245">
        <v>0</v>
      </c>
      <c r="K24" s="189">
        <v>0</v>
      </c>
      <c r="L24" s="189">
        <v>0</v>
      </c>
      <c r="M24" s="189">
        <v>0</v>
      </c>
      <c r="N24" s="238">
        <v>1192</v>
      </c>
      <c r="O24" s="189">
        <v>0</v>
      </c>
      <c r="P24" s="239">
        <v>900</v>
      </c>
      <c r="Q24" s="189">
        <v>0</v>
      </c>
      <c r="R24" s="239">
        <v>20</v>
      </c>
      <c r="S24" s="239">
        <v>37</v>
      </c>
      <c r="T24" s="246">
        <v>835</v>
      </c>
      <c r="U24" s="192">
        <v>0</v>
      </c>
      <c r="V24" s="242">
        <v>533</v>
      </c>
      <c r="W24" s="242">
        <v>83</v>
      </c>
      <c r="X24" s="192">
        <v>0</v>
      </c>
      <c r="Y24" s="242">
        <v>52</v>
      </c>
      <c r="Z24" s="242">
        <v>41</v>
      </c>
      <c r="AA24" s="192">
        <v>0</v>
      </c>
      <c r="AB24" s="192">
        <v>0</v>
      </c>
      <c r="AC24" s="192">
        <v>0</v>
      </c>
      <c r="AD24" s="242">
        <v>127</v>
      </c>
      <c r="AE24" s="192">
        <v>0</v>
      </c>
      <c r="AF24" s="192">
        <v>0</v>
      </c>
      <c r="AG24" s="192">
        <v>0</v>
      </c>
      <c r="AH24" s="186">
        <v>0</v>
      </c>
      <c r="AI24" s="243">
        <v>3553</v>
      </c>
      <c r="AK24" s="448" t="s">
        <v>456</v>
      </c>
      <c r="AL24" s="449">
        <v>43124</v>
      </c>
      <c r="AM24" s="450" t="s">
        <v>437</v>
      </c>
      <c r="AN24" s="451">
        <v>1999</v>
      </c>
      <c r="AO24" s="452">
        <v>43206</v>
      </c>
      <c r="AP24" s="453" t="s">
        <v>430</v>
      </c>
      <c r="AQ24" s="454">
        <v>858</v>
      </c>
      <c r="AU24" s="187" t="s">
        <v>296</v>
      </c>
      <c r="AV24" s="190">
        <f t="shared" si="0"/>
        <v>0</v>
      </c>
      <c r="AW24" s="233">
        <f t="shared" si="1"/>
        <v>0</v>
      </c>
      <c r="AY24" s="187" t="s">
        <v>108</v>
      </c>
      <c r="AZ24" s="190">
        <v>2278</v>
      </c>
      <c r="BA24" s="233">
        <v>0.1311381037361119</v>
      </c>
      <c r="BC24" s="187" t="s">
        <v>108</v>
      </c>
      <c r="BD24" s="190">
        <v>2278</v>
      </c>
      <c r="BE24" s="233">
        <v>0.1311381037361119</v>
      </c>
    </row>
    <row r="25" spans="1:57" ht="13.5" customHeight="1" x14ac:dyDescent="0.25">
      <c r="A25" s="181" t="s">
        <v>297</v>
      </c>
      <c r="B25" s="181">
        <v>2018</v>
      </c>
      <c r="C25" s="181" t="s">
        <v>205</v>
      </c>
      <c r="D25" s="231">
        <v>1453</v>
      </c>
      <c r="E25" s="183">
        <v>0</v>
      </c>
      <c r="F25" s="230">
        <v>136</v>
      </c>
      <c r="G25" s="183">
        <v>0</v>
      </c>
      <c r="H25" s="183">
        <v>0</v>
      </c>
      <c r="I25" s="230">
        <v>136</v>
      </c>
      <c r="J25" s="183">
        <v>0</v>
      </c>
      <c r="K25" s="183">
        <v>0</v>
      </c>
      <c r="L25" s="183">
        <v>0</v>
      </c>
      <c r="M25" s="183">
        <v>0</v>
      </c>
      <c r="N25" s="183">
        <v>0</v>
      </c>
      <c r="O25" s="183">
        <v>0</v>
      </c>
      <c r="P25" s="232">
        <v>1296</v>
      </c>
      <c r="Q25" s="183">
        <v>0</v>
      </c>
      <c r="R25" s="230">
        <v>21</v>
      </c>
      <c r="S25" s="183">
        <v>0</v>
      </c>
      <c r="T25" s="229">
        <v>291</v>
      </c>
      <c r="U25" s="183">
        <v>0</v>
      </c>
      <c r="V25" s="230">
        <v>120</v>
      </c>
      <c r="W25" s="230">
        <v>128</v>
      </c>
      <c r="X25" s="183">
        <v>0</v>
      </c>
      <c r="Y25" s="183">
        <v>0</v>
      </c>
      <c r="Z25" s="230">
        <v>11</v>
      </c>
      <c r="AA25" s="183">
        <v>0</v>
      </c>
      <c r="AB25" s="183">
        <v>0</v>
      </c>
      <c r="AC25" s="230">
        <v>17</v>
      </c>
      <c r="AD25" s="230">
        <v>15</v>
      </c>
      <c r="AE25" s="183">
        <v>0</v>
      </c>
      <c r="AF25" s="183">
        <v>0</v>
      </c>
      <c r="AG25" s="183">
        <v>0</v>
      </c>
      <c r="AH25" s="183">
        <v>0</v>
      </c>
      <c r="AI25" s="231">
        <v>1744</v>
      </c>
      <c r="AK25" s="448" t="s">
        <v>457</v>
      </c>
      <c r="AL25" s="449">
        <v>43157</v>
      </c>
      <c r="AM25" s="450" t="s">
        <v>426</v>
      </c>
      <c r="AN25" s="451">
        <v>1031</v>
      </c>
      <c r="AO25" s="452">
        <v>43324</v>
      </c>
      <c r="AP25" s="453" t="s">
        <v>424</v>
      </c>
      <c r="AQ25" s="454">
        <v>401</v>
      </c>
      <c r="AU25" s="187" t="s">
        <v>297</v>
      </c>
      <c r="AV25" s="190">
        <f t="shared" si="0"/>
        <v>0</v>
      </c>
      <c r="AW25" s="233">
        <f t="shared" si="1"/>
        <v>0</v>
      </c>
      <c r="AY25" s="187" t="s">
        <v>109</v>
      </c>
      <c r="AZ25" s="190">
        <v>2997</v>
      </c>
      <c r="BA25" s="233">
        <v>2.2556051449171742E-2</v>
      </c>
      <c r="BC25" s="187" t="s">
        <v>202</v>
      </c>
      <c r="BD25" s="190">
        <v>171799</v>
      </c>
      <c r="BE25" s="233">
        <v>0.1476691264005226</v>
      </c>
    </row>
    <row r="26" spans="1:57" ht="18" x14ac:dyDescent="0.25">
      <c r="A26" s="181" t="s">
        <v>299</v>
      </c>
      <c r="B26" s="181">
        <v>2018</v>
      </c>
      <c r="C26" s="181" t="s">
        <v>205</v>
      </c>
      <c r="D26" s="237">
        <v>1121</v>
      </c>
      <c r="E26" s="189">
        <v>0</v>
      </c>
      <c r="F26" s="238">
        <v>1121</v>
      </c>
      <c r="G26" s="189">
        <v>0</v>
      </c>
      <c r="H26" s="189">
        <v>0</v>
      </c>
      <c r="I26" s="238">
        <v>1031</v>
      </c>
      <c r="J26" s="189">
        <v>0</v>
      </c>
      <c r="K26" s="189">
        <v>0</v>
      </c>
      <c r="L26" s="189">
        <v>0</v>
      </c>
      <c r="M26" s="189">
        <v>0</v>
      </c>
      <c r="N26" s="239">
        <v>90</v>
      </c>
      <c r="O26" s="189">
        <v>0</v>
      </c>
      <c r="P26" s="189">
        <v>0</v>
      </c>
      <c r="Q26" s="189">
        <v>0</v>
      </c>
      <c r="R26" s="189">
        <v>0</v>
      </c>
      <c r="S26" s="189">
        <v>0</v>
      </c>
      <c r="T26" s="240">
        <v>1708</v>
      </c>
      <c r="U26" s="192">
        <v>0</v>
      </c>
      <c r="V26" s="242">
        <v>77</v>
      </c>
      <c r="W26" s="192">
        <v>0</v>
      </c>
      <c r="X26" s="192">
        <v>0</v>
      </c>
      <c r="Y26" s="242">
        <v>9</v>
      </c>
      <c r="Z26" s="242">
        <v>65</v>
      </c>
      <c r="AA26" s="192">
        <v>0</v>
      </c>
      <c r="AB26" s="192">
        <v>0</v>
      </c>
      <c r="AC26" s="192">
        <v>0</v>
      </c>
      <c r="AD26" s="241">
        <v>1557</v>
      </c>
      <c r="AE26" s="192">
        <v>0</v>
      </c>
      <c r="AF26" s="192">
        <v>0</v>
      </c>
      <c r="AG26" s="192">
        <v>0</v>
      </c>
      <c r="AH26" s="186">
        <v>0</v>
      </c>
      <c r="AI26" s="243">
        <v>2829</v>
      </c>
      <c r="AK26" s="448" t="s">
        <v>458</v>
      </c>
      <c r="AL26" s="449">
        <v>43154</v>
      </c>
      <c r="AM26" s="450" t="s">
        <v>443</v>
      </c>
      <c r="AN26" s="451">
        <v>1252</v>
      </c>
      <c r="AO26" s="452">
        <v>43275</v>
      </c>
      <c r="AP26" s="453" t="s">
        <v>424</v>
      </c>
      <c r="AQ26" s="454">
        <v>459</v>
      </c>
      <c r="AU26" s="187" t="s">
        <v>299</v>
      </c>
      <c r="AV26" s="190">
        <f t="shared" si="0"/>
        <v>0</v>
      </c>
      <c r="AW26" s="233">
        <f t="shared" si="1"/>
        <v>0</v>
      </c>
      <c r="AY26" s="187" t="s">
        <v>106</v>
      </c>
      <c r="AZ26" s="190">
        <v>3656</v>
      </c>
      <c r="BA26" s="233">
        <v>0.22771722204920586</v>
      </c>
      <c r="BC26" s="187" t="s">
        <v>120</v>
      </c>
      <c r="BD26" s="190">
        <v>4631</v>
      </c>
      <c r="BE26" s="233">
        <v>0.15168189708820543</v>
      </c>
    </row>
    <row r="27" spans="1:57" ht="18" x14ac:dyDescent="0.25">
      <c r="A27" s="181" t="s">
        <v>300</v>
      </c>
      <c r="B27" s="181">
        <v>2018</v>
      </c>
      <c r="C27" s="181" t="s">
        <v>205</v>
      </c>
      <c r="D27" s="229">
        <v>880</v>
      </c>
      <c r="E27" s="183">
        <v>0</v>
      </c>
      <c r="F27" s="230">
        <v>220</v>
      </c>
      <c r="G27" s="230">
        <v>220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0</v>
      </c>
      <c r="N27" s="183">
        <v>0</v>
      </c>
      <c r="O27" s="183">
        <v>0</v>
      </c>
      <c r="P27" s="183">
        <v>0</v>
      </c>
      <c r="Q27" s="230">
        <v>660</v>
      </c>
      <c r="R27" s="183">
        <v>0</v>
      </c>
      <c r="S27" s="183">
        <v>0</v>
      </c>
      <c r="T27" s="229">
        <v>72</v>
      </c>
      <c r="U27" s="183">
        <v>0</v>
      </c>
      <c r="V27" s="230">
        <v>72</v>
      </c>
      <c r="W27" s="183">
        <v>0</v>
      </c>
      <c r="X27" s="183">
        <v>0</v>
      </c>
      <c r="Y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83">
        <v>0</v>
      </c>
      <c r="AE27" s="183">
        <v>0</v>
      </c>
      <c r="AF27" s="183">
        <v>0</v>
      </c>
      <c r="AG27" s="183">
        <v>0</v>
      </c>
      <c r="AH27" s="183">
        <v>0</v>
      </c>
      <c r="AI27" s="229">
        <v>952</v>
      </c>
      <c r="AK27" s="448" t="s">
        <v>459</v>
      </c>
      <c r="AL27" s="449">
        <v>43321</v>
      </c>
      <c r="AM27" s="450" t="s">
        <v>445</v>
      </c>
      <c r="AN27" s="456">
        <v>590</v>
      </c>
      <c r="AO27" s="452">
        <v>43241</v>
      </c>
      <c r="AP27" s="453" t="s">
        <v>438</v>
      </c>
      <c r="AQ27" s="454">
        <v>228</v>
      </c>
      <c r="AU27" s="187" t="s">
        <v>300</v>
      </c>
      <c r="AV27" s="190">
        <f t="shared" si="0"/>
        <v>220</v>
      </c>
      <c r="AW27" s="233">
        <f t="shared" si="1"/>
        <v>0.23109243697478993</v>
      </c>
      <c r="AY27" s="187" t="s">
        <v>102</v>
      </c>
      <c r="AZ27" s="190">
        <v>3733</v>
      </c>
      <c r="BA27" s="233">
        <v>0.32591234503230315</v>
      </c>
      <c r="BC27" s="187" t="s">
        <v>105</v>
      </c>
      <c r="BD27" s="190">
        <v>45755</v>
      </c>
      <c r="BE27" s="233">
        <v>0.21276843094035694</v>
      </c>
    </row>
    <row r="28" spans="1:57" ht="18" x14ac:dyDescent="0.25">
      <c r="A28" s="181" t="s">
        <v>301</v>
      </c>
      <c r="B28" s="181">
        <v>2018</v>
      </c>
      <c r="C28" s="181" t="s">
        <v>205</v>
      </c>
      <c r="D28" s="237">
        <v>1157</v>
      </c>
      <c r="E28" s="189">
        <v>0</v>
      </c>
      <c r="F28" s="238">
        <v>1157</v>
      </c>
      <c r="G28" s="239">
        <v>718</v>
      </c>
      <c r="H28" s="189">
        <v>0</v>
      </c>
      <c r="I28" s="239">
        <v>250</v>
      </c>
      <c r="J28" s="189">
        <v>0</v>
      </c>
      <c r="K28" s="239">
        <v>189</v>
      </c>
      <c r="L28" s="189">
        <v>0</v>
      </c>
      <c r="M28" s="189">
        <v>0</v>
      </c>
      <c r="N28" s="189">
        <v>0</v>
      </c>
      <c r="O28" s="189">
        <v>0</v>
      </c>
      <c r="P28" s="189">
        <v>0</v>
      </c>
      <c r="Q28" s="189">
        <v>0</v>
      </c>
      <c r="R28" s="189">
        <v>0</v>
      </c>
      <c r="S28" s="189">
        <v>0</v>
      </c>
      <c r="T28" s="246">
        <v>737</v>
      </c>
      <c r="U28" s="192">
        <v>0</v>
      </c>
      <c r="V28" s="242">
        <v>37</v>
      </c>
      <c r="W28" s="242">
        <v>17</v>
      </c>
      <c r="X28" s="192">
        <v>0</v>
      </c>
      <c r="Y28" s="192">
        <v>0</v>
      </c>
      <c r="Z28" s="242">
        <v>7</v>
      </c>
      <c r="AA28" s="192">
        <v>0</v>
      </c>
      <c r="AB28" s="192">
        <v>0</v>
      </c>
      <c r="AC28" s="242">
        <v>567</v>
      </c>
      <c r="AD28" s="242">
        <v>109</v>
      </c>
      <c r="AE28" s="192">
        <v>0</v>
      </c>
      <c r="AF28" s="192">
        <v>0</v>
      </c>
      <c r="AG28" s="192">
        <v>0</v>
      </c>
      <c r="AH28" s="186">
        <v>0</v>
      </c>
      <c r="AI28" s="243">
        <v>1894</v>
      </c>
      <c r="AK28" s="448" t="s">
        <v>460</v>
      </c>
      <c r="AL28" s="449">
        <v>43457</v>
      </c>
      <c r="AM28" s="450" t="s">
        <v>420</v>
      </c>
      <c r="AN28" s="451">
        <v>1388</v>
      </c>
      <c r="AO28" s="452">
        <v>43227</v>
      </c>
      <c r="AP28" s="453" t="s">
        <v>421</v>
      </c>
      <c r="AQ28" s="454">
        <v>369</v>
      </c>
      <c r="AU28" s="187" t="s">
        <v>301</v>
      </c>
      <c r="AV28" s="190">
        <f t="shared" si="0"/>
        <v>718</v>
      </c>
      <c r="AW28" s="233">
        <f t="shared" si="1"/>
        <v>0.3790918690601901</v>
      </c>
      <c r="AY28" s="187" t="s">
        <v>111</v>
      </c>
      <c r="AZ28" s="190">
        <v>3904</v>
      </c>
      <c r="BA28" s="233">
        <v>0.23816495851634945</v>
      </c>
      <c r="BC28" s="187" t="s">
        <v>124</v>
      </c>
      <c r="BD28" s="190">
        <v>4373</v>
      </c>
      <c r="BE28" s="233">
        <v>0.22123849033694223</v>
      </c>
    </row>
    <row r="29" spans="1:57" ht="18" x14ac:dyDescent="0.25">
      <c r="A29" s="181" t="s">
        <v>303</v>
      </c>
      <c r="B29" s="181">
        <v>2018</v>
      </c>
      <c r="C29" s="181" t="s">
        <v>205</v>
      </c>
      <c r="D29" s="231">
        <v>20687</v>
      </c>
      <c r="E29" s="230">
        <v>486</v>
      </c>
      <c r="F29" s="232">
        <v>20201</v>
      </c>
      <c r="G29" s="183">
        <v>0</v>
      </c>
      <c r="H29" s="183">
        <v>0</v>
      </c>
      <c r="I29" s="232">
        <v>15570</v>
      </c>
      <c r="J29" s="232">
        <v>4631</v>
      </c>
      <c r="K29" s="183">
        <v>0</v>
      </c>
      <c r="L29" s="183">
        <v>0</v>
      </c>
      <c r="M29" s="183">
        <v>0</v>
      </c>
      <c r="N29" s="183">
        <v>0</v>
      </c>
      <c r="O29" s="183">
        <v>0</v>
      </c>
      <c r="P29" s="183">
        <v>0</v>
      </c>
      <c r="Q29" s="183">
        <v>0</v>
      </c>
      <c r="R29" s="183">
        <v>0</v>
      </c>
      <c r="S29" s="183">
        <v>0</v>
      </c>
      <c r="T29" s="231">
        <v>9844</v>
      </c>
      <c r="U29" s="230">
        <v>957</v>
      </c>
      <c r="V29" s="232">
        <v>3669</v>
      </c>
      <c r="W29" s="232">
        <v>3937</v>
      </c>
      <c r="X29" s="183">
        <v>0</v>
      </c>
      <c r="Y29" s="230">
        <v>485</v>
      </c>
      <c r="Z29" s="183">
        <v>0</v>
      </c>
      <c r="AA29" s="183">
        <v>0</v>
      </c>
      <c r="AB29" s="230">
        <v>758</v>
      </c>
      <c r="AC29" s="183">
        <v>0</v>
      </c>
      <c r="AD29" s="230">
        <v>38</v>
      </c>
      <c r="AE29" s="183">
        <v>0</v>
      </c>
      <c r="AF29" s="183">
        <v>0</v>
      </c>
      <c r="AG29" s="183">
        <v>0</v>
      </c>
      <c r="AH29" s="183">
        <v>0</v>
      </c>
      <c r="AI29" s="231">
        <v>30531</v>
      </c>
      <c r="AK29" s="448" t="s">
        <v>461</v>
      </c>
      <c r="AL29" s="449">
        <v>43446</v>
      </c>
      <c r="AM29" s="450" t="s">
        <v>420</v>
      </c>
      <c r="AN29" s="451">
        <v>18479</v>
      </c>
      <c r="AO29" s="452">
        <v>43345</v>
      </c>
      <c r="AP29" s="453" t="s">
        <v>438</v>
      </c>
      <c r="AQ29" s="455">
        <v>9245</v>
      </c>
      <c r="AU29" s="187" t="s">
        <v>303</v>
      </c>
      <c r="AV29" s="190">
        <f t="shared" si="0"/>
        <v>4631</v>
      </c>
      <c r="AW29" s="233">
        <f t="shared" si="1"/>
        <v>0.15168189708820543</v>
      </c>
      <c r="AY29" s="187" t="s">
        <v>124</v>
      </c>
      <c r="AZ29" s="190">
        <v>4373</v>
      </c>
      <c r="BA29" s="233">
        <v>0.22123849033694223</v>
      </c>
      <c r="BC29" s="187" t="s">
        <v>129</v>
      </c>
      <c r="BD29" s="190">
        <v>19694</v>
      </c>
      <c r="BE29" s="233">
        <v>0.22240290905805693</v>
      </c>
    </row>
    <row r="30" spans="1:57" ht="18" x14ac:dyDescent="0.25">
      <c r="A30" s="181" t="s">
        <v>304</v>
      </c>
      <c r="B30" s="181">
        <v>2018</v>
      </c>
      <c r="C30" s="181" t="s">
        <v>205</v>
      </c>
      <c r="D30" s="244">
        <v>542</v>
      </c>
      <c r="E30" s="189">
        <v>0</v>
      </c>
      <c r="F30" s="239">
        <v>542</v>
      </c>
      <c r="G30" s="189">
        <v>0</v>
      </c>
      <c r="H30" s="189">
        <v>0</v>
      </c>
      <c r="I30" s="239">
        <v>542</v>
      </c>
      <c r="J30" s="189">
        <v>0</v>
      </c>
      <c r="K30" s="189">
        <v>0</v>
      </c>
      <c r="L30" s="189">
        <v>0</v>
      </c>
      <c r="M30" s="189">
        <v>0</v>
      </c>
      <c r="N30" s="189">
        <v>0</v>
      </c>
      <c r="O30" s="189">
        <v>0</v>
      </c>
      <c r="P30" s="189">
        <v>0</v>
      </c>
      <c r="Q30" s="189">
        <v>0</v>
      </c>
      <c r="R30" s="189">
        <v>0</v>
      </c>
      <c r="S30" s="189">
        <v>0</v>
      </c>
      <c r="T30" s="240">
        <v>34480</v>
      </c>
      <c r="U30" s="192">
        <v>0</v>
      </c>
      <c r="V30" s="241">
        <v>1749</v>
      </c>
      <c r="W30" s="242">
        <v>45</v>
      </c>
      <c r="X30" s="192">
        <v>0</v>
      </c>
      <c r="Y30" s="192">
        <v>0</v>
      </c>
      <c r="Z30" s="242">
        <v>7</v>
      </c>
      <c r="AA30" s="192">
        <v>0</v>
      </c>
      <c r="AB30" s="242">
        <v>51</v>
      </c>
      <c r="AC30" s="241">
        <v>25385</v>
      </c>
      <c r="AD30" s="241">
        <v>5801</v>
      </c>
      <c r="AE30" s="241">
        <v>1388</v>
      </c>
      <c r="AF30" s="242">
        <v>0</v>
      </c>
      <c r="AG30" s="242">
        <v>53</v>
      </c>
      <c r="AH30" s="186">
        <v>0</v>
      </c>
      <c r="AI30" s="243">
        <v>35022</v>
      </c>
      <c r="AK30" s="448" t="s">
        <v>462</v>
      </c>
      <c r="AL30" s="449">
        <v>43160</v>
      </c>
      <c r="AM30" s="450" t="s">
        <v>443</v>
      </c>
      <c r="AN30" s="451">
        <v>24108</v>
      </c>
      <c r="AO30" s="452">
        <v>43310</v>
      </c>
      <c r="AP30" s="453" t="s">
        <v>438</v>
      </c>
      <c r="AQ30" s="455">
        <v>9343</v>
      </c>
      <c r="AU30" s="187" t="s">
        <v>304</v>
      </c>
      <c r="AV30" s="190">
        <f t="shared" si="0"/>
        <v>0</v>
      </c>
      <c r="AW30" s="233">
        <f t="shared" si="1"/>
        <v>0</v>
      </c>
      <c r="AY30" s="187" t="s">
        <v>120</v>
      </c>
      <c r="AZ30" s="190">
        <v>4631</v>
      </c>
      <c r="BA30" s="233">
        <v>0.15168189708820543</v>
      </c>
      <c r="BC30" s="187" t="s">
        <v>106</v>
      </c>
      <c r="BD30" s="190">
        <v>3656</v>
      </c>
      <c r="BE30" s="233">
        <v>0.22771722204920586</v>
      </c>
    </row>
    <row r="31" spans="1:57" ht="18" x14ac:dyDescent="0.25">
      <c r="A31" s="181" t="s">
        <v>305</v>
      </c>
      <c r="B31" s="181">
        <v>2018</v>
      </c>
      <c r="C31" s="181" t="s">
        <v>205</v>
      </c>
      <c r="D31" s="231">
        <v>32050</v>
      </c>
      <c r="E31" s="183">
        <v>0</v>
      </c>
      <c r="F31" s="232">
        <v>30595</v>
      </c>
      <c r="G31" s="232">
        <v>8049</v>
      </c>
      <c r="H31" s="230">
        <v>387</v>
      </c>
      <c r="I31" s="232">
        <v>2585</v>
      </c>
      <c r="J31" s="232">
        <v>19195</v>
      </c>
      <c r="K31" s="230">
        <v>379</v>
      </c>
      <c r="L31" s="183">
        <v>0</v>
      </c>
      <c r="M31" s="183">
        <v>0</v>
      </c>
      <c r="N31" s="183">
        <v>0</v>
      </c>
      <c r="O31" s="183">
        <v>0</v>
      </c>
      <c r="P31" s="232">
        <v>1398</v>
      </c>
      <c r="Q31" s="183">
        <v>0</v>
      </c>
      <c r="R31" s="230">
        <v>57</v>
      </c>
      <c r="S31" s="183">
        <v>0</v>
      </c>
      <c r="T31" s="231">
        <v>7828</v>
      </c>
      <c r="U31" s="183">
        <v>0</v>
      </c>
      <c r="V31" s="232">
        <v>5608</v>
      </c>
      <c r="W31" s="230">
        <v>399</v>
      </c>
      <c r="X31" s="183">
        <v>0</v>
      </c>
      <c r="Y31" s="230">
        <v>719</v>
      </c>
      <c r="Z31" s="230">
        <v>145</v>
      </c>
      <c r="AA31" s="183">
        <v>0</v>
      </c>
      <c r="AB31" s="183">
        <v>0</v>
      </c>
      <c r="AC31" s="230">
        <v>177</v>
      </c>
      <c r="AD31" s="230">
        <v>402</v>
      </c>
      <c r="AE31" s="230">
        <v>378</v>
      </c>
      <c r="AF31" s="183">
        <v>0</v>
      </c>
      <c r="AG31" s="183">
        <v>0</v>
      </c>
      <c r="AH31" s="183">
        <v>0</v>
      </c>
      <c r="AI31" s="231">
        <v>39878</v>
      </c>
      <c r="AK31" s="448" t="s">
        <v>463</v>
      </c>
      <c r="AL31" s="449">
        <v>43159</v>
      </c>
      <c r="AM31" s="450" t="s">
        <v>426</v>
      </c>
      <c r="AN31" s="451">
        <v>24465</v>
      </c>
      <c r="AO31" s="452">
        <v>43240</v>
      </c>
      <c r="AP31" s="453" t="s">
        <v>438</v>
      </c>
      <c r="AQ31" s="455">
        <v>11339</v>
      </c>
      <c r="AU31" s="187" t="s">
        <v>305</v>
      </c>
      <c r="AV31" s="190">
        <f t="shared" si="0"/>
        <v>27631</v>
      </c>
      <c r="AW31" s="233">
        <f t="shared" si="1"/>
        <v>0.69288830934349765</v>
      </c>
      <c r="AY31" s="187" t="s">
        <v>125</v>
      </c>
      <c r="AZ31" s="190">
        <v>5314</v>
      </c>
      <c r="BA31" s="233">
        <v>0.60620579511749939</v>
      </c>
      <c r="BC31" s="187" t="s">
        <v>118</v>
      </c>
      <c r="BD31" s="190">
        <v>220</v>
      </c>
      <c r="BE31" s="233">
        <v>0.23109243697478993</v>
      </c>
    </row>
    <row r="32" spans="1:57" ht="18" x14ac:dyDescent="0.25">
      <c r="A32" s="181" t="s">
        <v>306</v>
      </c>
      <c r="B32" s="181">
        <v>2018</v>
      </c>
      <c r="C32" s="181" t="s">
        <v>205</v>
      </c>
      <c r="D32" s="237">
        <v>6397</v>
      </c>
      <c r="E32" s="189">
        <v>0</v>
      </c>
      <c r="F32" s="238">
        <v>6379</v>
      </c>
      <c r="G32" s="189">
        <v>0</v>
      </c>
      <c r="H32" s="189">
        <v>0</v>
      </c>
      <c r="I32" s="238">
        <v>4609</v>
      </c>
      <c r="J32" s="238">
        <v>1756</v>
      </c>
      <c r="K32" s="239">
        <v>14</v>
      </c>
      <c r="L32" s="189">
        <v>0</v>
      </c>
      <c r="M32" s="189">
        <v>0</v>
      </c>
      <c r="N32" s="189">
        <v>0</v>
      </c>
      <c r="O32" s="189">
        <v>0</v>
      </c>
      <c r="P32" s="189">
        <v>0</v>
      </c>
      <c r="Q32" s="189">
        <v>0</v>
      </c>
      <c r="R32" s="189">
        <v>0</v>
      </c>
      <c r="S32" s="239">
        <v>18</v>
      </c>
      <c r="T32" s="240">
        <v>13581</v>
      </c>
      <c r="U32" s="192">
        <v>0</v>
      </c>
      <c r="V32" s="241">
        <v>5150</v>
      </c>
      <c r="W32" s="242">
        <v>558</v>
      </c>
      <c r="X32" s="192">
        <v>0</v>
      </c>
      <c r="Y32" s="242">
        <v>658</v>
      </c>
      <c r="Z32" s="192">
        <v>0</v>
      </c>
      <c r="AA32" s="192">
        <v>0</v>
      </c>
      <c r="AB32" s="192">
        <v>0</v>
      </c>
      <c r="AC32" s="241">
        <v>1515</v>
      </c>
      <c r="AD32" s="241">
        <v>2880</v>
      </c>
      <c r="AE32" s="241">
        <v>2820</v>
      </c>
      <c r="AF32" s="192">
        <v>0</v>
      </c>
      <c r="AG32" s="192">
        <v>0</v>
      </c>
      <c r="AH32" s="186">
        <v>0</v>
      </c>
      <c r="AI32" s="243">
        <v>19978</v>
      </c>
      <c r="AK32" s="448" t="s">
        <v>464</v>
      </c>
      <c r="AL32" s="449">
        <v>43138</v>
      </c>
      <c r="AM32" s="450" t="s">
        <v>440</v>
      </c>
      <c r="AN32" s="451">
        <v>8721</v>
      </c>
      <c r="AO32" s="452">
        <v>43387</v>
      </c>
      <c r="AP32" s="453" t="s">
        <v>438</v>
      </c>
      <c r="AQ32" s="455">
        <v>3561</v>
      </c>
      <c r="AU32" s="187" t="s">
        <v>306</v>
      </c>
      <c r="AV32" s="190">
        <f t="shared" si="0"/>
        <v>1756</v>
      </c>
      <c r="AW32" s="233">
        <f t="shared" si="1"/>
        <v>8.7896686354990483E-2</v>
      </c>
      <c r="AY32" s="187" t="s">
        <v>115</v>
      </c>
      <c r="AZ32" s="190">
        <v>7752</v>
      </c>
      <c r="BA32" s="233">
        <v>5.920494902050636E-2</v>
      </c>
      <c r="BC32" s="187" t="s">
        <v>111</v>
      </c>
      <c r="BD32" s="190">
        <v>3904</v>
      </c>
      <c r="BE32" s="233">
        <v>0.23816495851634945</v>
      </c>
    </row>
    <row r="33" spans="1:57" x14ac:dyDescent="0.25">
      <c r="A33" s="181" t="s">
        <v>307</v>
      </c>
      <c r="B33" s="181">
        <v>2018</v>
      </c>
      <c r="C33" s="181" t="s">
        <v>205</v>
      </c>
      <c r="D33" s="231">
        <v>9077</v>
      </c>
      <c r="E33" s="232">
        <v>1300</v>
      </c>
      <c r="F33" s="232">
        <v>7777</v>
      </c>
      <c r="G33" s="232">
        <v>3341</v>
      </c>
      <c r="H33" s="183">
        <v>0</v>
      </c>
      <c r="I33" s="232">
        <v>1826</v>
      </c>
      <c r="J33" s="232">
        <v>1032</v>
      </c>
      <c r="K33" s="183">
        <v>0</v>
      </c>
      <c r="L33" s="183">
        <v>0</v>
      </c>
      <c r="M33" s="183">
        <v>0</v>
      </c>
      <c r="N33" s="232">
        <v>1578</v>
      </c>
      <c r="O33" s="183">
        <v>0</v>
      </c>
      <c r="P33" s="183">
        <v>0</v>
      </c>
      <c r="Q33" s="183">
        <v>0</v>
      </c>
      <c r="R33" s="183">
        <v>0</v>
      </c>
      <c r="S33" s="183">
        <v>0</v>
      </c>
      <c r="T33" s="231">
        <v>10689</v>
      </c>
      <c r="U33" s="183">
        <v>0</v>
      </c>
      <c r="V33" s="232">
        <v>2977</v>
      </c>
      <c r="W33" s="232">
        <v>1262</v>
      </c>
      <c r="X33" s="183">
        <v>0</v>
      </c>
      <c r="Y33" s="230">
        <v>121</v>
      </c>
      <c r="Z33" s="183">
        <v>0</v>
      </c>
      <c r="AA33" s="183">
        <v>0</v>
      </c>
      <c r="AB33" s="183">
        <v>0</v>
      </c>
      <c r="AC33" s="232">
        <v>3566</v>
      </c>
      <c r="AD33" s="232">
        <v>2763</v>
      </c>
      <c r="AE33" s="183">
        <v>0</v>
      </c>
      <c r="AF33" s="183">
        <v>0</v>
      </c>
      <c r="AG33" s="183">
        <v>0</v>
      </c>
      <c r="AH33" s="183">
        <v>0</v>
      </c>
      <c r="AI33" s="231">
        <v>19766</v>
      </c>
      <c r="AK33" s="448" t="s">
        <v>465</v>
      </c>
      <c r="AL33" s="449">
        <v>43158</v>
      </c>
      <c r="AM33" s="450" t="s">
        <v>426</v>
      </c>
      <c r="AN33" s="451">
        <v>8920</v>
      </c>
      <c r="AO33" s="452">
        <v>43198</v>
      </c>
      <c r="AP33" s="453" t="s">
        <v>466</v>
      </c>
      <c r="AQ33" s="455">
        <v>4091</v>
      </c>
      <c r="AU33" s="187" t="s">
        <v>307</v>
      </c>
      <c r="AV33" s="190">
        <f t="shared" si="0"/>
        <v>4373</v>
      </c>
      <c r="AW33" s="233">
        <f t="shared" si="1"/>
        <v>0.22123849033694223</v>
      </c>
      <c r="AY33" s="187" t="s">
        <v>104</v>
      </c>
      <c r="AZ33" s="190">
        <v>10030</v>
      </c>
      <c r="BA33" s="233">
        <v>0.48174831892411141</v>
      </c>
      <c r="BC33" s="187" t="s">
        <v>127</v>
      </c>
      <c r="BD33" s="190">
        <v>981</v>
      </c>
      <c r="BE33" s="233">
        <v>0.24785245073269327</v>
      </c>
    </row>
    <row r="34" spans="1:57" ht="18" x14ac:dyDescent="0.25">
      <c r="A34" s="181" t="s">
        <v>308</v>
      </c>
      <c r="B34" s="181">
        <v>2018</v>
      </c>
      <c r="C34" s="181" t="s">
        <v>205</v>
      </c>
      <c r="D34" s="237">
        <v>6136</v>
      </c>
      <c r="E34" s="189">
        <v>0</v>
      </c>
      <c r="F34" s="238">
        <v>5522</v>
      </c>
      <c r="G34" s="238">
        <v>5314</v>
      </c>
      <c r="H34" s="189">
        <v>0</v>
      </c>
      <c r="I34" s="239">
        <v>208</v>
      </c>
      <c r="J34" s="189">
        <v>0</v>
      </c>
      <c r="K34" s="189">
        <v>0</v>
      </c>
      <c r="L34" s="189">
        <v>0</v>
      </c>
      <c r="M34" s="189">
        <v>0</v>
      </c>
      <c r="N34" s="189">
        <v>0</v>
      </c>
      <c r="O34" s="189">
        <v>0</v>
      </c>
      <c r="P34" s="239">
        <v>614</v>
      </c>
      <c r="Q34" s="189">
        <v>0</v>
      </c>
      <c r="R34" s="189">
        <v>0</v>
      </c>
      <c r="S34" s="189">
        <v>0</v>
      </c>
      <c r="T34" s="240">
        <v>2630</v>
      </c>
      <c r="U34" s="192">
        <v>0</v>
      </c>
      <c r="V34" s="242">
        <v>239</v>
      </c>
      <c r="W34" s="192">
        <v>0</v>
      </c>
      <c r="X34" s="192">
        <v>0</v>
      </c>
      <c r="Y34" s="192">
        <v>0</v>
      </c>
      <c r="Z34" s="192">
        <v>0</v>
      </c>
      <c r="AA34" s="192">
        <v>0</v>
      </c>
      <c r="AB34" s="192">
        <v>0</v>
      </c>
      <c r="AC34" s="242">
        <v>401</v>
      </c>
      <c r="AD34" s="241">
        <v>1990</v>
      </c>
      <c r="AE34" s="192">
        <v>0</v>
      </c>
      <c r="AF34" s="192">
        <v>0</v>
      </c>
      <c r="AG34" s="192">
        <v>0</v>
      </c>
      <c r="AH34" s="186">
        <v>0</v>
      </c>
      <c r="AI34" s="243">
        <v>8766</v>
      </c>
      <c r="AK34" s="448" t="s">
        <v>467</v>
      </c>
      <c r="AL34" s="449">
        <v>43159</v>
      </c>
      <c r="AM34" s="450" t="s">
        <v>440</v>
      </c>
      <c r="AN34" s="451">
        <v>6867</v>
      </c>
      <c r="AO34" s="452">
        <v>43222</v>
      </c>
      <c r="AP34" s="453" t="s">
        <v>438</v>
      </c>
      <c r="AQ34" s="455">
        <v>2428</v>
      </c>
      <c r="AU34" s="187" t="s">
        <v>308</v>
      </c>
      <c r="AV34" s="190">
        <f t="shared" si="0"/>
        <v>5314</v>
      </c>
      <c r="AW34" s="233">
        <f t="shared" si="1"/>
        <v>0.60620579511749939</v>
      </c>
      <c r="AY34" s="187" t="s">
        <v>107</v>
      </c>
      <c r="AZ34" s="190">
        <v>10031</v>
      </c>
      <c r="BA34" s="233">
        <v>9.6364824101293059E-2</v>
      </c>
      <c r="BC34" s="187" t="s">
        <v>102</v>
      </c>
      <c r="BD34" s="190">
        <v>3733</v>
      </c>
      <c r="BE34" s="233">
        <v>0.32591234503230315</v>
      </c>
    </row>
    <row r="35" spans="1:57" ht="18" x14ac:dyDescent="0.25">
      <c r="A35" s="181" t="s">
        <v>310</v>
      </c>
      <c r="B35" s="181">
        <v>2018</v>
      </c>
      <c r="C35" s="181" t="s">
        <v>205</v>
      </c>
      <c r="D35" s="231">
        <v>12928</v>
      </c>
      <c r="E35" s="232">
        <v>8614</v>
      </c>
      <c r="F35" s="232">
        <v>3869</v>
      </c>
      <c r="G35" s="183">
        <v>0</v>
      </c>
      <c r="H35" s="183">
        <v>0</v>
      </c>
      <c r="I35" s="230">
        <v>849</v>
      </c>
      <c r="J35" s="230">
        <v>205</v>
      </c>
      <c r="K35" s="232">
        <v>2695</v>
      </c>
      <c r="L35" s="183">
        <v>0</v>
      </c>
      <c r="M35" s="183">
        <v>0</v>
      </c>
      <c r="N35" s="230">
        <v>120</v>
      </c>
      <c r="O35" s="183">
        <v>0</v>
      </c>
      <c r="P35" s="183">
        <v>0</v>
      </c>
      <c r="Q35" s="183">
        <v>0</v>
      </c>
      <c r="R35" s="230">
        <v>445</v>
      </c>
      <c r="S35" s="183">
        <v>0</v>
      </c>
      <c r="T35" s="231">
        <v>26980</v>
      </c>
      <c r="U35" s="183">
        <v>0</v>
      </c>
      <c r="V35" s="232">
        <v>7205</v>
      </c>
      <c r="W35" s="183">
        <v>0</v>
      </c>
      <c r="X35" s="183">
        <v>0</v>
      </c>
      <c r="Y35" s="232">
        <v>3145</v>
      </c>
      <c r="Z35" s="183">
        <v>0</v>
      </c>
      <c r="AA35" s="183">
        <v>0</v>
      </c>
      <c r="AB35" s="183">
        <v>0</v>
      </c>
      <c r="AC35" s="232">
        <v>16630</v>
      </c>
      <c r="AD35" s="183">
        <v>0</v>
      </c>
      <c r="AE35" s="183">
        <v>0</v>
      </c>
      <c r="AF35" s="183">
        <v>0</v>
      </c>
      <c r="AG35" s="183">
        <v>0</v>
      </c>
      <c r="AH35" s="183">
        <v>0</v>
      </c>
      <c r="AI35" s="231">
        <v>39908</v>
      </c>
      <c r="AK35" s="448" t="s">
        <v>468</v>
      </c>
      <c r="AL35" s="449">
        <v>43159</v>
      </c>
      <c r="AM35" s="450" t="s">
        <v>443</v>
      </c>
      <c r="AN35" s="451">
        <v>27380</v>
      </c>
      <c r="AO35" s="452">
        <v>43317</v>
      </c>
      <c r="AP35" s="453" t="s">
        <v>438</v>
      </c>
      <c r="AQ35" s="455">
        <v>9164</v>
      </c>
      <c r="AU35" s="187" t="s">
        <v>310</v>
      </c>
      <c r="AV35" s="190">
        <f t="shared" si="0"/>
        <v>205</v>
      </c>
      <c r="AW35" s="233">
        <f t="shared" si="1"/>
        <v>5.1368146737496238E-3</v>
      </c>
      <c r="AY35" s="187" t="s">
        <v>110</v>
      </c>
      <c r="AZ35" s="190">
        <v>10860</v>
      </c>
      <c r="BA35" s="233">
        <v>0.12038977019521767</v>
      </c>
      <c r="BC35" s="187" t="s">
        <v>119</v>
      </c>
      <c r="BD35" s="190">
        <v>718</v>
      </c>
      <c r="BE35" s="233">
        <v>0.3790918690601901</v>
      </c>
    </row>
    <row r="36" spans="1:57" ht="18" x14ac:dyDescent="0.25">
      <c r="A36" s="181" t="s">
        <v>311</v>
      </c>
      <c r="B36" s="181">
        <v>2018</v>
      </c>
      <c r="C36" s="181" t="s">
        <v>205</v>
      </c>
      <c r="D36" s="237">
        <v>2495</v>
      </c>
      <c r="E36" s="239">
        <v>696</v>
      </c>
      <c r="F36" s="238">
        <v>1500</v>
      </c>
      <c r="G36" s="239">
        <v>981</v>
      </c>
      <c r="H36" s="189">
        <v>0</v>
      </c>
      <c r="I36" s="239">
        <v>519</v>
      </c>
      <c r="J36" s="189">
        <v>0</v>
      </c>
      <c r="K36" s="189">
        <v>0</v>
      </c>
      <c r="L36" s="189">
        <v>0</v>
      </c>
      <c r="M36" s="189">
        <v>0</v>
      </c>
      <c r="N36" s="189">
        <v>0</v>
      </c>
      <c r="O36" s="189">
        <v>0</v>
      </c>
      <c r="P36" s="189">
        <v>0</v>
      </c>
      <c r="Q36" s="239">
        <v>180</v>
      </c>
      <c r="R36" s="239">
        <v>8</v>
      </c>
      <c r="S36" s="239">
        <v>111</v>
      </c>
      <c r="T36" s="240">
        <v>1463</v>
      </c>
      <c r="U36" s="192">
        <v>0</v>
      </c>
      <c r="V36" s="242">
        <v>3</v>
      </c>
      <c r="W36" s="242">
        <v>290</v>
      </c>
      <c r="X36" s="192">
        <v>0</v>
      </c>
      <c r="Y36" s="242">
        <v>17</v>
      </c>
      <c r="Z36" s="242">
        <v>31</v>
      </c>
      <c r="AA36" s="192">
        <v>0</v>
      </c>
      <c r="AB36" s="192">
        <v>0</v>
      </c>
      <c r="AC36" s="192">
        <v>0</v>
      </c>
      <c r="AD36" s="241">
        <v>1122</v>
      </c>
      <c r="AE36" s="192">
        <v>0</v>
      </c>
      <c r="AF36" s="192">
        <v>0</v>
      </c>
      <c r="AG36" s="192">
        <v>0</v>
      </c>
      <c r="AH36" s="186">
        <v>0</v>
      </c>
      <c r="AI36" s="243">
        <v>3958</v>
      </c>
      <c r="AK36" s="448" t="s">
        <v>469</v>
      </c>
      <c r="AL36" s="449">
        <v>43160</v>
      </c>
      <c r="AM36" s="450" t="s">
        <v>449</v>
      </c>
      <c r="AN36" s="451">
        <v>2381</v>
      </c>
      <c r="AO36" s="452">
        <v>43222</v>
      </c>
      <c r="AP36" s="453" t="s">
        <v>424</v>
      </c>
      <c r="AQ36" s="454">
        <v>927</v>
      </c>
      <c r="AU36" s="187" t="s">
        <v>311</v>
      </c>
      <c r="AV36" s="190">
        <f t="shared" si="0"/>
        <v>981</v>
      </c>
      <c r="AW36" s="233">
        <f t="shared" si="1"/>
        <v>0.24785245073269327</v>
      </c>
      <c r="AY36" s="187" t="s">
        <v>129</v>
      </c>
      <c r="AZ36" s="190">
        <v>19694</v>
      </c>
      <c r="BA36" s="233">
        <v>0.22240290905805693</v>
      </c>
      <c r="BC36" s="187" t="s">
        <v>100</v>
      </c>
      <c r="BD36" s="190">
        <v>1888</v>
      </c>
      <c r="BE36" s="233">
        <v>0.46686449060336299</v>
      </c>
    </row>
    <row r="37" spans="1:57" ht="18" x14ac:dyDescent="0.25">
      <c r="A37" s="181" t="s">
        <v>312</v>
      </c>
      <c r="B37" s="181">
        <v>2018</v>
      </c>
      <c r="C37" s="181" t="s">
        <v>205</v>
      </c>
      <c r="D37" s="231">
        <v>5046</v>
      </c>
      <c r="E37" s="232">
        <v>1940</v>
      </c>
      <c r="F37" s="232">
        <v>2353</v>
      </c>
      <c r="G37" s="230">
        <v>345</v>
      </c>
      <c r="H37" s="183">
        <v>0</v>
      </c>
      <c r="I37" s="232">
        <v>1111</v>
      </c>
      <c r="J37" s="230">
        <v>221</v>
      </c>
      <c r="K37" s="230">
        <v>257</v>
      </c>
      <c r="L37" s="183">
        <v>0</v>
      </c>
      <c r="M37" s="183">
        <v>0</v>
      </c>
      <c r="N37" s="230">
        <v>419</v>
      </c>
      <c r="O37" s="183">
        <v>0</v>
      </c>
      <c r="P37" s="230">
        <v>734</v>
      </c>
      <c r="Q37" s="183">
        <v>0</v>
      </c>
      <c r="R37" s="230">
        <v>19</v>
      </c>
      <c r="S37" s="183">
        <v>0</v>
      </c>
      <c r="T37" s="231">
        <v>2682</v>
      </c>
      <c r="U37" s="183">
        <v>0</v>
      </c>
      <c r="V37" s="230">
        <v>3</v>
      </c>
      <c r="W37" s="230">
        <v>531</v>
      </c>
      <c r="X37" s="183">
        <v>0</v>
      </c>
      <c r="Y37" s="230">
        <v>224</v>
      </c>
      <c r="Z37" s="230">
        <v>104</v>
      </c>
      <c r="AA37" s="183">
        <v>0</v>
      </c>
      <c r="AB37" s="183">
        <v>0</v>
      </c>
      <c r="AC37" s="230">
        <v>318</v>
      </c>
      <c r="AD37" s="232">
        <v>1208</v>
      </c>
      <c r="AE37" s="230">
        <v>282</v>
      </c>
      <c r="AF37" s="183">
        <v>0</v>
      </c>
      <c r="AG37" s="230">
        <v>12</v>
      </c>
      <c r="AH37" s="183">
        <v>0</v>
      </c>
      <c r="AI37" s="231">
        <v>7728</v>
      </c>
      <c r="AK37" s="448" t="s">
        <v>470</v>
      </c>
      <c r="AL37" s="449">
        <v>43158</v>
      </c>
      <c r="AM37" s="450" t="s">
        <v>437</v>
      </c>
      <c r="AN37" s="451">
        <v>4519</v>
      </c>
      <c r="AO37" s="452">
        <v>43310</v>
      </c>
      <c r="AP37" s="453" t="s">
        <v>438</v>
      </c>
      <c r="AQ37" s="455">
        <v>2395</v>
      </c>
      <c r="AU37" s="187" t="s">
        <v>312</v>
      </c>
      <c r="AV37" s="190">
        <f t="shared" si="0"/>
        <v>566</v>
      </c>
      <c r="AW37" s="233">
        <f t="shared" si="1"/>
        <v>7.3240165631469983E-2</v>
      </c>
      <c r="AY37" s="187" t="s">
        <v>122</v>
      </c>
      <c r="AZ37" s="190">
        <v>27631</v>
      </c>
      <c r="BA37" s="233">
        <v>0.69288830934349765</v>
      </c>
      <c r="BC37" s="187" t="s">
        <v>104</v>
      </c>
      <c r="BD37" s="190">
        <v>10030</v>
      </c>
      <c r="BE37" s="233">
        <v>0.48174831892411141</v>
      </c>
    </row>
    <row r="38" spans="1:57" ht="18" x14ac:dyDescent="0.25">
      <c r="A38" s="181" t="s">
        <v>314</v>
      </c>
      <c r="B38" s="181">
        <v>2018</v>
      </c>
      <c r="C38" s="181" t="s">
        <v>205</v>
      </c>
      <c r="D38" s="237">
        <v>46097</v>
      </c>
      <c r="E38" s="189">
        <v>0</v>
      </c>
      <c r="F38" s="238">
        <v>46097</v>
      </c>
      <c r="G38" s="238">
        <v>10118</v>
      </c>
      <c r="H38" s="189">
        <v>0</v>
      </c>
      <c r="I38" s="238">
        <v>26107</v>
      </c>
      <c r="J38" s="238">
        <v>9576</v>
      </c>
      <c r="K38" s="239">
        <v>288</v>
      </c>
      <c r="L38" s="189">
        <v>0</v>
      </c>
      <c r="M38" s="189">
        <v>0</v>
      </c>
      <c r="N38" s="239">
        <v>6</v>
      </c>
      <c r="O38" s="239">
        <v>2</v>
      </c>
      <c r="P38" s="189">
        <v>0</v>
      </c>
      <c r="Q38" s="189">
        <v>0</v>
      </c>
      <c r="R38" s="189">
        <v>0</v>
      </c>
      <c r="S38" s="189">
        <v>0</v>
      </c>
      <c r="T38" s="240">
        <v>42453</v>
      </c>
      <c r="U38" s="192">
        <v>0</v>
      </c>
      <c r="V38" s="241">
        <v>7005</v>
      </c>
      <c r="W38" s="241">
        <v>5063</v>
      </c>
      <c r="X38" s="192">
        <v>0</v>
      </c>
      <c r="Y38" s="242">
        <v>811</v>
      </c>
      <c r="Z38" s="192">
        <v>0</v>
      </c>
      <c r="AA38" s="241">
        <v>1283</v>
      </c>
      <c r="AB38" s="192">
        <v>0</v>
      </c>
      <c r="AC38" s="241">
        <v>20536</v>
      </c>
      <c r="AD38" s="241">
        <v>7755</v>
      </c>
      <c r="AE38" s="192">
        <v>0</v>
      </c>
      <c r="AF38" s="192">
        <v>0</v>
      </c>
      <c r="AG38" s="192">
        <v>0</v>
      </c>
      <c r="AH38" s="199">
        <v>0</v>
      </c>
      <c r="AI38" s="247">
        <v>88551</v>
      </c>
      <c r="AK38" s="448" t="s">
        <v>471</v>
      </c>
      <c r="AL38" s="449">
        <v>43315</v>
      </c>
      <c r="AM38" s="450" t="s">
        <v>435</v>
      </c>
      <c r="AN38" s="451">
        <v>45996</v>
      </c>
      <c r="AO38" s="452">
        <v>43267</v>
      </c>
      <c r="AP38" s="453" t="s">
        <v>438</v>
      </c>
      <c r="AQ38" s="455">
        <v>18497</v>
      </c>
      <c r="AU38" s="187" t="s">
        <v>314</v>
      </c>
      <c r="AV38" s="190">
        <f t="shared" si="0"/>
        <v>19694</v>
      </c>
      <c r="AW38" s="233">
        <f t="shared" si="1"/>
        <v>0.22240290905805693</v>
      </c>
      <c r="AY38" s="187" t="s">
        <v>105</v>
      </c>
      <c r="AZ38" s="190">
        <v>45755</v>
      </c>
      <c r="BA38" s="233">
        <v>0.21276843094035694</v>
      </c>
      <c r="BC38" s="187" t="s">
        <v>125</v>
      </c>
      <c r="BD38" s="190">
        <v>5314</v>
      </c>
      <c r="BE38" s="233">
        <v>0.60620579511749939</v>
      </c>
    </row>
    <row r="39" spans="1:57" ht="25.5" x14ac:dyDescent="0.25">
      <c r="A39" s="181" t="s">
        <v>315</v>
      </c>
      <c r="B39" s="181">
        <v>2018</v>
      </c>
      <c r="C39" s="181" t="s">
        <v>205</v>
      </c>
      <c r="D39" s="248">
        <v>607088</v>
      </c>
      <c r="E39" s="248">
        <v>121885</v>
      </c>
      <c r="F39" s="248">
        <v>455102</v>
      </c>
      <c r="G39" s="248">
        <v>70100</v>
      </c>
      <c r="H39" s="248">
        <v>2075</v>
      </c>
      <c r="I39" s="248">
        <v>242831</v>
      </c>
      <c r="J39" s="248">
        <v>99624</v>
      </c>
      <c r="K39" s="248">
        <v>30675</v>
      </c>
      <c r="L39" s="248">
        <v>1903</v>
      </c>
      <c r="M39" s="248">
        <v>1363</v>
      </c>
      <c r="N39" s="248">
        <v>6115</v>
      </c>
      <c r="O39" s="249">
        <v>416</v>
      </c>
      <c r="P39" s="248">
        <v>21954</v>
      </c>
      <c r="Q39" s="248">
        <v>2140</v>
      </c>
      <c r="R39" s="248">
        <v>3020</v>
      </c>
      <c r="S39" s="248">
        <v>2988</v>
      </c>
      <c r="T39" s="250">
        <v>556047</v>
      </c>
      <c r="U39" s="250">
        <v>16831</v>
      </c>
      <c r="V39" s="250">
        <v>167868</v>
      </c>
      <c r="W39" s="250">
        <v>116192</v>
      </c>
      <c r="X39" s="250">
        <v>2304</v>
      </c>
      <c r="Y39" s="250">
        <v>24905</v>
      </c>
      <c r="Z39" s="250">
        <v>3184</v>
      </c>
      <c r="AA39" s="250">
        <v>3035</v>
      </c>
      <c r="AB39" s="250">
        <v>3603</v>
      </c>
      <c r="AC39" s="250">
        <v>108814</v>
      </c>
      <c r="AD39" s="250">
        <v>81550</v>
      </c>
      <c r="AE39" s="250">
        <v>24219</v>
      </c>
      <c r="AF39" s="251">
        <v>240</v>
      </c>
      <c r="AG39" s="252">
        <v>3302</v>
      </c>
      <c r="AH39" s="253">
        <v>269</v>
      </c>
      <c r="AI39" s="254">
        <v>1163405</v>
      </c>
      <c r="AK39" s="457" t="s">
        <v>263</v>
      </c>
      <c r="AL39" s="458" t="s">
        <v>472</v>
      </c>
      <c r="AM39" s="447" t="s">
        <v>473</v>
      </c>
      <c r="AN39" s="459">
        <v>589716</v>
      </c>
      <c r="AO39" s="460" t="s">
        <v>474</v>
      </c>
      <c r="AP39" s="458" t="s">
        <v>475</v>
      </c>
      <c r="AQ39" s="461">
        <v>264157</v>
      </c>
      <c r="AU39" s="187" t="s">
        <v>317</v>
      </c>
      <c r="AV39" s="190">
        <f t="shared" si="0"/>
        <v>171799</v>
      </c>
      <c r="AW39" s="233">
        <f t="shared" si="1"/>
        <v>0.1476691264005226</v>
      </c>
      <c r="AY39" s="187" t="s">
        <v>202</v>
      </c>
      <c r="AZ39" s="190">
        <v>171799</v>
      </c>
      <c r="BA39" s="233">
        <v>0.1476691264005226</v>
      </c>
      <c r="BC39" s="187" t="s">
        <v>122</v>
      </c>
      <c r="BD39" s="190">
        <v>27631</v>
      </c>
      <c r="BE39" s="233">
        <v>0.69288830934349765</v>
      </c>
    </row>
    <row r="40" spans="1:57" x14ac:dyDescent="0.25">
      <c r="A40" s="181" t="s">
        <v>318</v>
      </c>
      <c r="B40" s="181">
        <v>2018</v>
      </c>
      <c r="C40" s="181" t="s">
        <v>205</v>
      </c>
      <c r="D40" s="248">
        <v>546631</v>
      </c>
      <c r="E40" s="248">
        <v>118552</v>
      </c>
      <c r="F40" s="248">
        <v>399568</v>
      </c>
      <c r="G40" s="248">
        <v>51842</v>
      </c>
      <c r="H40" s="248">
        <v>2075</v>
      </c>
      <c r="I40" s="248">
        <v>215724</v>
      </c>
      <c r="J40" s="248">
        <v>90048</v>
      </c>
      <c r="K40" s="248">
        <v>30090</v>
      </c>
      <c r="L40" s="248">
        <v>1903</v>
      </c>
      <c r="M40" s="248">
        <v>1363</v>
      </c>
      <c r="N40" s="248">
        <v>6110</v>
      </c>
      <c r="O40" s="249">
        <v>414</v>
      </c>
      <c r="P40" s="248">
        <v>21340</v>
      </c>
      <c r="Q40" s="248">
        <v>1375</v>
      </c>
      <c r="R40" s="248">
        <v>2809</v>
      </c>
      <c r="S40" s="248">
        <v>2988</v>
      </c>
      <c r="T40" s="250">
        <v>454717</v>
      </c>
      <c r="U40" s="250">
        <v>16831</v>
      </c>
      <c r="V40" s="250">
        <v>158639</v>
      </c>
      <c r="W40" s="250">
        <v>109403</v>
      </c>
      <c r="X40" s="250">
        <v>2304</v>
      </c>
      <c r="Y40" s="250">
        <v>23898</v>
      </c>
      <c r="Z40" s="250">
        <v>3170</v>
      </c>
      <c r="AA40" s="250">
        <v>1005</v>
      </c>
      <c r="AB40" s="250">
        <v>3340</v>
      </c>
      <c r="AC40" s="250">
        <v>48626</v>
      </c>
      <c r="AD40" s="250">
        <v>67317</v>
      </c>
      <c r="AE40" s="250">
        <v>23884</v>
      </c>
      <c r="AF40" s="251">
        <v>240</v>
      </c>
      <c r="AG40" s="252">
        <v>3248</v>
      </c>
      <c r="AH40" s="253">
        <v>269</v>
      </c>
      <c r="AI40" s="255">
        <v>1001617</v>
      </c>
      <c r="AV40" s="190">
        <f>G40+H40+J40</f>
        <v>143965</v>
      </c>
      <c r="AW40" s="233">
        <f>AV40/AI40</f>
        <v>0.14373258441100739</v>
      </c>
    </row>
    <row r="41" spans="1:57" x14ac:dyDescent="0.25">
      <c r="A41" s="256"/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</row>
    <row r="42" spans="1:57" x14ac:dyDescent="0.25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</row>
    <row r="43" spans="1:57" x14ac:dyDescent="0.25">
      <c r="A43" s="256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</row>
    <row r="44" spans="1:57" x14ac:dyDescent="0.25">
      <c r="A44" s="256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</row>
    <row r="45" spans="1:57" x14ac:dyDescent="0.25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</row>
    <row r="46" spans="1:57" x14ac:dyDescent="0.25">
      <c r="A46" s="256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</row>
    <row r="47" spans="1:57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</row>
    <row r="48" spans="1:57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</row>
    <row r="49" spans="1:47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47" x14ac:dyDescent="0.25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08" t="s">
        <v>597</v>
      </c>
      <c r="U50" s="508" t="s">
        <v>596</v>
      </c>
      <c r="AR50" s="168"/>
      <c r="AU50"/>
    </row>
    <row r="51" spans="1:47" x14ac:dyDescent="0.25">
      <c r="A51" s="259" t="str">
        <f>A3</f>
        <v>AL</v>
      </c>
      <c r="B51" s="366">
        <f>B4</f>
        <v>2018</v>
      </c>
      <c r="C51" s="366" t="s">
        <v>205</v>
      </c>
      <c r="D51" s="144">
        <f>E3</f>
        <v>0</v>
      </c>
      <c r="E51" s="144">
        <f>G3</f>
        <v>0</v>
      </c>
      <c r="F51" s="167">
        <f>J3</f>
        <v>0</v>
      </c>
      <c r="G51" s="167">
        <f>H3+I3</f>
        <v>0</v>
      </c>
      <c r="H51" s="422">
        <f>M3+N3+O3+L3+K3</f>
        <v>97</v>
      </c>
      <c r="I51" s="167">
        <f>V3</f>
        <v>0</v>
      </c>
      <c r="J51" s="144">
        <f>U3</f>
        <v>0</v>
      </c>
      <c r="K51" s="422">
        <f>W3</f>
        <v>0</v>
      </c>
      <c r="L51" s="422">
        <f>Y3+Z3</f>
        <v>0</v>
      </c>
      <c r="M51" s="422">
        <f>X3+AA3+AB3+AG3+AH3</f>
        <v>0</v>
      </c>
      <c r="N51" s="167">
        <f>SUM(AC3,AD3,AE3,AF3)</f>
        <v>1835</v>
      </c>
      <c r="O51" s="167">
        <f>SUM(P3,Q3)</f>
        <v>0</v>
      </c>
      <c r="P51" s="422">
        <f>SUM(R3:S3)</f>
        <v>0</v>
      </c>
      <c r="Q51" s="167">
        <f t="shared" ref="Q51:Q88" si="2">SUM(D51:P51)</f>
        <v>1932</v>
      </c>
      <c r="R51" s="167">
        <f>AI3</f>
        <v>1932</v>
      </c>
      <c r="S51" s="424">
        <f t="shared" ref="S51:S80" si="3">Q51/R51</f>
        <v>1</v>
      </c>
      <c r="T51" s="443">
        <f>IFERROR(VLOOKUP(Capacity_Entsoe_SFS_2018[[#This Row],[Country]],$AK$3:$AQ$39,7,0),0)</f>
        <v>434</v>
      </c>
      <c r="U51" s="443">
        <f>IFERROR(VLOOKUP(Capacity_Entsoe_SFS_2018[[#This Row],[Country]],$AK$3:$AQ$39,4,0),0)</f>
        <v>1480</v>
      </c>
      <c r="AR51" s="168"/>
      <c r="AU51"/>
    </row>
    <row r="52" spans="1:47" x14ac:dyDescent="0.25">
      <c r="A52" s="259" t="str">
        <f t="shared" ref="A52:A88" si="4">A4</f>
        <v>AT</v>
      </c>
      <c r="B52" s="366">
        <f t="shared" ref="B52:B72" si="5">B6</f>
        <v>2018</v>
      </c>
      <c r="C52" s="366" t="s">
        <v>205</v>
      </c>
      <c r="D52" s="144">
        <f t="shared" ref="D52:D88" si="6">E4</f>
        <v>0</v>
      </c>
      <c r="E52" s="144">
        <f t="shared" ref="E52:E88" si="7">G4</f>
        <v>0</v>
      </c>
      <c r="F52" s="167">
        <f t="shared" ref="F52:F88" si="8">J4</f>
        <v>598</v>
      </c>
      <c r="G52" s="167">
        <f t="shared" ref="G52:G88" si="9">H4+I4</f>
        <v>4853</v>
      </c>
      <c r="H52" s="422">
        <f t="shared" ref="H52:H88" si="10">M4+N4+O4+L4+K4</f>
        <v>1018</v>
      </c>
      <c r="I52" s="167">
        <f t="shared" ref="I52:I88" si="11">V4</f>
        <v>2887</v>
      </c>
      <c r="J52" s="144">
        <f t="shared" ref="J52:J88" si="12">U4</f>
        <v>0</v>
      </c>
      <c r="K52" s="422">
        <f t="shared" ref="K52:K88" si="13">W4</f>
        <v>1193</v>
      </c>
      <c r="L52" s="422">
        <f t="shared" ref="L52:L88" si="14">Y4+Z4</f>
        <v>586</v>
      </c>
      <c r="M52" s="422">
        <f t="shared" ref="M52:M88" si="15">X4+AA4+AB4+AG4+AH4</f>
        <v>23</v>
      </c>
      <c r="N52" s="167">
        <f t="shared" ref="N52:N88" si="16">SUM(AC4,AD4,AE4,AF4)</f>
        <v>14150</v>
      </c>
      <c r="O52" s="167">
        <f t="shared" ref="O52:O88" si="17">SUM(P4,Q4)</f>
        <v>0</v>
      </c>
      <c r="P52" s="422">
        <f t="shared" ref="P52:P88" si="18">SUM(R4:S4)</f>
        <v>105</v>
      </c>
      <c r="Q52" s="167">
        <f t="shared" si="2"/>
        <v>25413</v>
      </c>
      <c r="R52" s="167">
        <f t="shared" ref="R52:R88" si="19">AI4</f>
        <v>25413</v>
      </c>
      <c r="S52" s="424">
        <f t="shared" si="3"/>
        <v>1</v>
      </c>
      <c r="T52" s="443">
        <f>IFERROR(VLOOKUP(Capacity_Entsoe_SFS_2018[[#This Row],[Country]],$AK$3:$AQ$39,7,0),0)</f>
        <v>4844</v>
      </c>
      <c r="U52" s="443">
        <f>IFERROR(VLOOKUP(Capacity_Entsoe_SFS_2018[[#This Row],[Country]],$AK$3:$AQ$39,4,0),0)</f>
        <v>12073</v>
      </c>
      <c r="AR52" s="168"/>
      <c r="AU52"/>
    </row>
    <row r="53" spans="1:47" x14ac:dyDescent="0.25">
      <c r="A53" s="259" t="str">
        <f t="shared" si="4"/>
        <v>BA</v>
      </c>
      <c r="B53" s="366">
        <f t="shared" si="5"/>
        <v>2018</v>
      </c>
      <c r="C53" s="366" t="s">
        <v>205</v>
      </c>
      <c r="D53" s="144">
        <f t="shared" si="6"/>
        <v>0</v>
      </c>
      <c r="E53" s="144">
        <f t="shared" si="7"/>
        <v>1888</v>
      </c>
      <c r="F53" s="167">
        <f t="shared" si="8"/>
        <v>0</v>
      </c>
      <c r="G53" s="167">
        <f t="shared" si="9"/>
        <v>0</v>
      </c>
      <c r="H53" s="422">
        <f t="shared" si="10"/>
        <v>0</v>
      </c>
      <c r="I53" s="167">
        <f t="shared" si="11"/>
        <v>51</v>
      </c>
      <c r="J53" s="144">
        <f t="shared" si="12"/>
        <v>0</v>
      </c>
      <c r="K53" s="422">
        <f t="shared" si="13"/>
        <v>0</v>
      </c>
      <c r="L53" s="422">
        <f t="shared" si="14"/>
        <v>0</v>
      </c>
      <c r="M53" s="422">
        <f t="shared" si="15"/>
        <v>0</v>
      </c>
      <c r="N53" s="167">
        <f t="shared" si="16"/>
        <v>2000</v>
      </c>
      <c r="O53" s="167">
        <f t="shared" si="17"/>
        <v>105</v>
      </c>
      <c r="P53" s="422">
        <f t="shared" si="18"/>
        <v>0</v>
      </c>
      <c r="Q53" s="167">
        <f t="shared" si="2"/>
        <v>4044</v>
      </c>
      <c r="R53" s="167">
        <f t="shared" si="19"/>
        <v>4044</v>
      </c>
      <c r="S53" s="424">
        <f t="shared" si="3"/>
        <v>1</v>
      </c>
      <c r="T53" s="443">
        <f>IFERROR(VLOOKUP(Capacity_Entsoe_SFS_2018[[#This Row],[Country]],$AK$3:$AQ$39,7,0),0)</f>
        <v>828</v>
      </c>
      <c r="U53" s="443">
        <f>IFERROR(VLOOKUP(Capacity_Entsoe_SFS_2018[[#This Row],[Country]],$AK$3:$AQ$39,4,0),0)</f>
        <v>2080</v>
      </c>
      <c r="AR53" s="168"/>
      <c r="AU53"/>
    </row>
    <row r="54" spans="1:47" x14ac:dyDescent="0.25">
      <c r="A54" s="259" t="str">
        <f t="shared" si="4"/>
        <v>BE</v>
      </c>
      <c r="B54" s="366">
        <f t="shared" si="5"/>
        <v>2018</v>
      </c>
      <c r="C54" s="366" t="s">
        <v>205</v>
      </c>
      <c r="D54" s="144">
        <f t="shared" si="6"/>
        <v>5919</v>
      </c>
      <c r="E54" s="144">
        <f t="shared" si="7"/>
        <v>0</v>
      </c>
      <c r="F54" s="167">
        <f t="shared" si="8"/>
        <v>0</v>
      </c>
      <c r="G54" s="167">
        <f t="shared" si="9"/>
        <v>6974</v>
      </c>
      <c r="H54" s="422">
        <f t="shared" si="10"/>
        <v>404</v>
      </c>
      <c r="I54" s="167">
        <f t="shared" si="11"/>
        <v>2068</v>
      </c>
      <c r="J54" s="144">
        <f t="shared" si="12"/>
        <v>1179</v>
      </c>
      <c r="K54" s="422">
        <f t="shared" si="13"/>
        <v>3581</v>
      </c>
      <c r="L54" s="422">
        <f t="shared" si="14"/>
        <v>811</v>
      </c>
      <c r="M54" s="422">
        <f t="shared" si="15"/>
        <v>0</v>
      </c>
      <c r="N54" s="167">
        <f t="shared" si="16"/>
        <v>125</v>
      </c>
      <c r="O54" s="167">
        <f t="shared" si="17"/>
        <v>1308</v>
      </c>
      <c r="P54" s="422">
        <f t="shared" si="18"/>
        <v>302</v>
      </c>
      <c r="Q54" s="167">
        <f t="shared" si="2"/>
        <v>22671</v>
      </c>
      <c r="R54" s="167">
        <f t="shared" si="19"/>
        <v>22671</v>
      </c>
      <c r="S54" s="424">
        <f t="shared" si="3"/>
        <v>1</v>
      </c>
      <c r="T54" s="443">
        <f>IFERROR(VLOOKUP(Capacity_Entsoe_SFS_2018[[#This Row],[Country]],$AK$3:$AQ$39,7,0),0)</f>
        <v>6067</v>
      </c>
      <c r="U54" s="443">
        <f>IFERROR(VLOOKUP(Capacity_Entsoe_SFS_2018[[#This Row],[Country]],$AK$3:$AQ$39,4,0),0)</f>
        <v>13453</v>
      </c>
      <c r="AR54" s="168"/>
      <c r="AU54"/>
    </row>
    <row r="55" spans="1:47" x14ac:dyDescent="0.25">
      <c r="A55" s="259" t="str">
        <f t="shared" si="4"/>
        <v>BG</v>
      </c>
      <c r="B55" s="366">
        <f t="shared" si="5"/>
        <v>2018</v>
      </c>
      <c r="C55" s="366" t="s">
        <v>205</v>
      </c>
      <c r="D55" s="144">
        <f t="shared" si="6"/>
        <v>1950</v>
      </c>
      <c r="E55" s="144">
        <f t="shared" si="7"/>
        <v>3558</v>
      </c>
      <c r="F55" s="167">
        <f t="shared" si="8"/>
        <v>175</v>
      </c>
      <c r="G55" s="167">
        <f t="shared" si="9"/>
        <v>755</v>
      </c>
      <c r="H55" s="422">
        <f t="shared" si="10"/>
        <v>0</v>
      </c>
      <c r="I55" s="167">
        <f t="shared" si="11"/>
        <v>700</v>
      </c>
      <c r="J55" s="144">
        <f t="shared" si="12"/>
        <v>0</v>
      </c>
      <c r="K55" s="422">
        <f t="shared" si="13"/>
        <v>1052</v>
      </c>
      <c r="L55" s="422">
        <f t="shared" si="14"/>
        <v>77</v>
      </c>
      <c r="M55" s="422">
        <f t="shared" si="15"/>
        <v>0</v>
      </c>
      <c r="N55" s="167">
        <f t="shared" si="16"/>
        <v>2191</v>
      </c>
      <c r="O55" s="167">
        <f t="shared" si="17"/>
        <v>997</v>
      </c>
      <c r="P55" s="422">
        <f t="shared" si="18"/>
        <v>0</v>
      </c>
      <c r="Q55" s="167">
        <f t="shared" si="2"/>
        <v>11455</v>
      </c>
      <c r="R55" s="167">
        <f t="shared" si="19"/>
        <v>11454</v>
      </c>
      <c r="S55" s="424">
        <f t="shared" si="3"/>
        <v>1.0000873057447179</v>
      </c>
      <c r="T55" s="443">
        <f>IFERROR(VLOOKUP(Capacity_Entsoe_SFS_2018[[#This Row],[Country]],$AK$3:$AQ$39,7,0),0)</f>
        <v>2361</v>
      </c>
      <c r="U55" s="443">
        <f>IFERROR(VLOOKUP(Capacity_Entsoe_SFS_2018[[#This Row],[Country]],$AK$3:$AQ$39,4,0),0)</f>
        <v>6469</v>
      </c>
      <c r="AR55" s="168"/>
      <c r="AU55"/>
    </row>
    <row r="56" spans="1:47" x14ac:dyDescent="0.25">
      <c r="A56" s="259" t="str">
        <f t="shared" si="4"/>
        <v>CH</v>
      </c>
      <c r="B56" s="366">
        <f t="shared" si="5"/>
        <v>2018</v>
      </c>
      <c r="C56" s="366" t="s">
        <v>205</v>
      </c>
      <c r="D56" s="144">
        <f t="shared" si="6"/>
        <v>3333</v>
      </c>
      <c r="E56" s="144">
        <f t="shared" si="7"/>
        <v>0</v>
      </c>
      <c r="F56" s="167">
        <f t="shared" si="8"/>
        <v>0</v>
      </c>
      <c r="G56" s="167">
        <f t="shared" si="9"/>
        <v>0</v>
      </c>
      <c r="H56" s="422">
        <f t="shared" si="10"/>
        <v>0</v>
      </c>
      <c r="I56" s="167">
        <f t="shared" si="11"/>
        <v>75</v>
      </c>
      <c r="J56" s="144">
        <f t="shared" si="12"/>
        <v>0</v>
      </c>
      <c r="K56" s="422">
        <f t="shared" si="13"/>
        <v>1664</v>
      </c>
      <c r="L56" s="422">
        <f t="shared" si="14"/>
        <v>196</v>
      </c>
      <c r="M56" s="422">
        <f t="shared" si="15"/>
        <v>211</v>
      </c>
      <c r="N56" s="167">
        <f t="shared" si="16"/>
        <v>12205</v>
      </c>
      <c r="O56" s="167">
        <f t="shared" si="17"/>
        <v>0</v>
      </c>
      <c r="P56" s="422">
        <f t="shared" si="18"/>
        <v>211</v>
      </c>
      <c r="Q56" s="167">
        <f t="shared" si="2"/>
        <v>17895</v>
      </c>
      <c r="R56" s="167">
        <f t="shared" si="19"/>
        <v>17895</v>
      </c>
      <c r="S56" s="424">
        <f t="shared" si="3"/>
        <v>1</v>
      </c>
      <c r="T56" s="443">
        <f>IFERROR(VLOOKUP(Capacity_Entsoe_SFS_2018[[#This Row],[Country]],$AK$3:$AQ$39,7,0),0)</f>
        <v>4476</v>
      </c>
      <c r="U56" s="443">
        <f>IFERROR(VLOOKUP(Capacity_Entsoe_SFS_2018[[#This Row],[Country]],$AK$3:$AQ$39,4,0),0)</f>
        <v>9762</v>
      </c>
      <c r="AR56" s="168"/>
      <c r="AU56"/>
    </row>
    <row r="57" spans="1:47" x14ac:dyDescent="0.25">
      <c r="A57" s="259" t="str">
        <f t="shared" si="4"/>
        <v>CY</v>
      </c>
      <c r="B57" s="366">
        <f t="shared" si="5"/>
        <v>2018</v>
      </c>
      <c r="C57" s="366" t="s">
        <v>205</v>
      </c>
      <c r="D57" s="144">
        <f t="shared" si="6"/>
        <v>0</v>
      </c>
      <c r="E57" s="144">
        <f t="shared" si="7"/>
        <v>0</v>
      </c>
      <c r="F57" s="167">
        <f t="shared" si="8"/>
        <v>0</v>
      </c>
      <c r="G57" s="167">
        <f t="shared" si="9"/>
        <v>0</v>
      </c>
      <c r="H57" s="422">
        <f t="shared" si="10"/>
        <v>1478</v>
      </c>
      <c r="I57" s="167">
        <f t="shared" si="11"/>
        <v>155</v>
      </c>
      <c r="J57" s="144">
        <f t="shared" si="12"/>
        <v>0</v>
      </c>
      <c r="K57" s="422">
        <f t="shared" si="13"/>
        <v>0</v>
      </c>
      <c r="L57" s="422">
        <f t="shared" si="14"/>
        <v>0</v>
      </c>
      <c r="M57" s="422">
        <f t="shared" si="15"/>
        <v>135</v>
      </c>
      <c r="N57" s="167">
        <f t="shared" si="16"/>
        <v>0</v>
      </c>
      <c r="O57" s="167">
        <f t="shared" si="17"/>
        <v>0</v>
      </c>
      <c r="P57" s="422">
        <f t="shared" si="18"/>
        <v>0</v>
      </c>
      <c r="Q57" s="167">
        <f t="shared" si="2"/>
        <v>1768</v>
      </c>
      <c r="R57" s="167">
        <f t="shared" si="19"/>
        <v>1768</v>
      </c>
      <c r="S57" s="424">
        <f t="shared" si="3"/>
        <v>1</v>
      </c>
      <c r="T57" s="443">
        <f>IFERROR(VLOOKUP(Capacity_Entsoe_SFS_2018[[#This Row],[Country]],$AK$3:$AQ$39,7,0),0)</f>
        <v>308</v>
      </c>
      <c r="U57" s="443">
        <f>IFERROR(VLOOKUP(Capacity_Entsoe_SFS_2018[[#This Row],[Country]],$AK$3:$AQ$39,4,0),0)</f>
        <v>958</v>
      </c>
      <c r="AR57" s="168"/>
      <c r="AU57"/>
    </row>
    <row r="58" spans="1:47" x14ac:dyDescent="0.25">
      <c r="A58" s="259" t="str">
        <f t="shared" si="4"/>
        <v>CZ</v>
      </c>
      <c r="B58" s="366">
        <f t="shared" si="5"/>
        <v>2018</v>
      </c>
      <c r="C58" s="366" t="s">
        <v>205</v>
      </c>
      <c r="D58" s="144">
        <f t="shared" si="6"/>
        <v>4040</v>
      </c>
      <c r="E58" s="144">
        <f t="shared" si="7"/>
        <v>8450</v>
      </c>
      <c r="F58" s="167">
        <f t="shared" si="8"/>
        <v>1200</v>
      </c>
      <c r="G58" s="167">
        <f t="shared" si="9"/>
        <v>1606</v>
      </c>
      <c r="H58" s="422">
        <f t="shared" si="10"/>
        <v>0</v>
      </c>
      <c r="I58" s="167">
        <f t="shared" si="11"/>
        <v>316</v>
      </c>
      <c r="J58" s="144">
        <f t="shared" si="12"/>
        <v>0</v>
      </c>
      <c r="K58" s="422">
        <f t="shared" si="13"/>
        <v>2049</v>
      </c>
      <c r="L58" s="422">
        <f t="shared" si="14"/>
        <v>800</v>
      </c>
      <c r="M58" s="422">
        <f t="shared" si="15"/>
        <v>0</v>
      </c>
      <c r="N58" s="167">
        <f t="shared" si="16"/>
        <v>1087</v>
      </c>
      <c r="O58" s="167">
        <f t="shared" si="17"/>
        <v>1172</v>
      </c>
      <c r="P58" s="422">
        <f t="shared" si="18"/>
        <v>100</v>
      </c>
      <c r="Q58" s="167">
        <f t="shared" si="2"/>
        <v>20820</v>
      </c>
      <c r="R58" s="167">
        <f t="shared" si="19"/>
        <v>20820</v>
      </c>
      <c r="S58" s="424">
        <f t="shared" si="3"/>
        <v>1</v>
      </c>
      <c r="T58" s="443">
        <f>IFERROR(VLOOKUP(Capacity_Entsoe_SFS_2018[[#This Row],[Country]],$AK$3:$AQ$39,7,0),0)</f>
        <v>4618</v>
      </c>
      <c r="U58" s="443">
        <f>IFERROR(VLOOKUP(Capacity_Entsoe_SFS_2018[[#This Row],[Country]],$AK$3:$AQ$39,4,0),0)</f>
        <v>11142</v>
      </c>
      <c r="AR58" s="168"/>
      <c r="AU58"/>
    </row>
    <row r="59" spans="1:47" x14ac:dyDescent="0.25">
      <c r="A59" s="259" t="str">
        <f t="shared" si="4"/>
        <v>DE</v>
      </c>
      <c r="B59" s="366">
        <f t="shared" si="5"/>
        <v>2018</v>
      </c>
      <c r="C59" s="366" t="s">
        <v>205</v>
      </c>
      <c r="D59" s="144">
        <f t="shared" si="6"/>
        <v>9516</v>
      </c>
      <c r="E59" s="144">
        <f t="shared" si="7"/>
        <v>21110</v>
      </c>
      <c r="F59" s="167">
        <f t="shared" si="8"/>
        <v>24645</v>
      </c>
      <c r="G59" s="167">
        <f t="shared" si="9"/>
        <v>31614</v>
      </c>
      <c r="H59" s="422">
        <f t="shared" si="10"/>
        <v>5801</v>
      </c>
      <c r="I59" s="167">
        <f t="shared" si="11"/>
        <v>51844</v>
      </c>
      <c r="J59" s="144">
        <f t="shared" si="12"/>
        <v>6385</v>
      </c>
      <c r="K59" s="422">
        <f t="shared" si="13"/>
        <v>43922</v>
      </c>
      <c r="L59" s="422">
        <f t="shared" si="14"/>
        <v>7570</v>
      </c>
      <c r="M59" s="422">
        <f t="shared" si="15"/>
        <v>1406</v>
      </c>
      <c r="N59" s="167">
        <f t="shared" si="16"/>
        <v>3986</v>
      </c>
      <c r="O59" s="167">
        <f t="shared" si="17"/>
        <v>6356</v>
      </c>
      <c r="P59" s="422">
        <f t="shared" si="18"/>
        <v>892</v>
      </c>
      <c r="Q59" s="167">
        <f t="shared" si="2"/>
        <v>215047</v>
      </c>
      <c r="R59" s="167">
        <f t="shared" si="19"/>
        <v>215046</v>
      </c>
      <c r="S59" s="424">
        <f t="shared" si="3"/>
        <v>1.000004650167871</v>
      </c>
      <c r="T59" s="443">
        <f>IFERROR(VLOOKUP(Capacity_Entsoe_SFS_2018[[#This Row],[Country]],$AK$3:$AQ$39,7,0),0)</f>
        <v>35718</v>
      </c>
      <c r="U59" s="443">
        <f>IFERROR(VLOOKUP(Capacity_Entsoe_SFS_2018[[#This Row],[Country]],$AK$3:$AQ$39,4,0),0)</f>
        <v>79074</v>
      </c>
      <c r="AR59" s="168"/>
      <c r="AU59"/>
    </row>
    <row r="60" spans="1:47" x14ac:dyDescent="0.25">
      <c r="A60" s="259" t="str">
        <f t="shared" si="4"/>
        <v>DK</v>
      </c>
      <c r="B60" s="366">
        <f t="shared" si="5"/>
        <v>2018</v>
      </c>
      <c r="C60" s="366" t="s">
        <v>205</v>
      </c>
      <c r="D60" s="144">
        <f t="shared" si="6"/>
        <v>0</v>
      </c>
      <c r="E60" s="144">
        <f t="shared" si="7"/>
        <v>0</v>
      </c>
      <c r="F60" s="167">
        <f t="shared" si="8"/>
        <v>3656</v>
      </c>
      <c r="G60" s="167">
        <f t="shared" si="9"/>
        <v>1829</v>
      </c>
      <c r="H60" s="422">
        <f t="shared" si="10"/>
        <v>1051</v>
      </c>
      <c r="I60" s="167">
        <f t="shared" si="11"/>
        <v>4423</v>
      </c>
      <c r="J60" s="144">
        <f t="shared" si="12"/>
        <v>1701</v>
      </c>
      <c r="K60" s="422">
        <f t="shared" si="13"/>
        <v>1000</v>
      </c>
      <c r="L60" s="422">
        <f t="shared" si="14"/>
        <v>2066</v>
      </c>
      <c r="M60" s="422">
        <f t="shared" si="15"/>
        <v>323</v>
      </c>
      <c r="N60" s="167">
        <f t="shared" si="16"/>
        <v>7</v>
      </c>
      <c r="O60" s="167">
        <f t="shared" si="17"/>
        <v>0</v>
      </c>
      <c r="P60" s="422">
        <f t="shared" si="18"/>
        <v>0</v>
      </c>
      <c r="Q60" s="167">
        <f t="shared" si="2"/>
        <v>16056</v>
      </c>
      <c r="R60" s="167">
        <f t="shared" si="19"/>
        <v>16055</v>
      </c>
      <c r="S60" s="424">
        <f t="shared" si="3"/>
        <v>1.0000622858922454</v>
      </c>
      <c r="T60" s="443">
        <f>IFERROR(VLOOKUP(Capacity_Entsoe_SFS_2018[[#This Row],[Country]],$AK$3:$AQ$39,7,0),0)</f>
        <v>2294</v>
      </c>
      <c r="U60" s="443">
        <f>IFERROR(VLOOKUP(Capacity_Entsoe_SFS_2018[[#This Row],[Country]],$AK$3:$AQ$39,4,0),0)</f>
        <v>6076</v>
      </c>
      <c r="AR60" s="168"/>
      <c r="AU60"/>
    </row>
    <row r="61" spans="1:47" x14ac:dyDescent="0.25">
      <c r="A61" s="259" t="str">
        <f t="shared" si="4"/>
        <v>EE</v>
      </c>
      <c r="B61" s="366">
        <f t="shared" si="5"/>
        <v>2018</v>
      </c>
      <c r="C61" s="366" t="s">
        <v>205</v>
      </c>
      <c r="D61" s="144">
        <f t="shared" si="6"/>
        <v>0</v>
      </c>
      <c r="E61" s="144">
        <f t="shared" si="7"/>
        <v>0</v>
      </c>
      <c r="F61" s="167">
        <f t="shared" si="8"/>
        <v>0</v>
      </c>
      <c r="G61" s="167">
        <f t="shared" si="9"/>
        <v>200</v>
      </c>
      <c r="H61" s="422">
        <f t="shared" si="10"/>
        <v>2152</v>
      </c>
      <c r="I61" s="167">
        <f t="shared" si="11"/>
        <v>341</v>
      </c>
      <c r="J61" s="144">
        <f t="shared" si="12"/>
        <v>0</v>
      </c>
      <c r="K61" s="422">
        <f t="shared" si="13"/>
        <v>9</v>
      </c>
      <c r="L61" s="422">
        <f t="shared" si="14"/>
        <v>92</v>
      </c>
      <c r="M61" s="422">
        <f t="shared" si="15"/>
        <v>3</v>
      </c>
      <c r="N61" s="167">
        <f t="shared" si="16"/>
        <v>9</v>
      </c>
      <c r="O61" s="167">
        <f t="shared" si="17"/>
        <v>0</v>
      </c>
      <c r="P61" s="422">
        <f t="shared" si="18"/>
        <v>27</v>
      </c>
      <c r="Q61" s="167">
        <f t="shared" si="2"/>
        <v>2833</v>
      </c>
      <c r="R61" s="167">
        <f t="shared" si="19"/>
        <v>2832</v>
      </c>
      <c r="S61" s="424">
        <f t="shared" si="3"/>
        <v>1.0003531073446328</v>
      </c>
      <c r="T61" s="443">
        <f>IFERROR(VLOOKUP(Capacity_Entsoe_SFS_2018[[#This Row],[Country]],$AK$3:$AQ$39,7,0),0)</f>
        <v>452</v>
      </c>
      <c r="U61" s="443">
        <f>IFERROR(VLOOKUP(Capacity_Entsoe_SFS_2018[[#This Row],[Country]],$AK$3:$AQ$39,4,0),0)</f>
        <v>1532</v>
      </c>
      <c r="AR61" s="168"/>
      <c r="AU61"/>
    </row>
    <row r="62" spans="1:47" x14ac:dyDescent="0.25">
      <c r="A62" s="259" t="str">
        <f t="shared" si="4"/>
        <v>ES</v>
      </c>
      <c r="B62" s="366">
        <f t="shared" si="5"/>
        <v>2018</v>
      </c>
      <c r="C62" s="366" t="s">
        <v>205</v>
      </c>
      <c r="D62" s="144">
        <f t="shared" si="6"/>
        <v>7117</v>
      </c>
      <c r="E62" s="144">
        <f t="shared" si="7"/>
        <v>1056</v>
      </c>
      <c r="F62" s="167">
        <f t="shared" si="8"/>
        <v>8975</v>
      </c>
      <c r="G62" s="167">
        <f t="shared" si="9"/>
        <v>31184</v>
      </c>
      <c r="H62" s="422">
        <f t="shared" si="10"/>
        <v>3235</v>
      </c>
      <c r="I62" s="167">
        <f t="shared" si="11"/>
        <v>23507</v>
      </c>
      <c r="J62" s="144">
        <f t="shared" si="12"/>
        <v>0</v>
      </c>
      <c r="K62" s="422">
        <f t="shared" si="13"/>
        <v>4714</v>
      </c>
      <c r="L62" s="422">
        <f t="shared" si="14"/>
        <v>860</v>
      </c>
      <c r="M62" s="422">
        <f t="shared" si="15"/>
        <v>2482</v>
      </c>
      <c r="N62" s="167">
        <f t="shared" si="16"/>
        <v>17049</v>
      </c>
      <c r="O62" s="167">
        <f t="shared" si="17"/>
        <v>3329</v>
      </c>
      <c r="P62" s="422">
        <f t="shared" si="18"/>
        <v>586</v>
      </c>
      <c r="Q62" s="167">
        <f t="shared" si="2"/>
        <v>104094</v>
      </c>
      <c r="R62" s="167">
        <f t="shared" si="19"/>
        <v>104094</v>
      </c>
      <c r="S62" s="424">
        <f t="shared" si="3"/>
        <v>1</v>
      </c>
      <c r="T62" s="443">
        <f>IFERROR(VLOOKUP(Capacity_Entsoe_SFS_2018[[#This Row],[Country]],$AK$3:$AQ$39,7,0),0)</f>
        <v>18031</v>
      </c>
      <c r="U62" s="443">
        <f>IFERROR(VLOOKUP(Capacity_Entsoe_SFS_2018[[#This Row],[Country]],$AK$3:$AQ$39,4,0),0)</f>
        <v>40611</v>
      </c>
      <c r="AR62" s="168"/>
      <c r="AU62"/>
    </row>
    <row r="63" spans="1:47" x14ac:dyDescent="0.25">
      <c r="A63" s="259" t="str">
        <f t="shared" si="4"/>
        <v>FI</v>
      </c>
      <c r="B63" s="366">
        <f t="shared" si="5"/>
        <v>2018</v>
      </c>
      <c r="C63" s="366" t="s">
        <v>205</v>
      </c>
      <c r="D63" s="144">
        <f t="shared" si="6"/>
        <v>2785</v>
      </c>
      <c r="E63" s="144">
        <f t="shared" si="7"/>
        <v>0</v>
      </c>
      <c r="F63" s="167">
        <f t="shared" si="8"/>
        <v>2278</v>
      </c>
      <c r="G63" s="167">
        <f t="shared" si="9"/>
        <v>1912</v>
      </c>
      <c r="H63" s="422">
        <f t="shared" si="10"/>
        <v>2569</v>
      </c>
      <c r="I63" s="167">
        <f t="shared" si="11"/>
        <v>2013</v>
      </c>
      <c r="J63" s="144">
        <f t="shared" si="12"/>
        <v>0</v>
      </c>
      <c r="K63" s="422">
        <f t="shared" si="13"/>
        <v>113</v>
      </c>
      <c r="L63" s="422">
        <f t="shared" si="14"/>
        <v>1804</v>
      </c>
      <c r="M63" s="422">
        <f t="shared" si="15"/>
        <v>257</v>
      </c>
      <c r="N63" s="167">
        <f t="shared" si="16"/>
        <v>3148</v>
      </c>
      <c r="O63" s="167">
        <f t="shared" si="17"/>
        <v>0</v>
      </c>
      <c r="P63" s="422">
        <f t="shared" si="18"/>
        <v>492</v>
      </c>
      <c r="Q63" s="167">
        <f t="shared" si="2"/>
        <v>17371</v>
      </c>
      <c r="R63" s="167">
        <f t="shared" si="19"/>
        <v>17371</v>
      </c>
      <c r="S63" s="424">
        <f t="shared" si="3"/>
        <v>1</v>
      </c>
      <c r="T63" s="443">
        <f>IFERROR(VLOOKUP(Capacity_Entsoe_SFS_2018[[#This Row],[Country]],$AK$3:$AQ$39,7,0),0)</f>
        <v>6581</v>
      </c>
      <c r="U63" s="443">
        <f>IFERROR(VLOOKUP(Capacity_Entsoe_SFS_2018[[#This Row],[Country]],$AK$3:$AQ$39,4,0),0)</f>
        <v>14155</v>
      </c>
      <c r="AR63" s="168"/>
      <c r="AU63"/>
    </row>
    <row r="64" spans="1:47" x14ac:dyDescent="0.25">
      <c r="A64" s="259" t="str">
        <f t="shared" si="4"/>
        <v>FR</v>
      </c>
      <c r="B64" s="366">
        <f t="shared" si="5"/>
        <v>2018</v>
      </c>
      <c r="C64" s="366" t="s">
        <v>205</v>
      </c>
      <c r="D64" s="144">
        <f t="shared" si="6"/>
        <v>63130</v>
      </c>
      <c r="E64" s="144">
        <f t="shared" si="7"/>
        <v>0</v>
      </c>
      <c r="F64" s="167">
        <f t="shared" si="8"/>
        <v>2997</v>
      </c>
      <c r="G64" s="167">
        <f t="shared" si="9"/>
        <v>12151</v>
      </c>
      <c r="H64" s="422">
        <f t="shared" si="10"/>
        <v>3441</v>
      </c>
      <c r="I64" s="167">
        <f t="shared" si="11"/>
        <v>15084</v>
      </c>
      <c r="J64" s="144">
        <f t="shared" si="12"/>
        <v>0</v>
      </c>
      <c r="K64" s="422">
        <f t="shared" si="13"/>
        <v>8526</v>
      </c>
      <c r="L64" s="422">
        <f t="shared" si="14"/>
        <v>1143</v>
      </c>
      <c r="M64" s="422">
        <f t="shared" si="15"/>
        <v>2611</v>
      </c>
      <c r="N64" s="167">
        <f t="shared" si="16"/>
        <v>23787</v>
      </c>
      <c r="O64" s="167">
        <f t="shared" si="17"/>
        <v>0</v>
      </c>
      <c r="P64" s="422">
        <f t="shared" si="18"/>
        <v>0</v>
      </c>
      <c r="Q64" s="167">
        <f t="shared" si="2"/>
        <v>132870</v>
      </c>
      <c r="R64" s="167">
        <f t="shared" si="19"/>
        <v>132869</v>
      </c>
      <c r="S64" s="424">
        <f t="shared" si="3"/>
        <v>1.0000075262100263</v>
      </c>
      <c r="T64" s="443">
        <f>IFERROR(VLOOKUP(Capacity_Entsoe_SFS_2018[[#This Row],[Country]],$AK$3:$AQ$39,7,0),0)</f>
        <v>30448</v>
      </c>
      <c r="U64" s="443">
        <f>IFERROR(VLOOKUP(Capacity_Entsoe_SFS_2018[[#This Row],[Country]],$AK$3:$AQ$39,4,0),0)</f>
        <v>96328</v>
      </c>
      <c r="AR64" s="168"/>
      <c r="AU64"/>
    </row>
    <row r="65" spans="1:47" x14ac:dyDescent="0.25">
      <c r="A65" s="259" t="str">
        <f t="shared" si="4"/>
        <v>GB</v>
      </c>
      <c r="B65" s="366">
        <f t="shared" si="5"/>
        <v>2018</v>
      </c>
      <c r="C65" s="366" t="s">
        <v>205</v>
      </c>
      <c r="D65" s="144">
        <f t="shared" si="6"/>
        <v>9160</v>
      </c>
      <c r="E65" s="144">
        <f t="shared" si="7"/>
        <v>0</v>
      </c>
      <c r="F65" s="167">
        <f t="shared" si="8"/>
        <v>10860</v>
      </c>
      <c r="G65" s="167">
        <f t="shared" si="9"/>
        <v>30176</v>
      </c>
      <c r="H65" s="422">
        <f t="shared" si="10"/>
        <v>882</v>
      </c>
      <c r="I65" s="167">
        <f t="shared" si="11"/>
        <v>13604</v>
      </c>
      <c r="J65" s="144">
        <f t="shared" si="12"/>
        <v>6610</v>
      </c>
      <c r="K65" s="422">
        <f t="shared" si="13"/>
        <v>13100</v>
      </c>
      <c r="L65" s="422">
        <f t="shared" si="14"/>
        <v>2017</v>
      </c>
      <c r="M65" s="422">
        <f t="shared" si="15"/>
        <v>5</v>
      </c>
      <c r="N65" s="167">
        <f t="shared" si="16"/>
        <v>3793</v>
      </c>
      <c r="O65" s="167">
        <f t="shared" si="17"/>
        <v>0</v>
      </c>
      <c r="P65" s="422">
        <f t="shared" si="18"/>
        <v>0</v>
      </c>
      <c r="Q65" s="167">
        <f t="shared" si="2"/>
        <v>90207</v>
      </c>
      <c r="R65" s="167">
        <f t="shared" si="19"/>
        <v>90207</v>
      </c>
      <c r="S65" s="424">
        <f t="shared" si="3"/>
        <v>1</v>
      </c>
      <c r="T65" s="443">
        <f>IFERROR(VLOOKUP(Capacity_Entsoe_SFS_2018[[#This Row],[Country]],$AK$3:$AQ$39,7,0),0)</f>
        <v>20369</v>
      </c>
      <c r="U65" s="443">
        <f>IFERROR(VLOOKUP(Capacity_Entsoe_SFS_2018[[#This Row],[Country]],$AK$3:$AQ$39,4,0),0)</f>
        <v>61437</v>
      </c>
      <c r="AR65" s="168"/>
      <c r="AU65"/>
    </row>
    <row r="66" spans="1:47" x14ac:dyDescent="0.25">
      <c r="A66" s="259" t="str">
        <f t="shared" si="4"/>
        <v>GR</v>
      </c>
      <c r="B66" s="366">
        <f t="shared" si="5"/>
        <v>2018</v>
      </c>
      <c r="C66" s="366" t="s">
        <v>205</v>
      </c>
      <c r="D66" s="144">
        <f t="shared" si="6"/>
        <v>0</v>
      </c>
      <c r="E66" s="144">
        <f t="shared" si="7"/>
        <v>3904</v>
      </c>
      <c r="F66" s="167">
        <f t="shared" si="8"/>
        <v>0</v>
      </c>
      <c r="G66" s="167">
        <f t="shared" si="9"/>
        <v>4269</v>
      </c>
      <c r="H66" s="422">
        <f t="shared" si="10"/>
        <v>0</v>
      </c>
      <c r="I66" s="167">
        <f t="shared" si="11"/>
        <v>2082</v>
      </c>
      <c r="J66" s="144">
        <f t="shared" si="12"/>
        <v>0</v>
      </c>
      <c r="K66" s="422">
        <f t="shared" si="13"/>
        <v>2448</v>
      </c>
      <c r="L66" s="422">
        <f t="shared" si="14"/>
        <v>60</v>
      </c>
      <c r="M66" s="422">
        <f t="shared" si="15"/>
        <v>230</v>
      </c>
      <c r="N66" s="167">
        <f t="shared" si="16"/>
        <v>3399</v>
      </c>
      <c r="O66" s="167">
        <f t="shared" si="17"/>
        <v>0</v>
      </c>
      <c r="P66" s="422">
        <f t="shared" si="18"/>
        <v>0</v>
      </c>
      <c r="Q66" s="167">
        <f t="shared" si="2"/>
        <v>16392</v>
      </c>
      <c r="R66" s="167">
        <f t="shared" si="19"/>
        <v>16392</v>
      </c>
      <c r="S66" s="424">
        <f t="shared" si="3"/>
        <v>1</v>
      </c>
      <c r="T66" s="443">
        <f>IFERROR(VLOOKUP(Capacity_Entsoe_SFS_2018[[#This Row],[Country]],$AK$3:$AQ$39,7,0),0)</f>
        <v>3437</v>
      </c>
      <c r="U66" s="443">
        <f>IFERROR(VLOOKUP(Capacity_Entsoe_SFS_2018[[#This Row],[Country]],$AK$3:$AQ$39,4,0),0)</f>
        <v>9062</v>
      </c>
      <c r="AR66" s="168"/>
      <c r="AU66"/>
    </row>
    <row r="67" spans="1:47" x14ac:dyDescent="0.25">
      <c r="A67" s="259" t="str">
        <f t="shared" si="4"/>
        <v>HR</v>
      </c>
      <c r="B67" s="366">
        <f t="shared" si="5"/>
        <v>2018</v>
      </c>
      <c r="C67" s="366" t="s">
        <v>205</v>
      </c>
      <c r="D67" s="144">
        <f t="shared" si="6"/>
        <v>0</v>
      </c>
      <c r="E67" s="144">
        <f t="shared" si="7"/>
        <v>0</v>
      </c>
      <c r="F67" s="167">
        <f t="shared" si="8"/>
        <v>325</v>
      </c>
      <c r="G67" s="167">
        <f t="shared" si="9"/>
        <v>743</v>
      </c>
      <c r="H67" s="422">
        <f t="shared" si="10"/>
        <v>950</v>
      </c>
      <c r="I67" s="167">
        <f t="shared" si="11"/>
        <v>556</v>
      </c>
      <c r="J67" s="144">
        <f t="shared" si="12"/>
        <v>0</v>
      </c>
      <c r="K67" s="422">
        <f t="shared" si="13"/>
        <v>52</v>
      </c>
      <c r="L67" s="422">
        <f t="shared" si="14"/>
        <v>99</v>
      </c>
      <c r="M67" s="422">
        <f t="shared" si="15"/>
        <v>12</v>
      </c>
      <c r="N67" s="167">
        <f t="shared" si="16"/>
        <v>2095</v>
      </c>
      <c r="O67" s="167">
        <f t="shared" si="17"/>
        <v>0</v>
      </c>
      <c r="P67" s="422">
        <f t="shared" si="18"/>
        <v>0</v>
      </c>
      <c r="Q67" s="167">
        <f t="shared" si="2"/>
        <v>4832</v>
      </c>
      <c r="R67" s="167">
        <f t="shared" si="19"/>
        <v>4832</v>
      </c>
      <c r="S67" s="424">
        <f t="shared" si="3"/>
        <v>1</v>
      </c>
      <c r="T67" s="443">
        <f>IFERROR(VLOOKUP(Capacity_Entsoe_SFS_2018[[#This Row],[Country]],$AK$3:$AQ$39,7,0),0)</f>
        <v>1249</v>
      </c>
      <c r="U67" s="443">
        <f>IFERROR(VLOOKUP(Capacity_Entsoe_SFS_2018[[#This Row],[Country]],$AK$3:$AQ$39,4,0),0)</f>
        <v>3168</v>
      </c>
      <c r="AR67" s="168"/>
      <c r="AU67"/>
    </row>
    <row r="68" spans="1:47" x14ac:dyDescent="0.25">
      <c r="A68" s="259" t="str">
        <f t="shared" si="4"/>
        <v>HU</v>
      </c>
      <c r="B68" s="366">
        <f t="shared" si="5"/>
        <v>2018</v>
      </c>
      <c r="C68" s="366" t="s">
        <v>205</v>
      </c>
      <c r="D68" s="144">
        <f t="shared" si="6"/>
        <v>1899</v>
      </c>
      <c r="E68" s="144">
        <f t="shared" si="7"/>
        <v>1049</v>
      </c>
      <c r="F68" s="167">
        <f t="shared" si="8"/>
        <v>0</v>
      </c>
      <c r="G68" s="167">
        <f t="shared" si="9"/>
        <v>4042</v>
      </c>
      <c r="H68" s="422">
        <f t="shared" si="10"/>
        <v>412</v>
      </c>
      <c r="I68" s="167">
        <f t="shared" si="11"/>
        <v>325</v>
      </c>
      <c r="J68" s="144">
        <f t="shared" si="12"/>
        <v>0</v>
      </c>
      <c r="K68" s="422">
        <f t="shared" si="13"/>
        <v>336</v>
      </c>
      <c r="L68" s="422">
        <f t="shared" si="14"/>
        <v>319</v>
      </c>
      <c r="M68" s="422">
        <f t="shared" si="15"/>
        <v>36</v>
      </c>
      <c r="N68" s="167">
        <f t="shared" si="16"/>
        <v>56</v>
      </c>
      <c r="O68" s="167">
        <f t="shared" si="17"/>
        <v>0</v>
      </c>
      <c r="P68" s="422">
        <f t="shared" si="18"/>
        <v>0</v>
      </c>
      <c r="Q68" s="167">
        <f t="shared" si="2"/>
        <v>8474</v>
      </c>
      <c r="R68" s="167">
        <f t="shared" si="19"/>
        <v>8474</v>
      </c>
      <c r="S68" s="424">
        <f t="shared" si="3"/>
        <v>1</v>
      </c>
      <c r="T68" s="443">
        <f>IFERROR(VLOOKUP(Capacity_Entsoe_SFS_2018[[#This Row],[Country]],$AK$3:$AQ$39,7,0),0)</f>
        <v>2914</v>
      </c>
      <c r="U68" s="443">
        <f>IFERROR(VLOOKUP(Capacity_Entsoe_SFS_2018[[#This Row],[Country]],$AK$3:$AQ$39,4,0),0)</f>
        <v>6572</v>
      </c>
      <c r="AR68" s="168"/>
      <c r="AU68"/>
    </row>
    <row r="69" spans="1:47" x14ac:dyDescent="0.25">
      <c r="A69" s="259" t="str">
        <f t="shared" si="4"/>
        <v>IE</v>
      </c>
      <c r="B69" s="366">
        <f t="shared" si="5"/>
        <v>2018</v>
      </c>
      <c r="C69" s="366" t="s">
        <v>205</v>
      </c>
      <c r="D69" s="144">
        <f t="shared" si="6"/>
        <v>0</v>
      </c>
      <c r="E69" s="144">
        <f t="shared" si="7"/>
        <v>0</v>
      </c>
      <c r="F69" s="167">
        <f t="shared" si="8"/>
        <v>855</v>
      </c>
      <c r="G69" s="167">
        <f t="shared" si="9"/>
        <v>4215</v>
      </c>
      <c r="H69" s="422">
        <f t="shared" si="10"/>
        <v>1144</v>
      </c>
      <c r="I69" s="167">
        <f t="shared" si="11"/>
        <v>3080</v>
      </c>
      <c r="J69" s="144">
        <f t="shared" si="12"/>
        <v>0</v>
      </c>
      <c r="K69" s="422">
        <f t="shared" si="13"/>
        <v>0</v>
      </c>
      <c r="L69" s="422">
        <f t="shared" si="14"/>
        <v>0</v>
      </c>
      <c r="M69" s="422">
        <f t="shared" si="15"/>
        <v>647</v>
      </c>
      <c r="N69" s="167">
        <f t="shared" si="16"/>
        <v>238</v>
      </c>
      <c r="O69" s="167">
        <f t="shared" si="17"/>
        <v>292</v>
      </c>
      <c r="P69" s="422">
        <f t="shared" si="18"/>
        <v>40</v>
      </c>
      <c r="Q69" s="167">
        <f t="shared" si="2"/>
        <v>10511</v>
      </c>
      <c r="R69" s="167">
        <f t="shared" si="19"/>
        <v>10510</v>
      </c>
      <c r="S69" s="424">
        <f t="shared" si="3"/>
        <v>1.0000951474785917</v>
      </c>
      <c r="T69" s="443">
        <f>IFERROR(VLOOKUP(Capacity_Entsoe_SFS_2018[[#This Row],[Country]],$AK$3:$AQ$39,7,0),0)</f>
        <v>2044</v>
      </c>
      <c r="U69" s="443">
        <f>IFERROR(VLOOKUP(Capacity_Entsoe_SFS_2018[[#This Row],[Country]],$AK$3:$AQ$39,4,0),0)</f>
        <v>4895</v>
      </c>
      <c r="AR69" s="168"/>
      <c r="AU69"/>
    </row>
    <row r="70" spans="1:47" x14ac:dyDescent="0.25">
      <c r="A70" s="259" t="str">
        <f t="shared" si="4"/>
        <v>IS</v>
      </c>
      <c r="B70" s="366">
        <f t="shared" si="5"/>
        <v>2018</v>
      </c>
      <c r="C70" s="366" t="s">
        <v>205</v>
      </c>
      <c r="D70" s="144">
        <f t="shared" si="6"/>
        <v>0</v>
      </c>
      <c r="E70" s="144">
        <f t="shared" si="7"/>
        <v>0</v>
      </c>
      <c r="F70" s="167">
        <f t="shared" si="8"/>
        <v>0</v>
      </c>
      <c r="G70" s="167">
        <f t="shared" si="9"/>
        <v>0</v>
      </c>
      <c r="H70" s="422">
        <f t="shared" si="10"/>
        <v>11</v>
      </c>
      <c r="I70" s="167">
        <f t="shared" si="11"/>
        <v>2</v>
      </c>
      <c r="J70" s="144">
        <f t="shared" si="12"/>
        <v>0</v>
      </c>
      <c r="K70" s="422">
        <f t="shared" si="13"/>
        <v>0</v>
      </c>
      <c r="L70" s="422">
        <f t="shared" si="14"/>
        <v>0</v>
      </c>
      <c r="M70" s="422">
        <f t="shared" si="15"/>
        <v>748</v>
      </c>
      <c r="N70" s="167">
        <f t="shared" si="16"/>
        <v>1973</v>
      </c>
      <c r="O70" s="167">
        <f t="shared" si="17"/>
        <v>0</v>
      </c>
      <c r="P70" s="422">
        <f t="shared" si="18"/>
        <v>0</v>
      </c>
      <c r="Q70" s="167">
        <f t="shared" si="2"/>
        <v>2734</v>
      </c>
      <c r="R70" s="167">
        <f t="shared" si="19"/>
        <v>2733</v>
      </c>
      <c r="S70" s="424">
        <f t="shared" si="3"/>
        <v>1.0003658982802781</v>
      </c>
      <c r="T70" s="443">
        <f>IFERROR(VLOOKUP(Capacity_Entsoe_SFS_2018[[#This Row],[Country]],$AK$3:$AQ$39,7,0),0)</f>
        <v>1522</v>
      </c>
      <c r="U70" s="443">
        <f>IFERROR(VLOOKUP(Capacity_Entsoe_SFS_2018[[#This Row],[Country]],$AK$3:$AQ$39,4,0),0)</f>
        <v>2450</v>
      </c>
      <c r="AR70" s="168"/>
      <c r="AU70"/>
    </row>
    <row r="71" spans="1:47" x14ac:dyDescent="0.25">
      <c r="A71" s="259" t="str">
        <f t="shared" si="4"/>
        <v>IT</v>
      </c>
      <c r="B71" s="366">
        <f t="shared" si="5"/>
        <v>2018</v>
      </c>
      <c r="C71" s="366" t="s">
        <v>205</v>
      </c>
      <c r="D71" s="144">
        <f t="shared" si="6"/>
        <v>0</v>
      </c>
      <c r="E71" s="144">
        <f t="shared" si="7"/>
        <v>0</v>
      </c>
      <c r="F71" s="167">
        <f t="shared" si="8"/>
        <v>6444</v>
      </c>
      <c r="G71" s="167">
        <f t="shared" si="9"/>
        <v>52086</v>
      </c>
      <c r="H71" s="422">
        <f t="shared" si="10"/>
        <v>8599</v>
      </c>
      <c r="I71" s="167">
        <f t="shared" si="11"/>
        <v>10310</v>
      </c>
      <c r="J71" s="144">
        <f t="shared" si="12"/>
        <v>0</v>
      </c>
      <c r="K71" s="422">
        <f t="shared" si="13"/>
        <v>20120</v>
      </c>
      <c r="L71" s="422">
        <f t="shared" si="14"/>
        <v>2934</v>
      </c>
      <c r="M71" s="422">
        <f t="shared" si="15"/>
        <v>1228</v>
      </c>
      <c r="N71" s="167">
        <f t="shared" si="16"/>
        <v>21945</v>
      </c>
      <c r="O71" s="167">
        <f t="shared" si="17"/>
        <v>4753</v>
      </c>
      <c r="P71" s="422">
        <f t="shared" si="18"/>
        <v>2517</v>
      </c>
      <c r="Q71" s="167">
        <f t="shared" si="2"/>
        <v>130936</v>
      </c>
      <c r="R71" s="167">
        <f t="shared" si="19"/>
        <v>130935</v>
      </c>
      <c r="S71" s="424">
        <f t="shared" si="3"/>
        <v>1.0000076373773246</v>
      </c>
      <c r="T71" s="443">
        <f>IFERROR(VLOOKUP(Capacity_Entsoe_SFS_2018[[#This Row],[Country]],$AK$3:$AQ$39,7,0),0)</f>
        <v>19511</v>
      </c>
      <c r="U71" s="443">
        <f>IFERROR(VLOOKUP(Capacity_Entsoe_SFS_2018[[#This Row],[Country]],$AK$3:$AQ$39,4,0),0)</f>
        <v>57572</v>
      </c>
      <c r="AR71" s="168"/>
      <c r="AU71"/>
    </row>
    <row r="72" spans="1:47" x14ac:dyDescent="0.25">
      <c r="A72" s="259" t="str">
        <f t="shared" si="4"/>
        <v>LT</v>
      </c>
      <c r="B72" s="366">
        <f t="shared" si="5"/>
        <v>2018</v>
      </c>
      <c r="C72" s="366" t="s">
        <v>205</v>
      </c>
      <c r="D72" s="144">
        <f t="shared" si="6"/>
        <v>0</v>
      </c>
      <c r="E72" s="144">
        <f t="shared" si="7"/>
        <v>0</v>
      </c>
      <c r="F72" s="167">
        <f t="shared" si="8"/>
        <v>0</v>
      </c>
      <c r="G72" s="167">
        <f t="shared" si="9"/>
        <v>568</v>
      </c>
      <c r="H72" s="422">
        <f t="shared" si="10"/>
        <v>1192</v>
      </c>
      <c r="I72" s="167">
        <f t="shared" si="11"/>
        <v>533</v>
      </c>
      <c r="J72" s="144">
        <f t="shared" si="12"/>
        <v>0</v>
      </c>
      <c r="K72" s="422">
        <f t="shared" si="13"/>
        <v>83</v>
      </c>
      <c r="L72" s="422">
        <f t="shared" si="14"/>
        <v>93</v>
      </c>
      <c r="M72" s="422">
        <f t="shared" si="15"/>
        <v>0</v>
      </c>
      <c r="N72" s="167">
        <f t="shared" si="16"/>
        <v>127</v>
      </c>
      <c r="O72" s="167">
        <f t="shared" si="17"/>
        <v>900</v>
      </c>
      <c r="P72" s="422">
        <f t="shared" si="18"/>
        <v>57</v>
      </c>
      <c r="Q72" s="167">
        <f t="shared" si="2"/>
        <v>3553</v>
      </c>
      <c r="R72" s="167">
        <f t="shared" si="19"/>
        <v>3553</v>
      </c>
      <c r="S72" s="424">
        <f t="shared" si="3"/>
        <v>1</v>
      </c>
      <c r="T72" s="443">
        <f>IFERROR(VLOOKUP(Capacity_Entsoe_SFS_2018[[#This Row],[Country]],$AK$3:$AQ$39,7,0),0)</f>
        <v>858</v>
      </c>
      <c r="U72" s="443">
        <f>IFERROR(VLOOKUP(Capacity_Entsoe_SFS_2018[[#This Row],[Country]],$AK$3:$AQ$39,4,0),0)</f>
        <v>1999</v>
      </c>
      <c r="AR72" s="168"/>
      <c r="AU72"/>
    </row>
    <row r="73" spans="1:47" x14ac:dyDescent="0.25">
      <c r="A73" s="259" t="str">
        <f t="shared" si="4"/>
        <v>LU</v>
      </c>
      <c r="B73" s="366">
        <f t="shared" ref="B73:B77" si="20">B29</f>
        <v>2018</v>
      </c>
      <c r="C73" s="366" t="s">
        <v>205</v>
      </c>
      <c r="D73" s="144">
        <f t="shared" si="6"/>
        <v>0</v>
      </c>
      <c r="E73" s="144">
        <f t="shared" si="7"/>
        <v>0</v>
      </c>
      <c r="F73" s="167">
        <f t="shared" si="8"/>
        <v>0</v>
      </c>
      <c r="G73" s="167">
        <f t="shared" si="9"/>
        <v>136</v>
      </c>
      <c r="H73" s="422">
        <f t="shared" si="10"/>
        <v>0</v>
      </c>
      <c r="I73" s="167">
        <f t="shared" si="11"/>
        <v>120</v>
      </c>
      <c r="J73" s="144">
        <f t="shared" si="12"/>
        <v>0</v>
      </c>
      <c r="K73" s="422">
        <f t="shared" si="13"/>
        <v>128</v>
      </c>
      <c r="L73" s="422">
        <f t="shared" si="14"/>
        <v>11</v>
      </c>
      <c r="M73" s="422">
        <f t="shared" si="15"/>
        <v>0</v>
      </c>
      <c r="N73" s="167">
        <f t="shared" si="16"/>
        <v>32</v>
      </c>
      <c r="O73" s="167">
        <f t="shared" si="17"/>
        <v>1296</v>
      </c>
      <c r="P73" s="422">
        <f t="shared" si="18"/>
        <v>21</v>
      </c>
      <c r="Q73" s="167">
        <f t="shared" si="2"/>
        <v>1744</v>
      </c>
      <c r="R73" s="167">
        <f t="shared" si="19"/>
        <v>1744</v>
      </c>
      <c r="S73" s="424">
        <f t="shared" si="3"/>
        <v>1</v>
      </c>
      <c r="T73" s="443">
        <f>IFERROR(VLOOKUP(Capacity_Entsoe_SFS_2018[[#This Row],[Country]],$AK$3:$AQ$39,7,0),0)</f>
        <v>401</v>
      </c>
      <c r="U73" s="443">
        <f>IFERROR(VLOOKUP(Capacity_Entsoe_SFS_2018[[#This Row],[Country]],$AK$3:$AQ$39,4,0),0)</f>
        <v>1031</v>
      </c>
      <c r="AR73" s="168"/>
      <c r="AU73"/>
    </row>
    <row r="74" spans="1:47" x14ac:dyDescent="0.25">
      <c r="A74" s="259" t="str">
        <f t="shared" si="4"/>
        <v>LV</v>
      </c>
      <c r="B74" s="366">
        <f t="shared" si="20"/>
        <v>2018</v>
      </c>
      <c r="C74" s="366" t="s">
        <v>205</v>
      </c>
      <c r="D74" s="144">
        <f t="shared" si="6"/>
        <v>0</v>
      </c>
      <c r="E74" s="144">
        <f t="shared" si="7"/>
        <v>0</v>
      </c>
      <c r="F74" s="167">
        <f t="shared" si="8"/>
        <v>0</v>
      </c>
      <c r="G74" s="167">
        <f t="shared" si="9"/>
        <v>1031</v>
      </c>
      <c r="H74" s="422">
        <f t="shared" si="10"/>
        <v>90</v>
      </c>
      <c r="I74" s="167">
        <f t="shared" si="11"/>
        <v>77</v>
      </c>
      <c r="J74" s="144">
        <f t="shared" si="12"/>
        <v>0</v>
      </c>
      <c r="K74" s="422">
        <f t="shared" si="13"/>
        <v>0</v>
      </c>
      <c r="L74" s="422">
        <f t="shared" si="14"/>
        <v>74</v>
      </c>
      <c r="M74" s="422">
        <f t="shared" si="15"/>
        <v>0</v>
      </c>
      <c r="N74" s="167">
        <f t="shared" si="16"/>
        <v>1557</v>
      </c>
      <c r="O74" s="167">
        <f t="shared" si="17"/>
        <v>0</v>
      </c>
      <c r="P74" s="422">
        <f t="shared" si="18"/>
        <v>0</v>
      </c>
      <c r="Q74" s="167">
        <f t="shared" si="2"/>
        <v>2829</v>
      </c>
      <c r="R74" s="167">
        <f t="shared" si="19"/>
        <v>2829</v>
      </c>
      <c r="S74" s="424">
        <f t="shared" si="3"/>
        <v>1</v>
      </c>
      <c r="T74" s="443">
        <f>IFERROR(VLOOKUP(Capacity_Entsoe_SFS_2018[[#This Row],[Country]],$AK$3:$AQ$39,7,0),0)</f>
        <v>459</v>
      </c>
      <c r="U74" s="443">
        <f>IFERROR(VLOOKUP(Capacity_Entsoe_SFS_2018[[#This Row],[Country]],$AK$3:$AQ$39,4,0),0)</f>
        <v>1252</v>
      </c>
      <c r="AR74" s="168"/>
      <c r="AU74"/>
    </row>
    <row r="75" spans="1:47" x14ac:dyDescent="0.25">
      <c r="A75" s="259" t="str">
        <f t="shared" si="4"/>
        <v>ME</v>
      </c>
      <c r="B75" s="366">
        <f t="shared" si="20"/>
        <v>2018</v>
      </c>
      <c r="C75" s="366" t="s">
        <v>205</v>
      </c>
      <c r="D75" s="144">
        <f t="shared" si="6"/>
        <v>0</v>
      </c>
      <c r="E75" s="144">
        <f t="shared" si="7"/>
        <v>220</v>
      </c>
      <c r="F75" s="167">
        <f t="shared" si="8"/>
        <v>0</v>
      </c>
      <c r="G75" s="167">
        <f t="shared" si="9"/>
        <v>0</v>
      </c>
      <c r="H75" s="422">
        <f t="shared" si="10"/>
        <v>0</v>
      </c>
      <c r="I75" s="167">
        <f t="shared" si="11"/>
        <v>72</v>
      </c>
      <c r="J75" s="144">
        <f t="shared" si="12"/>
        <v>0</v>
      </c>
      <c r="K75" s="422">
        <f t="shared" si="13"/>
        <v>0</v>
      </c>
      <c r="L75" s="422">
        <f t="shared" si="14"/>
        <v>0</v>
      </c>
      <c r="M75" s="422">
        <f t="shared" si="15"/>
        <v>0</v>
      </c>
      <c r="N75" s="167">
        <f t="shared" si="16"/>
        <v>0</v>
      </c>
      <c r="O75" s="167">
        <f t="shared" si="17"/>
        <v>660</v>
      </c>
      <c r="P75" s="422">
        <f t="shared" si="18"/>
        <v>0</v>
      </c>
      <c r="Q75" s="167">
        <f t="shared" si="2"/>
        <v>952</v>
      </c>
      <c r="R75" s="167">
        <f t="shared" si="19"/>
        <v>952</v>
      </c>
      <c r="S75" s="424">
        <f t="shared" si="3"/>
        <v>1</v>
      </c>
      <c r="T75" s="443">
        <f>IFERROR(VLOOKUP(Capacity_Entsoe_SFS_2018[[#This Row],[Country]],$AK$3:$AQ$39,7,0),0)</f>
        <v>228</v>
      </c>
      <c r="U75" s="443">
        <f>IFERROR(VLOOKUP(Capacity_Entsoe_SFS_2018[[#This Row],[Country]],$AK$3:$AQ$39,4,0),0)</f>
        <v>590</v>
      </c>
      <c r="AR75" s="168"/>
      <c r="AU75"/>
    </row>
    <row r="76" spans="1:47" x14ac:dyDescent="0.25">
      <c r="A76" s="259" t="str">
        <f t="shared" si="4"/>
        <v>MK</v>
      </c>
      <c r="B76" s="366">
        <f t="shared" si="20"/>
        <v>2018</v>
      </c>
      <c r="C76" s="366" t="s">
        <v>205</v>
      </c>
      <c r="D76" s="144">
        <f t="shared" si="6"/>
        <v>0</v>
      </c>
      <c r="E76" s="144">
        <f t="shared" si="7"/>
        <v>718</v>
      </c>
      <c r="F76" s="167">
        <f t="shared" si="8"/>
        <v>0</v>
      </c>
      <c r="G76" s="167">
        <f t="shared" si="9"/>
        <v>250</v>
      </c>
      <c r="H76" s="422">
        <f t="shared" si="10"/>
        <v>189</v>
      </c>
      <c r="I76" s="167">
        <f t="shared" si="11"/>
        <v>37</v>
      </c>
      <c r="J76" s="144">
        <f t="shared" si="12"/>
        <v>0</v>
      </c>
      <c r="K76" s="422">
        <f t="shared" si="13"/>
        <v>17</v>
      </c>
      <c r="L76" s="422">
        <f t="shared" si="14"/>
        <v>7</v>
      </c>
      <c r="M76" s="422">
        <f t="shared" si="15"/>
        <v>0</v>
      </c>
      <c r="N76" s="167">
        <f t="shared" si="16"/>
        <v>676</v>
      </c>
      <c r="O76" s="167">
        <f t="shared" si="17"/>
        <v>0</v>
      </c>
      <c r="P76" s="422">
        <f t="shared" si="18"/>
        <v>0</v>
      </c>
      <c r="Q76" s="167">
        <f t="shared" si="2"/>
        <v>1894</v>
      </c>
      <c r="R76" s="167">
        <f t="shared" si="19"/>
        <v>1894</v>
      </c>
      <c r="S76" s="424">
        <f t="shared" si="3"/>
        <v>1</v>
      </c>
      <c r="T76" s="443">
        <f>IFERROR(VLOOKUP(Capacity_Entsoe_SFS_2018[[#This Row],[Country]],$AK$3:$AQ$39,7,0),0)</f>
        <v>369</v>
      </c>
      <c r="U76" s="443">
        <f>IFERROR(VLOOKUP(Capacity_Entsoe_SFS_2018[[#This Row],[Country]],$AK$3:$AQ$39,4,0),0)</f>
        <v>1388</v>
      </c>
      <c r="AR76" s="168"/>
      <c r="AU76"/>
    </row>
    <row r="77" spans="1:47" x14ac:dyDescent="0.25">
      <c r="A77" s="259" t="str">
        <f t="shared" si="4"/>
        <v>NL</v>
      </c>
      <c r="B77" s="366">
        <f t="shared" si="20"/>
        <v>2018</v>
      </c>
      <c r="C77" s="366" t="s">
        <v>205</v>
      </c>
      <c r="D77" s="144">
        <f t="shared" si="6"/>
        <v>486</v>
      </c>
      <c r="E77" s="144">
        <f t="shared" si="7"/>
        <v>0</v>
      </c>
      <c r="F77" s="167">
        <f t="shared" si="8"/>
        <v>4631</v>
      </c>
      <c r="G77" s="167">
        <f t="shared" si="9"/>
        <v>15570</v>
      </c>
      <c r="H77" s="422">
        <f t="shared" si="10"/>
        <v>0</v>
      </c>
      <c r="I77" s="167">
        <f t="shared" si="11"/>
        <v>3669</v>
      </c>
      <c r="J77" s="144">
        <f t="shared" si="12"/>
        <v>957</v>
      </c>
      <c r="K77" s="422">
        <f t="shared" si="13"/>
        <v>3937</v>
      </c>
      <c r="L77" s="422">
        <f t="shared" si="14"/>
        <v>485</v>
      </c>
      <c r="M77" s="422">
        <f t="shared" si="15"/>
        <v>758</v>
      </c>
      <c r="N77" s="167">
        <f t="shared" si="16"/>
        <v>38</v>
      </c>
      <c r="O77" s="167">
        <f t="shared" si="17"/>
        <v>0</v>
      </c>
      <c r="P77" s="422">
        <f t="shared" si="18"/>
        <v>0</v>
      </c>
      <c r="Q77" s="167">
        <f t="shared" si="2"/>
        <v>30531</v>
      </c>
      <c r="R77" s="167">
        <f t="shared" si="19"/>
        <v>30531</v>
      </c>
      <c r="S77" s="424">
        <f t="shared" si="3"/>
        <v>1</v>
      </c>
      <c r="T77" s="443">
        <f>IFERROR(VLOOKUP(Capacity_Entsoe_SFS_2018[[#This Row],[Country]],$AK$3:$AQ$39,7,0),0)</f>
        <v>9245</v>
      </c>
      <c r="U77" s="443">
        <f>IFERROR(VLOOKUP(Capacity_Entsoe_SFS_2018[[#This Row],[Country]],$AK$3:$AQ$39,4,0),0)</f>
        <v>18479</v>
      </c>
      <c r="AR77" s="168"/>
      <c r="AU77"/>
    </row>
    <row r="78" spans="1:47" x14ac:dyDescent="0.25">
      <c r="A78" s="259" t="str">
        <f t="shared" si="4"/>
        <v>NO</v>
      </c>
      <c r="B78" s="366">
        <f t="shared" ref="B78:B81" si="21">B35</f>
        <v>2018</v>
      </c>
      <c r="C78" s="366" t="s">
        <v>205</v>
      </c>
      <c r="D78" s="144">
        <f t="shared" si="6"/>
        <v>0</v>
      </c>
      <c r="E78" s="144">
        <f t="shared" si="7"/>
        <v>0</v>
      </c>
      <c r="F78" s="167">
        <f t="shared" si="8"/>
        <v>0</v>
      </c>
      <c r="G78" s="167">
        <f t="shared" si="9"/>
        <v>542</v>
      </c>
      <c r="H78" s="422">
        <f t="shared" si="10"/>
        <v>0</v>
      </c>
      <c r="I78" s="167">
        <f t="shared" si="11"/>
        <v>1749</v>
      </c>
      <c r="J78" s="144">
        <f t="shared" si="12"/>
        <v>0</v>
      </c>
      <c r="K78" s="422">
        <f t="shared" si="13"/>
        <v>45</v>
      </c>
      <c r="L78" s="422">
        <f t="shared" si="14"/>
        <v>7</v>
      </c>
      <c r="M78" s="422">
        <f t="shared" si="15"/>
        <v>104</v>
      </c>
      <c r="N78" s="167">
        <f t="shared" si="16"/>
        <v>32574</v>
      </c>
      <c r="O78" s="167">
        <f t="shared" si="17"/>
        <v>0</v>
      </c>
      <c r="P78" s="422">
        <f t="shared" si="18"/>
        <v>0</v>
      </c>
      <c r="Q78" s="167">
        <f t="shared" si="2"/>
        <v>35021</v>
      </c>
      <c r="R78" s="167">
        <f t="shared" si="19"/>
        <v>35022</v>
      </c>
      <c r="S78" s="424">
        <f t="shared" si="3"/>
        <v>0.99997144651933068</v>
      </c>
      <c r="T78" s="443">
        <f>IFERROR(VLOOKUP(Capacity_Entsoe_SFS_2018[[#This Row],[Country]],$AK$3:$AQ$39,7,0),0)</f>
        <v>9343</v>
      </c>
      <c r="U78" s="443">
        <f>IFERROR(VLOOKUP(Capacity_Entsoe_SFS_2018[[#This Row],[Country]],$AK$3:$AQ$39,4,0),0)</f>
        <v>24108</v>
      </c>
      <c r="AR78" s="168"/>
      <c r="AU78"/>
    </row>
    <row r="79" spans="1:47" x14ac:dyDescent="0.25">
      <c r="A79" s="259" t="str">
        <f t="shared" si="4"/>
        <v>PL</v>
      </c>
      <c r="B79" s="366">
        <f t="shared" si="21"/>
        <v>2018</v>
      </c>
      <c r="C79" s="366" t="s">
        <v>205</v>
      </c>
      <c r="D79" s="144">
        <f t="shared" si="6"/>
        <v>0</v>
      </c>
      <c r="E79" s="144">
        <f t="shared" si="7"/>
        <v>8049</v>
      </c>
      <c r="F79" s="167">
        <f t="shared" si="8"/>
        <v>19195</v>
      </c>
      <c r="G79" s="167">
        <f t="shared" si="9"/>
        <v>2972</v>
      </c>
      <c r="H79" s="422">
        <f t="shared" si="10"/>
        <v>379</v>
      </c>
      <c r="I79" s="167">
        <f t="shared" si="11"/>
        <v>5608</v>
      </c>
      <c r="J79" s="144">
        <f t="shared" si="12"/>
        <v>0</v>
      </c>
      <c r="K79" s="422">
        <f t="shared" si="13"/>
        <v>399</v>
      </c>
      <c r="L79" s="422">
        <f t="shared" si="14"/>
        <v>864</v>
      </c>
      <c r="M79" s="422">
        <f t="shared" si="15"/>
        <v>0</v>
      </c>
      <c r="N79" s="167">
        <f t="shared" si="16"/>
        <v>957</v>
      </c>
      <c r="O79" s="167">
        <f t="shared" si="17"/>
        <v>1398</v>
      </c>
      <c r="P79" s="422">
        <f t="shared" si="18"/>
        <v>57</v>
      </c>
      <c r="Q79" s="167">
        <f t="shared" si="2"/>
        <v>39878</v>
      </c>
      <c r="R79" s="167">
        <f t="shared" si="19"/>
        <v>39878</v>
      </c>
      <c r="S79" s="424">
        <f t="shared" si="3"/>
        <v>1</v>
      </c>
      <c r="T79" s="443">
        <f>IFERROR(VLOOKUP(Capacity_Entsoe_SFS_2018[[#This Row],[Country]],$AK$3:$AQ$39,7,0),0)</f>
        <v>11339</v>
      </c>
      <c r="U79" s="443">
        <f>IFERROR(VLOOKUP(Capacity_Entsoe_SFS_2018[[#This Row],[Country]],$AK$3:$AQ$39,4,0),0)</f>
        <v>24465</v>
      </c>
      <c r="AR79" s="168"/>
      <c r="AU79"/>
    </row>
    <row r="80" spans="1:47" x14ac:dyDescent="0.25">
      <c r="A80" s="259" t="str">
        <f t="shared" si="4"/>
        <v>PT</v>
      </c>
      <c r="B80" s="366">
        <f t="shared" si="21"/>
        <v>2018</v>
      </c>
      <c r="C80" s="366" t="s">
        <v>205</v>
      </c>
      <c r="D80" s="144">
        <f t="shared" si="6"/>
        <v>0</v>
      </c>
      <c r="E80" s="144">
        <f t="shared" si="7"/>
        <v>0</v>
      </c>
      <c r="F80" s="167">
        <f t="shared" si="8"/>
        <v>1756</v>
      </c>
      <c r="G80" s="167">
        <f t="shared" si="9"/>
        <v>4609</v>
      </c>
      <c r="H80" s="422">
        <f t="shared" si="10"/>
        <v>14</v>
      </c>
      <c r="I80" s="167">
        <f t="shared" si="11"/>
        <v>5150</v>
      </c>
      <c r="J80" s="144">
        <f t="shared" si="12"/>
        <v>0</v>
      </c>
      <c r="K80" s="422">
        <f t="shared" si="13"/>
        <v>558</v>
      </c>
      <c r="L80" s="422">
        <f t="shared" si="14"/>
        <v>658</v>
      </c>
      <c r="M80" s="422">
        <f t="shared" si="15"/>
        <v>0</v>
      </c>
      <c r="N80" s="167">
        <f t="shared" si="16"/>
        <v>7215</v>
      </c>
      <c r="O80" s="167">
        <f t="shared" si="17"/>
        <v>0</v>
      </c>
      <c r="P80" s="422">
        <f t="shared" si="18"/>
        <v>18</v>
      </c>
      <c r="Q80" s="167">
        <f t="shared" si="2"/>
        <v>19978</v>
      </c>
      <c r="R80" s="167">
        <f t="shared" si="19"/>
        <v>19978</v>
      </c>
      <c r="S80" s="424">
        <f t="shared" si="3"/>
        <v>1</v>
      </c>
      <c r="T80" s="443">
        <f>IFERROR(VLOOKUP(Capacity_Entsoe_SFS_2018[[#This Row],[Country]],$AK$3:$AQ$39,7,0),0)</f>
        <v>3561</v>
      </c>
      <c r="U80" s="443">
        <f>IFERROR(VLOOKUP(Capacity_Entsoe_SFS_2018[[#This Row],[Country]],$AK$3:$AQ$39,4,0),0)</f>
        <v>8721</v>
      </c>
      <c r="AR80" s="168"/>
      <c r="AU80"/>
    </row>
    <row r="81" spans="1:47" x14ac:dyDescent="0.25">
      <c r="A81" s="259" t="str">
        <f t="shared" si="4"/>
        <v>RO</v>
      </c>
      <c r="B81" s="366">
        <f t="shared" si="21"/>
        <v>2018</v>
      </c>
      <c r="C81" s="366" t="s">
        <v>205</v>
      </c>
      <c r="D81" s="144">
        <f t="shared" si="6"/>
        <v>1300</v>
      </c>
      <c r="E81" s="144">
        <f t="shared" si="7"/>
        <v>3341</v>
      </c>
      <c r="F81" s="167">
        <f t="shared" si="8"/>
        <v>1032</v>
      </c>
      <c r="G81" s="167">
        <f t="shared" si="9"/>
        <v>1826</v>
      </c>
      <c r="H81" s="422">
        <f t="shared" si="10"/>
        <v>1578</v>
      </c>
      <c r="I81" s="167">
        <f t="shared" si="11"/>
        <v>2977</v>
      </c>
      <c r="J81" s="144">
        <f t="shared" si="12"/>
        <v>0</v>
      </c>
      <c r="K81" s="422">
        <f t="shared" si="13"/>
        <v>1262</v>
      </c>
      <c r="L81" s="422">
        <f t="shared" si="14"/>
        <v>121</v>
      </c>
      <c r="M81" s="422">
        <f t="shared" si="15"/>
        <v>0</v>
      </c>
      <c r="N81" s="167">
        <f t="shared" si="16"/>
        <v>6329</v>
      </c>
      <c r="O81" s="167">
        <f t="shared" si="17"/>
        <v>0</v>
      </c>
      <c r="P81" s="422">
        <f t="shared" si="18"/>
        <v>0</v>
      </c>
      <c r="Q81" s="167">
        <f t="shared" si="2"/>
        <v>19766</v>
      </c>
      <c r="R81" s="167">
        <f t="shared" si="19"/>
        <v>19766</v>
      </c>
      <c r="S81" s="424">
        <f t="shared" ref="S81" si="22">Q81/R81</f>
        <v>1</v>
      </c>
      <c r="T81" s="443">
        <f>IFERROR(VLOOKUP(Capacity_Entsoe_SFS_2018[[#This Row],[Country]],$AK$3:$AQ$39,7,0),0)</f>
        <v>4091</v>
      </c>
      <c r="U81" s="443">
        <f>IFERROR(VLOOKUP(Capacity_Entsoe_SFS_2018[[#This Row],[Country]],$AK$3:$AQ$39,4,0),0)</f>
        <v>8920</v>
      </c>
      <c r="AR81" s="168"/>
      <c r="AU81"/>
    </row>
    <row r="82" spans="1:47" x14ac:dyDescent="0.25">
      <c r="A82" s="259" t="str">
        <f t="shared" si="4"/>
        <v>RS</v>
      </c>
      <c r="B82" s="366">
        <f>B3</f>
        <v>2018</v>
      </c>
      <c r="C82" s="366" t="str">
        <f>C3</f>
        <v>MW</v>
      </c>
      <c r="D82" s="144">
        <f t="shared" si="6"/>
        <v>0</v>
      </c>
      <c r="E82" s="144">
        <f t="shared" si="7"/>
        <v>5314</v>
      </c>
      <c r="F82" s="167">
        <f t="shared" si="8"/>
        <v>0</v>
      </c>
      <c r="G82" s="167">
        <f t="shared" si="9"/>
        <v>208</v>
      </c>
      <c r="H82" s="422">
        <f t="shared" si="10"/>
        <v>0</v>
      </c>
      <c r="I82" s="167">
        <f t="shared" si="11"/>
        <v>239</v>
      </c>
      <c r="J82" s="144">
        <f t="shared" si="12"/>
        <v>0</v>
      </c>
      <c r="K82" s="422">
        <f t="shared" si="13"/>
        <v>0</v>
      </c>
      <c r="L82" s="422">
        <f t="shared" si="14"/>
        <v>0</v>
      </c>
      <c r="M82" s="422">
        <f t="shared" si="15"/>
        <v>0</v>
      </c>
      <c r="N82" s="167">
        <f t="shared" si="16"/>
        <v>2391</v>
      </c>
      <c r="O82" s="167">
        <f t="shared" si="17"/>
        <v>614</v>
      </c>
      <c r="P82" s="422">
        <f t="shared" si="18"/>
        <v>0</v>
      </c>
      <c r="Q82" s="167">
        <f t="shared" si="2"/>
        <v>8766</v>
      </c>
      <c r="R82" s="167">
        <f t="shared" si="19"/>
        <v>8766</v>
      </c>
      <c r="S82" s="424">
        <f t="shared" ref="S82:S88" si="23">Q82/R82</f>
        <v>1</v>
      </c>
      <c r="T82" s="443">
        <f>IFERROR(VLOOKUP(Capacity_Entsoe_SFS_2018[[#This Row],[Country]],$AK$3:$AQ$39,7,0),0)</f>
        <v>2428</v>
      </c>
      <c r="U82" s="443">
        <f>IFERROR(VLOOKUP(Capacity_Entsoe_SFS_2018[[#This Row],[Country]],$AK$3:$AQ$39,4,0),0)</f>
        <v>6867</v>
      </c>
      <c r="AR82" s="168"/>
      <c r="AU82"/>
    </row>
    <row r="83" spans="1:47" x14ac:dyDescent="0.25">
      <c r="A83" s="259" t="str">
        <f t="shared" si="4"/>
        <v>SE</v>
      </c>
      <c r="B83" s="366">
        <f>B5</f>
        <v>2018</v>
      </c>
      <c r="C83" s="366" t="s">
        <v>205</v>
      </c>
      <c r="D83" s="144">
        <f t="shared" si="6"/>
        <v>8614</v>
      </c>
      <c r="E83" s="144">
        <f t="shared" si="7"/>
        <v>0</v>
      </c>
      <c r="F83" s="167">
        <f t="shared" si="8"/>
        <v>205</v>
      </c>
      <c r="G83" s="167">
        <f t="shared" si="9"/>
        <v>849</v>
      </c>
      <c r="H83" s="422">
        <f t="shared" si="10"/>
        <v>2815</v>
      </c>
      <c r="I83" s="167">
        <f t="shared" si="11"/>
        <v>7205</v>
      </c>
      <c r="J83" s="144">
        <f t="shared" si="12"/>
        <v>0</v>
      </c>
      <c r="K83" s="422">
        <f t="shared" si="13"/>
        <v>0</v>
      </c>
      <c r="L83" s="422">
        <f t="shared" si="14"/>
        <v>3145</v>
      </c>
      <c r="M83" s="422">
        <f t="shared" si="15"/>
        <v>0</v>
      </c>
      <c r="N83" s="167">
        <f t="shared" si="16"/>
        <v>16630</v>
      </c>
      <c r="O83" s="167">
        <f t="shared" si="17"/>
        <v>0</v>
      </c>
      <c r="P83" s="422">
        <f t="shared" si="18"/>
        <v>445</v>
      </c>
      <c r="Q83" s="167">
        <f t="shared" si="2"/>
        <v>39908</v>
      </c>
      <c r="R83" s="167">
        <f t="shared" si="19"/>
        <v>39908</v>
      </c>
      <c r="S83" s="424">
        <f t="shared" si="23"/>
        <v>1</v>
      </c>
      <c r="T83" s="443">
        <f>IFERROR(VLOOKUP(Capacity_Entsoe_SFS_2018[[#This Row],[Country]],$AK$3:$AQ$39,7,0),0)</f>
        <v>9164</v>
      </c>
      <c r="U83" s="443">
        <f>IFERROR(VLOOKUP(Capacity_Entsoe_SFS_2018[[#This Row],[Country]],$AK$3:$AQ$39,4,0),0)</f>
        <v>27380</v>
      </c>
      <c r="AR83" s="168"/>
      <c r="AU83"/>
    </row>
    <row r="84" spans="1:47" x14ac:dyDescent="0.25">
      <c r="A84" s="259" t="str">
        <f t="shared" si="4"/>
        <v>SI</v>
      </c>
      <c r="B84" s="366">
        <f>B27</f>
        <v>2018</v>
      </c>
      <c r="C84" s="366" t="s">
        <v>205</v>
      </c>
      <c r="D84" s="144">
        <f t="shared" si="6"/>
        <v>696</v>
      </c>
      <c r="E84" s="144">
        <f t="shared" si="7"/>
        <v>981</v>
      </c>
      <c r="F84" s="167">
        <f t="shared" si="8"/>
        <v>0</v>
      </c>
      <c r="G84" s="167">
        <f t="shared" si="9"/>
        <v>519</v>
      </c>
      <c r="H84" s="422">
        <f t="shared" si="10"/>
        <v>0</v>
      </c>
      <c r="I84" s="167">
        <f t="shared" si="11"/>
        <v>3</v>
      </c>
      <c r="J84" s="144">
        <f t="shared" si="12"/>
        <v>0</v>
      </c>
      <c r="K84" s="422">
        <f t="shared" si="13"/>
        <v>290</v>
      </c>
      <c r="L84" s="422">
        <f t="shared" si="14"/>
        <v>48</v>
      </c>
      <c r="M84" s="422">
        <f t="shared" si="15"/>
        <v>0</v>
      </c>
      <c r="N84" s="167">
        <f t="shared" si="16"/>
        <v>1122</v>
      </c>
      <c r="O84" s="167">
        <f t="shared" si="17"/>
        <v>180</v>
      </c>
      <c r="P84" s="422">
        <f t="shared" si="18"/>
        <v>119</v>
      </c>
      <c r="Q84" s="167">
        <f t="shared" si="2"/>
        <v>3958</v>
      </c>
      <c r="R84" s="167">
        <f t="shared" si="19"/>
        <v>3958</v>
      </c>
      <c r="S84" s="424">
        <f t="shared" si="23"/>
        <v>1</v>
      </c>
      <c r="T84" s="443">
        <f>IFERROR(VLOOKUP(Capacity_Entsoe_SFS_2018[[#This Row],[Country]],$AK$3:$AQ$39,7,0),0)</f>
        <v>927</v>
      </c>
      <c r="U84" s="443">
        <f>IFERROR(VLOOKUP(Capacity_Entsoe_SFS_2018[[#This Row],[Country]],$AK$3:$AQ$39,4,0),0)</f>
        <v>2381</v>
      </c>
      <c r="AR84" s="168"/>
      <c r="AU84"/>
    </row>
    <row r="85" spans="1:47" x14ac:dyDescent="0.25">
      <c r="A85" s="259" t="str">
        <f t="shared" si="4"/>
        <v>SK</v>
      </c>
      <c r="B85" s="366">
        <f>B28</f>
        <v>2018</v>
      </c>
      <c r="C85" s="366" t="s">
        <v>205</v>
      </c>
      <c r="D85" s="144">
        <f t="shared" si="6"/>
        <v>1940</v>
      </c>
      <c r="E85" s="144">
        <f t="shared" si="7"/>
        <v>345</v>
      </c>
      <c r="F85" s="167">
        <f t="shared" si="8"/>
        <v>221</v>
      </c>
      <c r="G85" s="167">
        <f t="shared" si="9"/>
        <v>1111</v>
      </c>
      <c r="H85" s="422">
        <f t="shared" si="10"/>
        <v>676</v>
      </c>
      <c r="I85" s="167">
        <f t="shared" si="11"/>
        <v>3</v>
      </c>
      <c r="J85" s="144">
        <f t="shared" si="12"/>
        <v>0</v>
      </c>
      <c r="K85" s="422">
        <f t="shared" si="13"/>
        <v>531</v>
      </c>
      <c r="L85" s="422">
        <f t="shared" si="14"/>
        <v>328</v>
      </c>
      <c r="M85" s="422">
        <f t="shared" si="15"/>
        <v>12</v>
      </c>
      <c r="N85" s="167">
        <f t="shared" si="16"/>
        <v>1808</v>
      </c>
      <c r="O85" s="167">
        <f t="shared" si="17"/>
        <v>734</v>
      </c>
      <c r="P85" s="422">
        <f t="shared" si="18"/>
        <v>19</v>
      </c>
      <c r="Q85" s="167">
        <f t="shared" si="2"/>
        <v>7728</v>
      </c>
      <c r="R85" s="167">
        <f t="shared" si="19"/>
        <v>7728</v>
      </c>
      <c r="S85" s="424">
        <f t="shared" si="23"/>
        <v>1</v>
      </c>
      <c r="T85" s="443">
        <f>IFERROR(VLOOKUP(Capacity_Entsoe_SFS_2018[[#This Row],[Country]],$AK$3:$AQ$39,7,0),0)</f>
        <v>2395</v>
      </c>
      <c r="U85" s="443">
        <f>IFERROR(VLOOKUP(Capacity_Entsoe_SFS_2018[[#This Row],[Country]],$AK$3:$AQ$39,4,0),0)</f>
        <v>4519</v>
      </c>
      <c r="AR85" s="168"/>
      <c r="AU85"/>
    </row>
    <row r="86" spans="1:47" x14ac:dyDescent="0.25">
      <c r="A86" s="259" t="str">
        <f t="shared" si="4"/>
        <v>TR</v>
      </c>
      <c r="B86" s="366">
        <f>B34</f>
        <v>2018</v>
      </c>
      <c r="C86" s="366" t="s">
        <v>205</v>
      </c>
      <c r="D86" s="144">
        <f t="shared" si="6"/>
        <v>0</v>
      </c>
      <c r="E86" s="144">
        <f t="shared" si="7"/>
        <v>10118</v>
      </c>
      <c r="F86" s="167">
        <f t="shared" si="8"/>
        <v>9576</v>
      </c>
      <c r="G86" s="167">
        <f t="shared" si="9"/>
        <v>26107</v>
      </c>
      <c r="H86" s="422">
        <f t="shared" si="10"/>
        <v>296</v>
      </c>
      <c r="I86" s="167">
        <f t="shared" si="11"/>
        <v>7005</v>
      </c>
      <c r="J86" s="144">
        <f t="shared" si="12"/>
        <v>0</v>
      </c>
      <c r="K86" s="422">
        <f t="shared" si="13"/>
        <v>5063</v>
      </c>
      <c r="L86" s="422">
        <f t="shared" si="14"/>
        <v>811</v>
      </c>
      <c r="M86" s="422">
        <f t="shared" si="15"/>
        <v>1283</v>
      </c>
      <c r="N86" s="167">
        <f t="shared" si="16"/>
        <v>28291</v>
      </c>
      <c r="O86" s="167">
        <f t="shared" si="17"/>
        <v>0</v>
      </c>
      <c r="P86" s="422">
        <f t="shared" si="18"/>
        <v>0</v>
      </c>
      <c r="Q86" s="167">
        <f t="shared" si="2"/>
        <v>88550</v>
      </c>
      <c r="R86" s="167">
        <f t="shared" si="19"/>
        <v>88551</v>
      </c>
      <c r="S86" s="424">
        <f t="shared" si="23"/>
        <v>0.99998870707276033</v>
      </c>
      <c r="T86" s="443">
        <f>IFERROR(VLOOKUP(Capacity_Entsoe_SFS_2018[[#This Row],[Country]],$AK$3:$AQ$39,7,0),0)</f>
        <v>18497</v>
      </c>
      <c r="U86" s="443">
        <f>IFERROR(VLOOKUP(Capacity_Entsoe_SFS_2018[[#This Row],[Country]],$AK$3:$AQ$39,4,0),0)</f>
        <v>45996</v>
      </c>
      <c r="AR86" s="168"/>
      <c r="AU86"/>
    </row>
    <row r="87" spans="1:47" x14ac:dyDescent="0.25">
      <c r="A87" s="259" t="str">
        <f t="shared" si="4"/>
        <v>ENTSO-E</v>
      </c>
      <c r="B87" s="520">
        <f>B39</f>
        <v>2018</v>
      </c>
      <c r="C87" s="520" t="str">
        <f>C86</f>
        <v>MW</v>
      </c>
      <c r="D87" s="144">
        <f t="shared" si="6"/>
        <v>121885</v>
      </c>
      <c r="E87" s="144">
        <f t="shared" si="7"/>
        <v>70100</v>
      </c>
      <c r="F87" s="167">
        <f t="shared" si="8"/>
        <v>99624</v>
      </c>
      <c r="G87" s="167">
        <f t="shared" si="9"/>
        <v>244906</v>
      </c>
      <c r="H87" s="422">
        <f t="shared" si="10"/>
        <v>40472</v>
      </c>
      <c r="I87" s="167">
        <f t="shared" si="11"/>
        <v>167868</v>
      </c>
      <c r="J87" s="144">
        <f t="shared" si="12"/>
        <v>16831</v>
      </c>
      <c r="K87" s="422">
        <f t="shared" si="13"/>
        <v>116192</v>
      </c>
      <c r="L87" s="422">
        <f t="shared" si="14"/>
        <v>28089</v>
      </c>
      <c r="M87" s="422">
        <f t="shared" si="15"/>
        <v>12513</v>
      </c>
      <c r="N87" s="167">
        <f t="shared" si="16"/>
        <v>214823</v>
      </c>
      <c r="O87" s="167">
        <f t="shared" si="17"/>
        <v>24094</v>
      </c>
      <c r="P87" s="422">
        <f t="shared" si="18"/>
        <v>6008</v>
      </c>
      <c r="Q87" s="521">
        <f t="shared" si="2"/>
        <v>1163405</v>
      </c>
      <c r="R87" s="167">
        <f t="shared" si="19"/>
        <v>1163405</v>
      </c>
      <c r="S87" s="519">
        <f t="shared" si="23"/>
        <v>1</v>
      </c>
      <c r="T87" s="521">
        <f>IFERROR(VLOOKUP(Capacity_Entsoe_SFS_2018[[#This Row],[Country]],$AK$3:$AQ$39,7,0),0)</f>
        <v>264157</v>
      </c>
      <c r="U87" s="521">
        <f>IFERROR(VLOOKUP(Capacity_Entsoe_SFS_2018[[#This Row],[Country]],$AK$3:$AQ$39,4,0),0)</f>
        <v>589716</v>
      </c>
      <c r="AJ87" s="168"/>
      <c r="AK87" s="107"/>
      <c r="AR87" s="168"/>
      <c r="AU87"/>
    </row>
    <row r="88" spans="1:47" x14ac:dyDescent="0.25">
      <c r="A88" s="259" t="str">
        <f t="shared" si="4"/>
        <v>EU</v>
      </c>
      <c r="B88" s="520">
        <f>B40</f>
        <v>2018</v>
      </c>
      <c r="C88" s="520" t="str">
        <f>C87</f>
        <v>MW</v>
      </c>
      <c r="D88" s="144">
        <f t="shared" si="6"/>
        <v>118552</v>
      </c>
      <c r="E88" s="144">
        <f t="shared" si="7"/>
        <v>51842</v>
      </c>
      <c r="F88" s="167">
        <f t="shared" si="8"/>
        <v>90048</v>
      </c>
      <c r="G88" s="167">
        <f t="shared" si="9"/>
        <v>217799</v>
      </c>
      <c r="H88" s="422">
        <f t="shared" si="10"/>
        <v>39880</v>
      </c>
      <c r="I88" s="167">
        <f t="shared" si="11"/>
        <v>158639</v>
      </c>
      <c r="J88" s="144">
        <f t="shared" si="12"/>
        <v>16831</v>
      </c>
      <c r="K88" s="422">
        <f t="shared" si="13"/>
        <v>109403</v>
      </c>
      <c r="L88" s="422">
        <f t="shared" si="14"/>
        <v>27068</v>
      </c>
      <c r="M88" s="422">
        <f t="shared" si="15"/>
        <v>10166</v>
      </c>
      <c r="N88" s="167">
        <f t="shared" si="16"/>
        <v>140067</v>
      </c>
      <c r="O88" s="167">
        <f t="shared" si="17"/>
        <v>22715</v>
      </c>
      <c r="P88" s="422">
        <f t="shared" si="18"/>
        <v>5797</v>
      </c>
      <c r="Q88" s="521">
        <f t="shared" si="2"/>
        <v>1008807</v>
      </c>
      <c r="R88" s="167">
        <f t="shared" si="19"/>
        <v>1001617</v>
      </c>
      <c r="S88" s="519">
        <f t="shared" si="23"/>
        <v>1.0071783925392641</v>
      </c>
      <c r="T88" s="521">
        <f>IFERROR(VLOOKUP(Capacity_Entsoe_SFS_2018[[#This Row],[Country]],$AK$3:$AQ$39,7,0),0)</f>
        <v>0</v>
      </c>
      <c r="U88" s="521">
        <f>IFERROR(VLOOKUP(Capacity_Entsoe_SFS_2018[[#This Row],[Country]],$AK$3:$AQ$39,4,0),0)</f>
        <v>0</v>
      </c>
      <c r="AJ88" s="168"/>
      <c r="AK88" s="107"/>
      <c r="AR88" s="168"/>
      <c r="AU88"/>
    </row>
  </sheetData>
  <autoFilter ref="AY1:BA39" xr:uid="{00000000-0009-0000-0000-000004000000}"/>
  <sortState ref="BC5:BE42">
    <sortCondition ref="BE6"/>
  </sortState>
  <mergeCells count="1">
    <mergeCell ref="AK2:AM2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tabColor theme="7"/>
  </sheetPr>
  <dimension ref="A1:AR86"/>
  <sheetViews>
    <sheetView topLeftCell="A16" zoomScale="85" zoomScaleNormal="85" workbookViewId="0">
      <selection activeCell="T50" sqref="T50"/>
    </sheetView>
  </sheetViews>
  <sheetFormatPr baseColWidth="10" defaultColWidth="8" defaultRowHeight="12.75" x14ac:dyDescent="0.25"/>
  <cols>
    <col min="1" max="1" width="10.7109375" style="144" bestFit="1" customWidth="1"/>
    <col min="2" max="2" width="6.42578125" style="144" customWidth="1"/>
    <col min="3" max="3" width="6" style="144" customWidth="1"/>
    <col min="4" max="4" width="9" style="144" customWidth="1"/>
    <col min="5" max="5" width="8.28515625" style="144" customWidth="1"/>
    <col min="6" max="6" width="10.7109375" style="144" customWidth="1"/>
    <col min="7" max="7" width="13.28515625" style="144" customWidth="1"/>
    <col min="8" max="8" width="17" style="144" customWidth="1"/>
    <col min="9" max="9" width="14.28515625" style="144" customWidth="1"/>
    <col min="10" max="10" width="14.42578125" style="144" customWidth="1"/>
    <col min="11" max="11" width="9.5703125" style="144" customWidth="1"/>
    <col min="12" max="13" width="11.140625" style="144" customWidth="1"/>
    <col min="14" max="14" width="20.5703125" style="144" customWidth="1"/>
    <col min="15" max="15" width="16.85546875" style="144" customWidth="1"/>
    <col min="16" max="16" width="14.7109375" style="144" customWidth="1"/>
    <col min="17" max="17" width="6.7109375" style="144" customWidth="1"/>
    <col min="18" max="18" width="10.140625" style="144" customWidth="1"/>
    <col min="19" max="19" width="17.42578125" style="144" customWidth="1"/>
    <col min="20" max="20" width="12.140625" style="144" customWidth="1"/>
    <col min="21" max="21" width="7.28515625" style="144" bestFit="1" customWidth="1"/>
    <col min="22" max="22" width="11.5703125" style="144" customWidth="1"/>
    <col min="23" max="23" width="8.140625" style="144" customWidth="1"/>
    <col min="24" max="24" width="7.5703125" style="144" customWidth="1"/>
    <col min="25" max="25" width="10.42578125" style="144" customWidth="1"/>
    <col min="26" max="26" width="9.85546875" style="1" customWidth="1"/>
    <col min="27" max="27" width="12.28515625" style="1" customWidth="1"/>
    <col min="28" max="28" width="15.140625" style="1" customWidth="1"/>
    <col min="29" max="29" width="19.5703125" style="1" customWidth="1"/>
    <col min="30" max="30" width="16.140625" style="1" customWidth="1"/>
    <col min="31" max="31" width="16.7109375" style="1" customWidth="1"/>
    <col min="32" max="32" width="11.5703125" style="1" customWidth="1"/>
    <col min="33" max="33" width="12.85546875" style="1" customWidth="1"/>
    <col min="34" max="34" width="13" style="1" customWidth="1"/>
    <col min="35" max="35" width="12.85546875" style="1" bestFit="1" customWidth="1"/>
    <col min="36" max="36" width="16.7109375" style="1" customWidth="1"/>
    <col min="37" max="37" width="16.28515625" style="1" customWidth="1"/>
    <col min="38" max="41" width="8" style="1"/>
    <col min="42" max="42" width="1.5703125" style="144" customWidth="1"/>
    <col min="43" max="16384" width="8" style="144"/>
  </cols>
  <sheetData>
    <row r="1" spans="1:41" ht="12" x14ac:dyDescent="0.25">
      <c r="A1" s="570" t="s">
        <v>366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356"/>
      <c r="P1" s="356"/>
      <c r="Q1" s="356"/>
      <c r="R1" s="356"/>
      <c r="S1" s="356"/>
      <c r="T1" s="356"/>
      <c r="U1" s="356"/>
      <c r="V1" s="356"/>
      <c r="W1" s="569" t="s">
        <v>367</v>
      </c>
      <c r="X1" s="569"/>
      <c r="Y1" s="569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</row>
    <row r="2" spans="1:41" s="362" customFormat="1" ht="90" x14ac:dyDescent="0.25">
      <c r="A2" s="357"/>
      <c r="B2" s="357"/>
      <c r="C2" s="357"/>
      <c r="D2" s="358" t="s">
        <v>368</v>
      </c>
      <c r="E2" s="358" t="s">
        <v>369</v>
      </c>
      <c r="F2" s="359" t="s">
        <v>398</v>
      </c>
      <c r="G2" s="359" t="s">
        <v>399</v>
      </c>
      <c r="H2" s="359" t="s">
        <v>400</v>
      </c>
      <c r="I2" s="359" t="s">
        <v>401</v>
      </c>
      <c r="J2" s="359" t="s">
        <v>402</v>
      </c>
      <c r="K2" s="359" t="s">
        <v>403</v>
      </c>
      <c r="L2" s="358" t="s">
        <v>375</v>
      </c>
      <c r="M2" s="434" t="s">
        <v>404</v>
      </c>
      <c r="N2" s="359" t="s">
        <v>405</v>
      </c>
      <c r="O2" s="359" t="s">
        <v>406</v>
      </c>
      <c r="P2" s="359" t="s">
        <v>407</v>
      </c>
      <c r="Q2" s="358" t="s">
        <v>379</v>
      </c>
      <c r="R2" s="359" t="s">
        <v>408</v>
      </c>
      <c r="S2" s="359" t="s">
        <v>409</v>
      </c>
      <c r="T2" s="358" t="s">
        <v>381</v>
      </c>
      <c r="U2" s="360" t="s">
        <v>382</v>
      </c>
      <c r="V2" s="566" t="s">
        <v>150</v>
      </c>
      <c r="W2" s="518" t="s">
        <v>151</v>
      </c>
      <c r="X2" s="361" t="s">
        <v>383</v>
      </c>
    </row>
    <row r="3" spans="1:41" ht="12" x14ac:dyDescent="0.2">
      <c r="A3" s="336"/>
      <c r="B3" s="336"/>
      <c r="C3" s="336"/>
      <c r="D3" s="335" t="s">
        <v>267</v>
      </c>
      <c r="E3" s="335" t="s">
        <v>267</v>
      </c>
      <c r="F3" s="335" t="s">
        <v>267</v>
      </c>
      <c r="G3" s="335" t="s">
        <v>267</v>
      </c>
      <c r="H3" s="363" t="s">
        <v>267</v>
      </c>
      <c r="I3" s="363" t="s">
        <v>267</v>
      </c>
      <c r="J3" s="335" t="s">
        <v>267</v>
      </c>
      <c r="K3" s="335" t="s">
        <v>267</v>
      </c>
      <c r="L3" s="335" t="s">
        <v>267</v>
      </c>
      <c r="M3" s="333" t="s">
        <v>267</v>
      </c>
      <c r="N3" s="335" t="s">
        <v>267</v>
      </c>
      <c r="O3" s="334" t="s">
        <v>267</v>
      </c>
      <c r="P3" s="334" t="s">
        <v>267</v>
      </c>
      <c r="Q3" s="335" t="s">
        <v>267</v>
      </c>
      <c r="R3" s="334" t="s">
        <v>267</v>
      </c>
      <c r="S3" s="334" t="s">
        <v>267</v>
      </c>
      <c r="T3" s="335" t="s">
        <v>267</v>
      </c>
      <c r="U3" s="364" t="s">
        <v>267</v>
      </c>
      <c r="V3" s="332" t="s">
        <v>267</v>
      </c>
      <c r="W3" s="335" t="s">
        <v>267</v>
      </c>
      <c r="X3" s="365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</row>
    <row r="4" spans="1:41" ht="12" x14ac:dyDescent="0.25">
      <c r="A4" s="366" t="s">
        <v>269</v>
      </c>
      <c r="B4" s="366">
        <v>2014</v>
      </c>
      <c r="C4" s="366" t="s">
        <v>152</v>
      </c>
      <c r="D4" s="367"/>
      <c r="E4" s="368">
        <v>11.2</v>
      </c>
      <c r="F4" s="367"/>
      <c r="G4" s="368">
        <v>3</v>
      </c>
      <c r="H4" s="369">
        <v>5.2</v>
      </c>
      <c r="I4" s="369">
        <v>0.6</v>
      </c>
      <c r="J4" s="367"/>
      <c r="K4" s="368">
        <v>2.5</v>
      </c>
      <c r="L4" s="368">
        <v>5.8</v>
      </c>
      <c r="M4" s="428">
        <v>3</v>
      </c>
      <c r="N4" s="367"/>
      <c r="O4" s="370"/>
      <c r="P4" s="371">
        <v>2.8</v>
      </c>
      <c r="Q4" s="368">
        <v>40.200000000000003</v>
      </c>
      <c r="R4" s="371">
        <v>36.299999999999997</v>
      </c>
      <c r="S4" s="371">
        <v>3.8</v>
      </c>
      <c r="T4" s="368">
        <v>8.3000000000000007</v>
      </c>
      <c r="U4" s="372">
        <v>65.5</v>
      </c>
      <c r="V4" s="373">
        <v>5.5</v>
      </c>
      <c r="W4" s="374">
        <v>69.3</v>
      </c>
      <c r="X4" s="375">
        <v>-0.5</v>
      </c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</row>
    <row r="5" spans="1:41" ht="12" customHeight="1" x14ac:dyDescent="0.25">
      <c r="A5" s="376" t="s">
        <v>270</v>
      </c>
      <c r="B5" s="366">
        <v>2014</v>
      </c>
      <c r="C5" s="366" t="s">
        <v>152</v>
      </c>
      <c r="D5" s="335"/>
      <c r="E5" s="377">
        <v>8.6999999999999993</v>
      </c>
      <c r="F5" s="377">
        <v>8.6999999999999993</v>
      </c>
      <c r="G5" s="335"/>
      <c r="H5" s="363"/>
      <c r="I5" s="363"/>
      <c r="J5" s="335"/>
      <c r="K5" s="335"/>
      <c r="L5" s="335"/>
      <c r="M5" s="333"/>
      <c r="N5" s="335"/>
      <c r="O5" s="334"/>
      <c r="P5" s="334"/>
      <c r="Q5" s="377">
        <v>5.7</v>
      </c>
      <c r="R5" s="378">
        <v>5.7</v>
      </c>
      <c r="S5" s="334"/>
      <c r="T5" s="335"/>
      <c r="U5" s="379">
        <v>14.5</v>
      </c>
      <c r="V5" s="380">
        <v>0</v>
      </c>
      <c r="W5" s="381">
        <v>11.6</v>
      </c>
      <c r="X5" s="382">
        <v>-3.2</v>
      </c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</row>
    <row r="6" spans="1:41" ht="12" x14ac:dyDescent="0.25">
      <c r="A6" s="366" t="s">
        <v>272</v>
      </c>
      <c r="B6" s="366">
        <v>2014</v>
      </c>
      <c r="C6" s="366" t="s">
        <v>152</v>
      </c>
      <c r="D6" s="368">
        <v>32.1</v>
      </c>
      <c r="E6" s="368">
        <v>22.4</v>
      </c>
      <c r="F6" s="367"/>
      <c r="G6" s="368">
        <v>4</v>
      </c>
      <c r="H6" s="369">
        <v>18.3</v>
      </c>
      <c r="I6" s="383">
        <v>0.04</v>
      </c>
      <c r="J6" s="367"/>
      <c r="K6" s="367"/>
      <c r="L6" s="368">
        <v>11.8</v>
      </c>
      <c r="M6" s="428">
        <v>4.4000000000000004</v>
      </c>
      <c r="N6" s="368">
        <v>2.8</v>
      </c>
      <c r="O6" s="371">
        <v>4.5</v>
      </c>
      <c r="P6" s="370"/>
      <c r="Q6" s="368">
        <v>1.4</v>
      </c>
      <c r="R6" s="371">
        <v>0.3</v>
      </c>
      <c r="S6" s="371">
        <v>1.2</v>
      </c>
      <c r="T6" s="367"/>
      <c r="U6" s="372">
        <v>67.7</v>
      </c>
      <c r="V6" s="373">
        <v>1.6</v>
      </c>
      <c r="W6" s="374">
        <v>83.7</v>
      </c>
      <c r="X6" s="375">
        <v>-2.9</v>
      </c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</row>
    <row r="7" spans="1:41" ht="12" customHeight="1" x14ac:dyDescent="0.25">
      <c r="A7" s="376" t="s">
        <v>273</v>
      </c>
      <c r="B7" s="366">
        <v>2014</v>
      </c>
      <c r="C7" s="366" t="s">
        <v>152</v>
      </c>
      <c r="D7" s="377">
        <v>14.7</v>
      </c>
      <c r="E7" s="377">
        <v>19.600000000000001</v>
      </c>
      <c r="F7" s="377">
        <v>15.6</v>
      </c>
      <c r="G7" s="377">
        <v>2.4</v>
      </c>
      <c r="H7" s="384">
        <v>1.6</v>
      </c>
      <c r="I7" s="363"/>
      <c r="J7" s="335"/>
      <c r="K7" s="335"/>
      <c r="L7" s="377">
        <v>2.7</v>
      </c>
      <c r="M7" s="429">
        <v>1.3</v>
      </c>
      <c r="N7" s="377">
        <v>1.2</v>
      </c>
      <c r="O7" s="378">
        <v>0.1</v>
      </c>
      <c r="P7" s="334"/>
      <c r="Q7" s="377">
        <v>4.7</v>
      </c>
      <c r="R7" s="378">
        <v>4.2</v>
      </c>
      <c r="S7" s="378">
        <v>0.5</v>
      </c>
      <c r="T7" s="335"/>
      <c r="U7" s="379">
        <v>41.7</v>
      </c>
      <c r="V7" s="380">
        <v>0.8</v>
      </c>
      <c r="W7" s="381">
        <v>31.2</v>
      </c>
      <c r="X7" s="382">
        <v>-2.7</v>
      </c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</row>
    <row r="8" spans="1:41" ht="12" x14ac:dyDescent="0.25">
      <c r="A8" s="366" t="s">
        <v>275</v>
      </c>
      <c r="B8" s="366">
        <v>2014</v>
      </c>
      <c r="C8" s="366" t="s">
        <v>152</v>
      </c>
      <c r="D8" s="368">
        <v>26.4</v>
      </c>
      <c r="E8" s="368">
        <v>2.1</v>
      </c>
      <c r="F8" s="367"/>
      <c r="G8" s="367"/>
      <c r="H8" s="385"/>
      <c r="I8" s="385"/>
      <c r="J8" s="367"/>
      <c r="K8" s="368">
        <v>2.1</v>
      </c>
      <c r="L8" s="368">
        <v>2</v>
      </c>
      <c r="M8" s="428">
        <v>0.1</v>
      </c>
      <c r="N8" s="367"/>
      <c r="O8" s="370"/>
      <c r="P8" s="371">
        <v>1.8</v>
      </c>
      <c r="Q8" s="368">
        <v>39.299999999999997</v>
      </c>
      <c r="R8" s="370"/>
      <c r="S8" s="371">
        <v>39.299999999999997</v>
      </c>
      <c r="T8" s="367"/>
      <c r="U8" s="372">
        <v>69.7</v>
      </c>
      <c r="V8" s="373">
        <v>2.4</v>
      </c>
      <c r="W8" s="374">
        <v>63</v>
      </c>
      <c r="X8" s="375">
        <v>-2.8</v>
      </c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</row>
    <row r="9" spans="1:41" ht="12" x14ac:dyDescent="0.25">
      <c r="A9" s="376" t="s">
        <v>277</v>
      </c>
      <c r="B9" s="366">
        <v>2014</v>
      </c>
      <c r="C9" s="366" t="s">
        <v>152</v>
      </c>
      <c r="D9" s="335"/>
      <c r="E9" s="377">
        <v>4</v>
      </c>
      <c r="F9" s="335"/>
      <c r="G9" s="335"/>
      <c r="H9" s="363"/>
      <c r="I9" s="384">
        <v>4</v>
      </c>
      <c r="J9" s="335"/>
      <c r="K9" s="335"/>
      <c r="L9" s="377">
        <v>0.2</v>
      </c>
      <c r="M9" s="429">
        <v>0.2</v>
      </c>
      <c r="N9" s="335"/>
      <c r="O9" s="334"/>
      <c r="P9" s="334"/>
      <c r="Q9" s="335"/>
      <c r="R9" s="334"/>
      <c r="S9" s="334"/>
      <c r="T9" s="335"/>
      <c r="U9" s="379">
        <v>4.2</v>
      </c>
      <c r="V9" s="380">
        <v>0</v>
      </c>
      <c r="W9" s="381">
        <v>4.2</v>
      </c>
      <c r="X9" s="382">
        <v>0.4</v>
      </c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</row>
    <row r="10" spans="1:41" ht="12" customHeight="1" x14ac:dyDescent="0.25">
      <c r="A10" s="366" t="s">
        <v>278</v>
      </c>
      <c r="B10" s="366">
        <v>2014</v>
      </c>
      <c r="C10" s="366" t="s">
        <v>152</v>
      </c>
      <c r="D10" s="368">
        <v>28.6</v>
      </c>
      <c r="E10" s="368">
        <v>41.7</v>
      </c>
      <c r="F10" s="368">
        <v>32.6</v>
      </c>
      <c r="G10" s="368">
        <v>4.5999999999999996</v>
      </c>
      <c r="H10" s="369">
        <v>4.4000000000000004</v>
      </c>
      <c r="I10" s="383">
        <v>0.05</v>
      </c>
      <c r="J10" s="367"/>
      <c r="K10" s="368">
        <v>0.1</v>
      </c>
      <c r="L10" s="368">
        <v>6.8</v>
      </c>
      <c r="M10" s="428">
        <v>0.5</v>
      </c>
      <c r="N10" s="368">
        <v>2.1</v>
      </c>
      <c r="O10" s="371">
        <v>1.8</v>
      </c>
      <c r="P10" s="371">
        <v>2.4</v>
      </c>
      <c r="Q10" s="368">
        <v>3</v>
      </c>
      <c r="R10" s="371">
        <v>1.9</v>
      </c>
      <c r="S10" s="371">
        <v>1.1000000000000001</v>
      </c>
      <c r="T10" s="367"/>
      <c r="U10" s="372">
        <v>80</v>
      </c>
      <c r="V10" s="373">
        <v>1.4</v>
      </c>
      <c r="W10" s="374">
        <v>62</v>
      </c>
      <c r="X10" s="375">
        <v>-1.1000000000000001</v>
      </c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</row>
    <row r="11" spans="1:41" ht="12" x14ac:dyDescent="0.25">
      <c r="A11" s="376" t="s">
        <v>279</v>
      </c>
      <c r="B11" s="366">
        <v>2014</v>
      </c>
      <c r="C11" s="366" t="s">
        <v>152</v>
      </c>
      <c r="D11" s="377">
        <v>91.8</v>
      </c>
      <c r="E11" s="377">
        <v>306</v>
      </c>
      <c r="F11" s="377">
        <v>148.69999999999999</v>
      </c>
      <c r="G11" s="377">
        <v>102.8</v>
      </c>
      <c r="H11" s="384">
        <v>38.200000000000003</v>
      </c>
      <c r="I11" s="384">
        <v>1.3</v>
      </c>
      <c r="J11" s="377">
        <v>14.9</v>
      </c>
      <c r="K11" s="335"/>
      <c r="L11" s="377">
        <v>126.9</v>
      </c>
      <c r="M11" s="429">
        <v>55.2</v>
      </c>
      <c r="N11" s="377">
        <v>34.799999999999997</v>
      </c>
      <c r="O11" s="378">
        <v>35.5</v>
      </c>
      <c r="P11" s="378">
        <v>1.4</v>
      </c>
      <c r="Q11" s="377">
        <v>23.9</v>
      </c>
      <c r="R11" s="378">
        <v>16.399999999999999</v>
      </c>
      <c r="S11" s="378">
        <v>7.4</v>
      </c>
      <c r="T11" s="335"/>
      <c r="U11" s="379">
        <v>548.5</v>
      </c>
      <c r="V11" s="380">
        <v>8</v>
      </c>
      <c r="W11" s="381">
        <v>504.9</v>
      </c>
      <c r="X11" s="382">
        <v>-4.8</v>
      </c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</row>
    <row r="12" spans="1:41" ht="12" customHeight="1" x14ac:dyDescent="0.25">
      <c r="A12" s="366" t="s">
        <v>281</v>
      </c>
      <c r="B12" s="366">
        <v>2014</v>
      </c>
      <c r="C12" s="366" t="s">
        <v>152</v>
      </c>
      <c r="D12" s="367"/>
      <c r="E12" s="368">
        <v>14.6</v>
      </c>
      <c r="F12" s="367"/>
      <c r="G12" s="368">
        <v>10.8</v>
      </c>
      <c r="H12" s="369">
        <v>3.8</v>
      </c>
      <c r="I12" s="383">
        <v>0.05</v>
      </c>
      <c r="J12" s="367"/>
      <c r="K12" s="367"/>
      <c r="L12" s="368">
        <v>16</v>
      </c>
      <c r="M12" s="428">
        <v>13.1</v>
      </c>
      <c r="N12" s="368">
        <v>0.6</v>
      </c>
      <c r="O12" s="371">
        <v>2.2999999999999998</v>
      </c>
      <c r="P12" s="370"/>
      <c r="Q12" s="386">
        <v>0.02</v>
      </c>
      <c r="R12" s="387">
        <v>0.02</v>
      </c>
      <c r="S12" s="370"/>
      <c r="T12" s="367"/>
      <c r="U12" s="372">
        <v>30.6</v>
      </c>
      <c r="V12" s="373">
        <v>0</v>
      </c>
      <c r="W12" s="374">
        <v>33.299999999999997</v>
      </c>
      <c r="X12" s="375">
        <v>3.1</v>
      </c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</row>
    <row r="13" spans="1:41" ht="12" x14ac:dyDescent="0.25">
      <c r="A13" s="376" t="s">
        <v>282</v>
      </c>
      <c r="B13" s="366">
        <v>2014</v>
      </c>
      <c r="C13" s="366" t="s">
        <v>152</v>
      </c>
      <c r="D13" s="335"/>
      <c r="E13" s="377">
        <v>9.6</v>
      </c>
      <c r="F13" s="335"/>
      <c r="G13" s="335"/>
      <c r="H13" s="363"/>
      <c r="I13" s="363"/>
      <c r="J13" s="335"/>
      <c r="K13" s="377">
        <v>9.6</v>
      </c>
      <c r="L13" s="377">
        <v>1.3</v>
      </c>
      <c r="M13" s="429">
        <v>0.6</v>
      </c>
      <c r="N13" s="335"/>
      <c r="O13" s="378">
        <v>0.7</v>
      </c>
      <c r="P13" s="334"/>
      <c r="Q13" s="388">
        <v>0.03</v>
      </c>
      <c r="R13" s="389">
        <v>0.03</v>
      </c>
      <c r="S13" s="334"/>
      <c r="T13" s="335"/>
      <c r="U13" s="379">
        <v>10.9</v>
      </c>
      <c r="V13" s="380">
        <v>0</v>
      </c>
      <c r="W13" s="381">
        <v>8.1999999999999993</v>
      </c>
      <c r="X13" s="382">
        <v>1.8</v>
      </c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</row>
    <row r="14" spans="1:41" ht="12" customHeight="1" x14ac:dyDescent="0.25">
      <c r="A14" s="366" t="s">
        <v>283</v>
      </c>
      <c r="B14" s="366">
        <v>2014</v>
      </c>
      <c r="C14" s="366" t="s">
        <v>152</v>
      </c>
      <c r="D14" s="368">
        <v>54.8</v>
      </c>
      <c r="E14" s="368">
        <v>99.2</v>
      </c>
      <c r="F14" s="368">
        <v>4.5</v>
      </c>
      <c r="G14" s="368">
        <v>39.299999999999997</v>
      </c>
      <c r="H14" s="369">
        <v>46.2</v>
      </c>
      <c r="I14" s="369">
        <v>9.1999999999999993</v>
      </c>
      <c r="J14" s="367"/>
      <c r="K14" s="367"/>
      <c r="L14" s="368">
        <v>69.8</v>
      </c>
      <c r="M14" s="428">
        <v>51</v>
      </c>
      <c r="N14" s="368">
        <v>13.1</v>
      </c>
      <c r="O14" s="371">
        <v>5.7</v>
      </c>
      <c r="P14" s="390">
        <v>1E-3</v>
      </c>
      <c r="Q14" s="368">
        <v>42.4</v>
      </c>
      <c r="R14" s="371">
        <v>38.5</v>
      </c>
      <c r="S14" s="371">
        <v>3.9</v>
      </c>
      <c r="T14" s="368">
        <v>0.2</v>
      </c>
      <c r="U14" s="372">
        <v>266.5</v>
      </c>
      <c r="V14" s="373">
        <v>5.3</v>
      </c>
      <c r="W14" s="374">
        <v>257.8</v>
      </c>
      <c r="X14" s="375">
        <v>-1.3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</row>
    <row r="15" spans="1:41" ht="12" x14ac:dyDescent="0.25">
      <c r="A15" s="376" t="s">
        <v>284</v>
      </c>
      <c r="B15" s="366">
        <v>2014</v>
      </c>
      <c r="C15" s="366" t="s">
        <v>152</v>
      </c>
      <c r="D15" s="377">
        <v>22.7</v>
      </c>
      <c r="E15" s="377">
        <v>16.600000000000001</v>
      </c>
      <c r="F15" s="335"/>
      <c r="G15" s="377">
        <v>8.1999999999999993</v>
      </c>
      <c r="H15" s="384">
        <v>5.2</v>
      </c>
      <c r="I15" s="384">
        <v>0.2</v>
      </c>
      <c r="J15" s="377">
        <v>3</v>
      </c>
      <c r="K15" s="335"/>
      <c r="L15" s="377">
        <v>12.1</v>
      </c>
      <c r="M15" s="429">
        <v>1.1000000000000001</v>
      </c>
      <c r="N15" s="335"/>
      <c r="O15" s="378">
        <v>11</v>
      </c>
      <c r="P15" s="334"/>
      <c r="Q15" s="377">
        <v>13.2</v>
      </c>
      <c r="R15" s="378">
        <v>13.2</v>
      </c>
      <c r="S15" s="334"/>
      <c r="T15" s="377">
        <v>0.8</v>
      </c>
      <c r="U15" s="379">
        <v>65.400000000000006</v>
      </c>
      <c r="V15" s="380">
        <v>0</v>
      </c>
      <c r="W15" s="381">
        <v>83.3</v>
      </c>
      <c r="X15" s="382">
        <v>-0.8</v>
      </c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</row>
    <row r="16" spans="1:41" ht="12" customHeight="1" x14ac:dyDescent="0.25">
      <c r="A16" s="366" t="s">
        <v>285</v>
      </c>
      <c r="B16" s="366">
        <v>2014</v>
      </c>
      <c r="C16" s="366" t="s">
        <v>152</v>
      </c>
      <c r="D16" s="368">
        <v>415.9</v>
      </c>
      <c r="E16" s="368">
        <v>27.4</v>
      </c>
      <c r="F16" s="367"/>
      <c r="G16" s="368">
        <v>8.3000000000000007</v>
      </c>
      <c r="H16" s="369">
        <v>14.4</v>
      </c>
      <c r="I16" s="369">
        <v>4.8</v>
      </c>
      <c r="J16" s="367"/>
      <c r="K16" s="367"/>
      <c r="L16" s="368">
        <v>29.6</v>
      </c>
      <c r="M16" s="428">
        <v>17</v>
      </c>
      <c r="N16" s="368">
        <v>6</v>
      </c>
      <c r="O16" s="371">
        <v>6.6</v>
      </c>
      <c r="P16" s="370"/>
      <c r="Q16" s="368">
        <v>68.400000000000006</v>
      </c>
      <c r="R16" s="371">
        <v>62.9</v>
      </c>
      <c r="S16" s="371">
        <v>5.5</v>
      </c>
      <c r="T16" s="367"/>
      <c r="U16" s="372">
        <v>541.20000000000005</v>
      </c>
      <c r="V16" s="373">
        <v>7.9</v>
      </c>
      <c r="W16" s="374">
        <v>465.7</v>
      </c>
      <c r="X16" s="375">
        <v>-6</v>
      </c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</row>
    <row r="17" spans="1:41" ht="12" x14ac:dyDescent="0.25">
      <c r="A17" s="376" t="s">
        <v>287</v>
      </c>
      <c r="B17" s="366">
        <v>2014</v>
      </c>
      <c r="C17" s="366" t="s">
        <v>152</v>
      </c>
      <c r="D17" s="377">
        <v>59.9</v>
      </c>
      <c r="E17" s="377">
        <v>212.4</v>
      </c>
      <c r="F17" s="335"/>
      <c r="G17" s="377">
        <v>103.8</v>
      </c>
      <c r="H17" s="384">
        <v>87.3</v>
      </c>
      <c r="I17" s="391">
        <v>0.01</v>
      </c>
      <c r="J17" s="335"/>
      <c r="K17" s="427">
        <f>E17-SUM(F17:J17)</f>
        <v>21.29000000000002</v>
      </c>
      <c r="L17" s="377">
        <v>35.299999999999997</v>
      </c>
      <c r="M17" s="429">
        <v>21.2</v>
      </c>
      <c r="N17" s="335"/>
      <c r="O17" s="334"/>
      <c r="P17" s="426">
        <f>L17-M17</f>
        <v>14.099999999999998</v>
      </c>
      <c r="Q17" s="377">
        <v>7.8</v>
      </c>
      <c r="R17" s="378">
        <v>3.8</v>
      </c>
      <c r="S17" s="378">
        <v>2.9</v>
      </c>
      <c r="T17" s="427">
        <f>U17-SUM(Q17,L17,E17,D17)</f>
        <v>48.200000000000045</v>
      </c>
      <c r="U17" s="379">
        <v>363.6</v>
      </c>
      <c r="V17" s="380">
        <v>3.9</v>
      </c>
      <c r="W17" s="381">
        <v>330.6</v>
      </c>
      <c r="X17" s="382">
        <v>1.3</v>
      </c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</row>
    <row r="18" spans="1:41" ht="12" x14ac:dyDescent="0.25">
      <c r="A18" s="366" t="s">
        <v>289</v>
      </c>
      <c r="B18" s="366">
        <v>2014</v>
      </c>
      <c r="C18" s="366" t="s">
        <v>152</v>
      </c>
      <c r="D18" s="367"/>
      <c r="E18" s="368">
        <v>29.1</v>
      </c>
      <c r="F18" s="368">
        <v>22.7</v>
      </c>
      <c r="G18" s="367"/>
      <c r="H18" s="369">
        <v>6.5</v>
      </c>
      <c r="I18" s="392">
        <v>1E-3</v>
      </c>
      <c r="J18" s="367"/>
      <c r="K18" s="367"/>
      <c r="L18" s="368">
        <v>7.1</v>
      </c>
      <c r="M18" s="428">
        <v>3</v>
      </c>
      <c r="N18" s="368">
        <v>3.9</v>
      </c>
      <c r="O18" s="371">
        <v>0.2</v>
      </c>
      <c r="P18" s="370"/>
      <c r="Q18" s="368">
        <v>4.5999999999999996</v>
      </c>
      <c r="R18" s="371">
        <v>0.7</v>
      </c>
      <c r="S18" s="371">
        <v>3.9</v>
      </c>
      <c r="T18" s="367"/>
      <c r="U18" s="372">
        <v>40.799999999999997</v>
      </c>
      <c r="V18" s="373">
        <v>0.2</v>
      </c>
      <c r="W18" s="374">
        <v>49.3</v>
      </c>
      <c r="X18" s="375">
        <v>-0.6</v>
      </c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</row>
    <row r="19" spans="1:41" ht="12" customHeight="1" x14ac:dyDescent="0.25">
      <c r="A19" s="376" t="s">
        <v>291</v>
      </c>
      <c r="B19" s="366">
        <v>2014</v>
      </c>
      <c r="C19" s="366" t="s">
        <v>152</v>
      </c>
      <c r="D19" s="335"/>
      <c r="E19" s="377">
        <v>2.9</v>
      </c>
      <c r="F19" s="335"/>
      <c r="G19" s="377">
        <v>2.1</v>
      </c>
      <c r="H19" s="384">
        <v>0.4</v>
      </c>
      <c r="I19" s="363"/>
      <c r="J19" s="377">
        <v>0.3</v>
      </c>
      <c r="K19" s="335"/>
      <c r="L19" s="377">
        <v>0.7</v>
      </c>
      <c r="M19" s="429">
        <v>0.7</v>
      </c>
      <c r="N19" s="335"/>
      <c r="O19" s="334"/>
      <c r="P19" s="334"/>
      <c r="Q19" s="377">
        <v>8.3000000000000007</v>
      </c>
      <c r="R19" s="378">
        <v>8.3000000000000007</v>
      </c>
      <c r="S19" s="334"/>
      <c r="T19" s="335"/>
      <c r="U19" s="379">
        <v>12</v>
      </c>
      <c r="V19" s="380">
        <v>0.2</v>
      </c>
      <c r="W19" s="381">
        <v>16.399999999999999</v>
      </c>
      <c r="X19" s="382">
        <v>-3.9</v>
      </c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</row>
    <row r="20" spans="1:41" ht="12" customHeight="1" x14ac:dyDescent="0.25">
      <c r="A20" s="366" t="s">
        <v>292</v>
      </c>
      <c r="B20" s="366">
        <v>2014</v>
      </c>
      <c r="C20" s="366" t="s">
        <v>152</v>
      </c>
      <c r="D20" s="368">
        <v>14.6</v>
      </c>
      <c r="E20" s="368">
        <v>8.9</v>
      </c>
      <c r="F20" s="368">
        <v>5.5</v>
      </c>
      <c r="G20" s="368">
        <v>0.6</v>
      </c>
      <c r="H20" s="369">
        <v>2.7</v>
      </c>
      <c r="I20" s="383">
        <v>0.04</v>
      </c>
      <c r="J20" s="367"/>
      <c r="K20" s="367"/>
      <c r="L20" s="368">
        <v>2.2999999999999998</v>
      </c>
      <c r="M20" s="428">
        <v>0.6</v>
      </c>
      <c r="N20" s="386">
        <v>0.01</v>
      </c>
      <c r="O20" s="371">
        <v>1.7</v>
      </c>
      <c r="P20" s="370"/>
      <c r="Q20" s="368">
        <v>0.3</v>
      </c>
      <c r="R20" s="371">
        <v>0.3</v>
      </c>
      <c r="S20" s="370"/>
      <c r="T20" s="367"/>
      <c r="U20" s="372">
        <v>26.1</v>
      </c>
      <c r="V20" s="373">
        <v>0</v>
      </c>
      <c r="W20" s="374">
        <v>39.5</v>
      </c>
      <c r="X20" s="375">
        <v>1.2</v>
      </c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</row>
    <row r="21" spans="1:41" ht="12" x14ac:dyDescent="0.25">
      <c r="A21" s="376" t="s">
        <v>293</v>
      </c>
      <c r="B21" s="366">
        <v>2014</v>
      </c>
      <c r="C21" s="366" t="s">
        <v>152</v>
      </c>
      <c r="D21" s="335"/>
      <c r="E21" s="377">
        <v>18.2</v>
      </c>
      <c r="F21" s="377">
        <v>2.6</v>
      </c>
      <c r="G21" s="377">
        <v>3.9</v>
      </c>
      <c r="H21" s="384">
        <v>11.6</v>
      </c>
      <c r="I21" s="391">
        <v>0.02</v>
      </c>
      <c r="J21" s="377">
        <v>0.1</v>
      </c>
      <c r="K21" s="335"/>
      <c r="L21" s="377">
        <v>5.4</v>
      </c>
      <c r="M21" s="429">
        <v>5.0999999999999996</v>
      </c>
      <c r="N21" s="335"/>
      <c r="O21" s="334"/>
      <c r="P21" s="378">
        <v>0.2</v>
      </c>
      <c r="Q21" s="377">
        <v>1</v>
      </c>
      <c r="R21" s="378">
        <v>0.7</v>
      </c>
      <c r="S21" s="378">
        <v>0.3</v>
      </c>
      <c r="T21" s="335"/>
      <c r="U21" s="379">
        <v>24.5</v>
      </c>
      <c r="V21" s="380">
        <v>0.5</v>
      </c>
      <c r="W21" s="381">
        <v>26.2</v>
      </c>
      <c r="X21" s="382">
        <v>0.5</v>
      </c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</row>
    <row r="22" spans="1:41" ht="12" x14ac:dyDescent="0.25">
      <c r="A22" s="366" t="s">
        <v>294</v>
      </c>
      <c r="B22" s="366">
        <v>2014</v>
      </c>
      <c r="C22" s="366" t="s">
        <v>152</v>
      </c>
      <c r="D22" s="367"/>
      <c r="E22" s="368">
        <v>0</v>
      </c>
      <c r="F22" s="367"/>
      <c r="G22" s="367"/>
      <c r="H22" s="385"/>
      <c r="I22" s="385"/>
      <c r="J22" s="367"/>
      <c r="K22" s="367"/>
      <c r="L22" s="368">
        <v>4.9000000000000004</v>
      </c>
      <c r="M22" s="430"/>
      <c r="N22" s="367"/>
      <c r="O22" s="370"/>
      <c r="P22" s="371">
        <v>4.9000000000000004</v>
      </c>
      <c r="Q22" s="368">
        <v>12.8</v>
      </c>
      <c r="R22" s="371">
        <v>12.8</v>
      </c>
      <c r="S22" s="370"/>
      <c r="T22" s="367"/>
      <c r="U22" s="372">
        <v>17.7</v>
      </c>
      <c r="V22" s="373">
        <v>0</v>
      </c>
      <c r="W22" s="374">
        <v>17.7</v>
      </c>
      <c r="X22" s="375">
        <v>0.2</v>
      </c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</row>
    <row r="23" spans="1:41" ht="12" x14ac:dyDescent="0.25">
      <c r="A23" s="376" t="s">
        <v>295</v>
      </c>
      <c r="B23" s="366">
        <v>2014</v>
      </c>
      <c r="C23" s="366" t="s">
        <v>152</v>
      </c>
      <c r="D23" s="335"/>
      <c r="E23" s="377">
        <v>160</v>
      </c>
      <c r="F23" s="335"/>
      <c r="G23" s="377">
        <v>35.200000000000003</v>
      </c>
      <c r="H23" s="384">
        <v>93.3</v>
      </c>
      <c r="I23" s="384">
        <v>17.3</v>
      </c>
      <c r="J23" s="377">
        <v>11.3</v>
      </c>
      <c r="K23" s="377">
        <v>2.8</v>
      </c>
      <c r="L23" s="377">
        <v>48.9</v>
      </c>
      <c r="M23" s="429">
        <v>15.1</v>
      </c>
      <c r="N23" s="377">
        <v>23.3</v>
      </c>
      <c r="O23" s="378">
        <v>5</v>
      </c>
      <c r="P23" s="378">
        <v>5.6</v>
      </c>
      <c r="Q23" s="377">
        <v>58</v>
      </c>
      <c r="R23" s="378">
        <v>55</v>
      </c>
      <c r="S23" s="378">
        <v>3.1</v>
      </c>
      <c r="T23" s="335"/>
      <c r="U23" s="379">
        <v>266.89999999999998</v>
      </c>
      <c r="V23" s="380">
        <v>2.2999999999999998</v>
      </c>
      <c r="W23" s="381">
        <v>308.39999999999998</v>
      </c>
      <c r="X23" s="382">
        <v>-2.4</v>
      </c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</row>
    <row r="24" spans="1:41" ht="12" customHeight="1" x14ac:dyDescent="0.25">
      <c r="A24" s="366" t="s">
        <v>296</v>
      </c>
      <c r="B24" s="366">
        <v>2014</v>
      </c>
      <c r="C24" s="366" t="s">
        <v>152</v>
      </c>
      <c r="D24" s="367"/>
      <c r="E24" s="368">
        <v>1.9</v>
      </c>
      <c r="F24" s="367"/>
      <c r="G24" s="367"/>
      <c r="H24" s="369">
        <v>1.1000000000000001</v>
      </c>
      <c r="I24" s="385"/>
      <c r="J24" s="368">
        <v>0.7</v>
      </c>
      <c r="K24" s="368">
        <v>0.2</v>
      </c>
      <c r="L24" s="368">
        <v>1.1000000000000001</v>
      </c>
      <c r="M24" s="428">
        <v>0.6</v>
      </c>
      <c r="N24" s="368">
        <v>0.1</v>
      </c>
      <c r="O24" s="371">
        <v>0.3</v>
      </c>
      <c r="P24" s="370"/>
      <c r="Q24" s="368">
        <v>1.1000000000000001</v>
      </c>
      <c r="R24" s="371">
        <v>0.4</v>
      </c>
      <c r="S24" s="371">
        <v>0.7</v>
      </c>
      <c r="T24" s="367"/>
      <c r="U24" s="372">
        <v>4.0999999999999996</v>
      </c>
      <c r="V24" s="373">
        <v>1</v>
      </c>
      <c r="W24" s="374">
        <v>10.7</v>
      </c>
      <c r="X24" s="375">
        <v>1.4</v>
      </c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</row>
    <row r="25" spans="1:41" ht="12" customHeight="1" x14ac:dyDescent="0.25">
      <c r="A25" s="376" t="s">
        <v>297</v>
      </c>
      <c r="B25" s="366">
        <v>2014</v>
      </c>
      <c r="C25" s="366" t="s">
        <v>152</v>
      </c>
      <c r="D25" s="335"/>
      <c r="E25" s="377">
        <v>1.4</v>
      </c>
      <c r="F25" s="335"/>
      <c r="G25" s="335"/>
      <c r="H25" s="384">
        <v>1.4</v>
      </c>
      <c r="I25" s="363"/>
      <c r="J25" s="335"/>
      <c r="K25" s="335"/>
      <c r="L25" s="377">
        <v>0.2</v>
      </c>
      <c r="M25" s="429">
        <v>0.1</v>
      </c>
      <c r="N25" s="377">
        <v>0.1</v>
      </c>
      <c r="O25" s="378">
        <v>0.1</v>
      </c>
      <c r="P25" s="334"/>
      <c r="Q25" s="377">
        <v>1.2</v>
      </c>
      <c r="R25" s="378">
        <v>0.1</v>
      </c>
      <c r="S25" s="378">
        <v>1.1000000000000001</v>
      </c>
      <c r="T25" s="377">
        <v>0.1</v>
      </c>
      <c r="U25" s="379">
        <v>2.8</v>
      </c>
      <c r="V25" s="380">
        <v>1.5</v>
      </c>
      <c r="W25" s="381">
        <v>6.3</v>
      </c>
      <c r="X25" s="382">
        <v>1</v>
      </c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</row>
    <row r="26" spans="1:41" ht="12" x14ac:dyDescent="0.25">
      <c r="A26" s="366" t="s">
        <v>299</v>
      </c>
      <c r="B26" s="366">
        <v>2014</v>
      </c>
      <c r="C26" s="366" t="s">
        <v>152</v>
      </c>
      <c r="D26" s="367"/>
      <c r="E26" s="368">
        <v>2.2999999999999998</v>
      </c>
      <c r="F26" s="367"/>
      <c r="G26" s="367"/>
      <c r="H26" s="369">
        <v>1.7</v>
      </c>
      <c r="I26" s="385"/>
      <c r="J26" s="368">
        <v>0.6</v>
      </c>
      <c r="K26" s="367"/>
      <c r="L26" s="368">
        <v>0.8</v>
      </c>
      <c r="M26" s="428">
        <v>0.1</v>
      </c>
      <c r="N26" s="367"/>
      <c r="O26" s="371">
        <v>0.3</v>
      </c>
      <c r="P26" s="371">
        <v>0.3</v>
      </c>
      <c r="Q26" s="368">
        <v>2.1</v>
      </c>
      <c r="R26" s="371">
        <v>2.1</v>
      </c>
      <c r="S26" s="370"/>
      <c r="T26" s="367"/>
      <c r="U26" s="372">
        <v>5.0999999999999996</v>
      </c>
      <c r="V26" s="373">
        <v>0</v>
      </c>
      <c r="W26" s="374">
        <v>7.4</v>
      </c>
      <c r="X26" s="375">
        <v>-0.2</v>
      </c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</row>
    <row r="27" spans="1:41" ht="12" customHeight="1" x14ac:dyDescent="0.25">
      <c r="A27" s="376" t="s">
        <v>300</v>
      </c>
      <c r="B27" s="366">
        <v>2014</v>
      </c>
      <c r="C27" s="366" t="s">
        <v>152</v>
      </c>
      <c r="D27" s="335"/>
      <c r="E27" s="377">
        <v>1.3</v>
      </c>
      <c r="F27" s="377">
        <v>1.3</v>
      </c>
      <c r="G27" s="335"/>
      <c r="H27" s="363"/>
      <c r="I27" s="363"/>
      <c r="J27" s="335"/>
      <c r="K27" s="335"/>
      <c r="L27" s="335"/>
      <c r="M27" s="333"/>
      <c r="N27" s="335"/>
      <c r="O27" s="334"/>
      <c r="P27" s="334"/>
      <c r="Q27" s="377">
        <v>2.8</v>
      </c>
      <c r="R27" s="378">
        <v>1.5</v>
      </c>
      <c r="S27" s="378">
        <v>1.3</v>
      </c>
      <c r="T27" s="335"/>
      <c r="U27" s="379">
        <v>4.0999999999999996</v>
      </c>
      <c r="V27" s="380">
        <v>0</v>
      </c>
      <c r="W27" s="381">
        <v>4.4000000000000004</v>
      </c>
      <c r="X27" s="382">
        <v>-5.8</v>
      </c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</row>
    <row r="28" spans="1:41" ht="14.25" customHeight="1" x14ac:dyDescent="0.25">
      <c r="A28" s="366" t="s">
        <v>301</v>
      </c>
      <c r="B28" s="366">
        <v>2014</v>
      </c>
      <c r="C28" s="366" t="s">
        <v>152</v>
      </c>
      <c r="D28" s="367"/>
      <c r="E28" s="368">
        <v>3.7</v>
      </c>
      <c r="F28" s="368">
        <v>3.5</v>
      </c>
      <c r="G28" s="367"/>
      <c r="H28" s="369">
        <v>0.2</v>
      </c>
      <c r="I28" s="385"/>
      <c r="J28" s="367"/>
      <c r="K28" s="367"/>
      <c r="L28" s="386">
        <v>0.04</v>
      </c>
      <c r="M28" s="431">
        <v>0.04</v>
      </c>
      <c r="N28" s="367"/>
      <c r="O28" s="370"/>
      <c r="P28" s="370"/>
      <c r="Q28" s="368">
        <v>1.1000000000000001</v>
      </c>
      <c r="R28" s="370"/>
      <c r="S28" s="371">
        <v>1.1000000000000001</v>
      </c>
      <c r="T28" s="367"/>
      <c r="U28" s="372">
        <v>4.9000000000000004</v>
      </c>
      <c r="V28" s="373">
        <v>0</v>
      </c>
      <c r="W28" s="374">
        <v>7.9</v>
      </c>
      <c r="X28" s="375">
        <v>-2.5</v>
      </c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</row>
    <row r="29" spans="1:41" ht="12" x14ac:dyDescent="0.25">
      <c r="A29" s="376" t="s">
        <v>362</v>
      </c>
      <c r="B29" s="366">
        <v>2014</v>
      </c>
      <c r="C29" s="366" t="s">
        <v>152</v>
      </c>
      <c r="D29" s="335"/>
      <c r="E29" s="377">
        <v>6.4</v>
      </c>
      <c r="F29" s="335"/>
      <c r="G29" s="377">
        <v>2.1</v>
      </c>
      <c r="H29" s="384">
        <v>3.8</v>
      </c>
      <c r="I29" s="393">
        <v>3.0000000000000001E-3</v>
      </c>
      <c r="J29" s="377">
        <v>0.5</v>
      </c>
      <c r="K29" s="335"/>
      <c r="L29" s="377">
        <v>1.5</v>
      </c>
      <c r="M29" s="429">
        <v>1.4</v>
      </c>
      <c r="N29" s="335"/>
      <c r="O29" s="378">
        <v>0.1</v>
      </c>
      <c r="P29" s="389">
        <v>0.04</v>
      </c>
      <c r="Q29" s="388">
        <v>0.01</v>
      </c>
      <c r="R29" s="394">
        <v>2E-3</v>
      </c>
      <c r="S29" s="394">
        <v>8.9999999999999993E-3</v>
      </c>
      <c r="T29" s="335"/>
      <c r="U29" s="379">
        <v>8</v>
      </c>
      <c r="V29" s="380">
        <v>0</v>
      </c>
      <c r="W29" s="381">
        <v>9.3000000000000007</v>
      </c>
      <c r="X29" s="382">
        <v>5.3</v>
      </c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</row>
    <row r="30" spans="1:41" ht="12" customHeight="1" x14ac:dyDescent="0.25">
      <c r="A30" s="366" t="s">
        <v>303</v>
      </c>
      <c r="B30" s="366">
        <v>2014</v>
      </c>
      <c r="C30" s="366" t="s">
        <v>152</v>
      </c>
      <c r="D30" s="368">
        <v>4.0999999999999996</v>
      </c>
      <c r="E30" s="368">
        <v>80.400000000000006</v>
      </c>
      <c r="F30" s="367"/>
      <c r="G30" s="367"/>
      <c r="H30" s="385"/>
      <c r="I30" s="385"/>
      <c r="J30" s="367"/>
      <c r="K30" s="368">
        <v>80.400000000000006</v>
      </c>
      <c r="L30" s="368">
        <v>11.6</v>
      </c>
      <c r="M30" s="428">
        <v>5.8</v>
      </c>
      <c r="N30" s="368">
        <v>0.1</v>
      </c>
      <c r="O30" s="371">
        <v>5.8</v>
      </c>
      <c r="P30" s="370"/>
      <c r="Q30" s="368">
        <v>0.1</v>
      </c>
      <c r="R30" s="371">
        <v>0.1</v>
      </c>
      <c r="S30" s="370"/>
      <c r="T30" s="367"/>
      <c r="U30" s="372">
        <v>96.2</v>
      </c>
      <c r="V30" s="373">
        <v>0</v>
      </c>
      <c r="W30" s="374">
        <v>110.9</v>
      </c>
      <c r="X30" s="375">
        <v>0.4</v>
      </c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</row>
    <row r="31" spans="1:41" ht="12" customHeight="1" x14ac:dyDescent="0.25">
      <c r="A31" s="376" t="s">
        <v>304</v>
      </c>
      <c r="B31" s="366">
        <v>2014</v>
      </c>
      <c r="C31" s="366" t="s">
        <v>152</v>
      </c>
      <c r="D31" s="335"/>
      <c r="E31" s="377">
        <v>3.5</v>
      </c>
      <c r="F31" s="335"/>
      <c r="G31" s="335"/>
      <c r="H31" s="384">
        <v>3.5</v>
      </c>
      <c r="I31" s="363"/>
      <c r="J31" s="335"/>
      <c r="K31" s="335"/>
      <c r="L31" s="377">
        <v>2.2999999999999998</v>
      </c>
      <c r="M31" s="429">
        <v>2.2999999999999998</v>
      </c>
      <c r="N31" s="335"/>
      <c r="O31" s="334"/>
      <c r="P31" s="334"/>
      <c r="Q31" s="377">
        <v>136.6</v>
      </c>
      <c r="R31" s="378">
        <v>136.6</v>
      </c>
      <c r="S31" s="334"/>
      <c r="T31" s="335"/>
      <c r="U31" s="379">
        <v>142.4</v>
      </c>
      <c r="V31" s="380">
        <v>1.6</v>
      </c>
      <c r="W31" s="381">
        <v>125.2</v>
      </c>
      <c r="X31" s="382">
        <v>-2.1</v>
      </c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</row>
    <row r="32" spans="1:41" ht="12" x14ac:dyDescent="0.25">
      <c r="A32" s="366" t="s">
        <v>305</v>
      </c>
      <c r="B32" s="366">
        <v>2014</v>
      </c>
      <c r="C32" s="366" t="s">
        <v>152</v>
      </c>
      <c r="D32" s="367"/>
      <c r="E32" s="368">
        <v>128.6</v>
      </c>
      <c r="F32" s="368">
        <v>49.6</v>
      </c>
      <c r="G32" s="368">
        <v>67.2</v>
      </c>
      <c r="H32" s="369">
        <v>3.2</v>
      </c>
      <c r="I32" s="385"/>
      <c r="J32" s="367"/>
      <c r="K32" s="368">
        <v>8.6</v>
      </c>
      <c r="L32" s="368">
        <v>14.3</v>
      </c>
      <c r="M32" s="428">
        <v>7.3</v>
      </c>
      <c r="N32" s="395">
        <v>2E-3</v>
      </c>
      <c r="O32" s="371">
        <v>7</v>
      </c>
      <c r="P32" s="370"/>
      <c r="Q32" s="368">
        <v>2.7</v>
      </c>
      <c r="R32" s="371">
        <v>2.2000000000000002</v>
      </c>
      <c r="S32" s="371">
        <v>0.6</v>
      </c>
      <c r="T32" s="367"/>
      <c r="U32" s="372">
        <v>145.6</v>
      </c>
      <c r="V32" s="373">
        <v>0.8</v>
      </c>
      <c r="W32" s="374">
        <v>146.9</v>
      </c>
      <c r="X32" s="375">
        <v>1</v>
      </c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</row>
    <row r="33" spans="1:41" ht="12" customHeight="1" x14ac:dyDescent="0.25">
      <c r="A33" s="376" t="s">
        <v>306</v>
      </c>
      <c r="B33" s="366">
        <v>2014</v>
      </c>
      <c r="C33" s="366" t="s">
        <v>152</v>
      </c>
      <c r="D33" s="335"/>
      <c r="E33" s="377">
        <v>17.7</v>
      </c>
      <c r="F33" s="335"/>
      <c r="G33" s="377">
        <v>11.1</v>
      </c>
      <c r="H33" s="384">
        <v>6.3</v>
      </c>
      <c r="I33" s="384">
        <v>0.1</v>
      </c>
      <c r="J33" s="335"/>
      <c r="K33" s="377">
        <v>0.2</v>
      </c>
      <c r="L33" s="377">
        <v>15.1</v>
      </c>
      <c r="M33" s="429">
        <v>11.8</v>
      </c>
      <c r="N33" s="377">
        <v>0.6</v>
      </c>
      <c r="O33" s="378">
        <v>2.7</v>
      </c>
      <c r="P33" s="334"/>
      <c r="Q33" s="377">
        <v>16.2</v>
      </c>
      <c r="R33" s="378">
        <v>15.3</v>
      </c>
      <c r="S33" s="378">
        <v>0.9</v>
      </c>
      <c r="T33" s="335"/>
      <c r="U33" s="379">
        <v>49</v>
      </c>
      <c r="V33" s="380">
        <v>1.1000000000000001</v>
      </c>
      <c r="W33" s="381">
        <v>48.8</v>
      </c>
      <c r="X33" s="382">
        <v>-0.7</v>
      </c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</row>
    <row r="34" spans="1:41" ht="12" x14ac:dyDescent="0.25">
      <c r="A34" s="366" t="s">
        <v>307</v>
      </c>
      <c r="B34" s="366">
        <v>2014</v>
      </c>
      <c r="C34" s="366" t="s">
        <v>152</v>
      </c>
      <c r="D34" s="368">
        <v>10.7</v>
      </c>
      <c r="E34" s="368">
        <v>23</v>
      </c>
      <c r="F34" s="368">
        <v>13.3</v>
      </c>
      <c r="G34" s="368">
        <v>2.5</v>
      </c>
      <c r="H34" s="369">
        <v>2.7</v>
      </c>
      <c r="I34" s="385"/>
      <c r="J34" s="368">
        <v>4.5</v>
      </c>
      <c r="K34" s="367"/>
      <c r="L34" s="368">
        <v>8.3000000000000007</v>
      </c>
      <c r="M34" s="428">
        <v>6.1</v>
      </c>
      <c r="N34" s="368">
        <v>1.6</v>
      </c>
      <c r="O34" s="371">
        <v>0.5</v>
      </c>
      <c r="P34" s="370"/>
      <c r="Q34" s="368">
        <v>18.600000000000001</v>
      </c>
      <c r="R34" s="371">
        <v>18.600000000000001</v>
      </c>
      <c r="S34" s="370"/>
      <c r="T34" s="367"/>
      <c r="U34" s="372">
        <v>60.7</v>
      </c>
      <c r="V34" s="373">
        <v>0.3</v>
      </c>
      <c r="W34" s="374">
        <v>53.3</v>
      </c>
      <c r="X34" s="375">
        <v>1.9</v>
      </c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</row>
    <row r="35" spans="1:41" ht="12" customHeight="1" x14ac:dyDescent="0.25">
      <c r="A35" s="376" t="s">
        <v>308</v>
      </c>
      <c r="B35" s="366">
        <v>2014</v>
      </c>
      <c r="C35" s="366" t="s">
        <v>152</v>
      </c>
      <c r="D35" s="335"/>
      <c r="E35" s="377">
        <v>25.4</v>
      </c>
      <c r="F35" s="377">
        <v>25.3</v>
      </c>
      <c r="G35" s="335"/>
      <c r="H35" s="384">
        <v>0.1</v>
      </c>
      <c r="I35" s="363"/>
      <c r="J35" s="335"/>
      <c r="K35" s="335"/>
      <c r="L35" s="335"/>
      <c r="M35" s="333"/>
      <c r="N35" s="335"/>
      <c r="O35" s="334"/>
      <c r="P35" s="334"/>
      <c r="Q35" s="377">
        <v>11.5</v>
      </c>
      <c r="R35" s="378">
        <v>10.9</v>
      </c>
      <c r="S35" s="378">
        <v>0.6</v>
      </c>
      <c r="T35" s="335"/>
      <c r="U35" s="379">
        <v>36.799999999999997</v>
      </c>
      <c r="V35" s="380">
        <v>0.9</v>
      </c>
      <c r="W35" s="381">
        <v>38.200000000000003</v>
      </c>
      <c r="X35" s="382">
        <v>-3.1</v>
      </c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</row>
    <row r="36" spans="1:41" ht="12" customHeight="1" x14ac:dyDescent="0.25">
      <c r="A36" s="366" t="s">
        <v>310</v>
      </c>
      <c r="B36" s="366">
        <v>2014</v>
      </c>
      <c r="C36" s="366" t="s">
        <v>152</v>
      </c>
      <c r="D36" s="368">
        <v>62.2</v>
      </c>
      <c r="E36" s="368">
        <v>3.5</v>
      </c>
      <c r="F36" s="367"/>
      <c r="G36" s="368">
        <v>0.5</v>
      </c>
      <c r="H36" s="369">
        <v>0.9</v>
      </c>
      <c r="I36" s="369">
        <v>0.1</v>
      </c>
      <c r="J36" s="368">
        <v>2</v>
      </c>
      <c r="K36" s="367"/>
      <c r="L36" s="368">
        <v>21.3</v>
      </c>
      <c r="M36" s="428">
        <v>11.5</v>
      </c>
      <c r="N36" s="367"/>
      <c r="O36" s="371">
        <v>9.8000000000000007</v>
      </c>
      <c r="P36" s="370"/>
      <c r="Q36" s="368">
        <v>64.2</v>
      </c>
      <c r="R36" s="371">
        <v>64.2</v>
      </c>
      <c r="S36" s="370"/>
      <c r="T36" s="367"/>
      <c r="U36" s="372">
        <v>151.19999999999999</v>
      </c>
      <c r="V36" s="373">
        <v>0</v>
      </c>
      <c r="W36" s="374">
        <v>135.6</v>
      </c>
      <c r="X36" s="375">
        <v>-2.9</v>
      </c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ht="12" x14ac:dyDescent="0.25">
      <c r="A37" s="376" t="s">
        <v>311</v>
      </c>
      <c r="B37" s="366">
        <v>2014</v>
      </c>
      <c r="C37" s="366" t="s">
        <v>152</v>
      </c>
      <c r="D37" s="377">
        <v>6.1</v>
      </c>
      <c r="E37" s="377">
        <v>3.3</v>
      </c>
      <c r="F37" s="377">
        <v>2.8</v>
      </c>
      <c r="G37" s="377">
        <v>0.5</v>
      </c>
      <c r="H37" s="391">
        <v>0.01</v>
      </c>
      <c r="I37" s="363"/>
      <c r="J37" s="335"/>
      <c r="K37" s="377">
        <v>0.1</v>
      </c>
      <c r="L37" s="377">
        <v>0.5</v>
      </c>
      <c r="M37" s="432">
        <v>2E-3</v>
      </c>
      <c r="N37" s="377">
        <v>0.2</v>
      </c>
      <c r="O37" s="378">
        <v>0.1</v>
      </c>
      <c r="P37" s="378">
        <v>0.1</v>
      </c>
      <c r="Q37" s="377">
        <v>6.3</v>
      </c>
      <c r="R37" s="378">
        <v>6</v>
      </c>
      <c r="S37" s="378">
        <v>0.3</v>
      </c>
      <c r="T37" s="377">
        <v>0.1</v>
      </c>
      <c r="U37" s="379">
        <v>16.3</v>
      </c>
      <c r="V37" s="380">
        <v>0.4</v>
      </c>
      <c r="W37" s="381">
        <v>13.2</v>
      </c>
      <c r="X37" s="382">
        <v>4</v>
      </c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ht="12" customHeight="1" x14ac:dyDescent="0.25">
      <c r="A38" s="366" t="s">
        <v>312</v>
      </c>
      <c r="B38" s="366">
        <v>2014</v>
      </c>
      <c r="C38" s="366" t="s">
        <v>152</v>
      </c>
      <c r="D38" s="368">
        <v>14.5</v>
      </c>
      <c r="E38" s="368">
        <v>4.5999999999999996</v>
      </c>
      <c r="F38" s="368">
        <v>1.7</v>
      </c>
      <c r="G38" s="368">
        <v>1</v>
      </c>
      <c r="H38" s="369">
        <v>1.7</v>
      </c>
      <c r="I38" s="369">
        <v>0.2</v>
      </c>
      <c r="J38" s="367"/>
      <c r="K38" s="367"/>
      <c r="L38" s="368">
        <v>1.7</v>
      </c>
      <c r="M38" s="431">
        <v>0.01</v>
      </c>
      <c r="N38" s="368">
        <v>0.5</v>
      </c>
      <c r="O38" s="371">
        <v>0.9</v>
      </c>
      <c r="P38" s="371">
        <v>0.3</v>
      </c>
      <c r="Q38" s="368">
        <v>4.5</v>
      </c>
      <c r="R38" s="371">
        <v>4.3</v>
      </c>
      <c r="S38" s="371">
        <v>0.2</v>
      </c>
      <c r="T38" s="368">
        <v>0.1</v>
      </c>
      <c r="U38" s="372">
        <v>25.4</v>
      </c>
      <c r="V38" s="373">
        <v>0.3</v>
      </c>
      <c r="W38" s="374">
        <v>26.1</v>
      </c>
      <c r="X38" s="375">
        <v>-1.9</v>
      </c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</row>
    <row r="39" spans="1:41" ht="12" customHeight="1" x14ac:dyDescent="0.25">
      <c r="A39" s="527" t="s">
        <v>263</v>
      </c>
      <c r="B39" s="366">
        <v>2014</v>
      </c>
      <c r="C39" s="366" t="s">
        <v>152</v>
      </c>
      <c r="D39" s="396">
        <v>859</v>
      </c>
      <c r="E39" s="397">
        <v>1321.6</v>
      </c>
      <c r="F39" s="396">
        <v>338.4</v>
      </c>
      <c r="G39" s="396">
        <v>413.9</v>
      </c>
      <c r="H39" s="398">
        <v>365.5</v>
      </c>
      <c r="I39" s="398">
        <v>38.200000000000003</v>
      </c>
      <c r="J39" s="396">
        <v>37.799999999999997</v>
      </c>
      <c r="K39" s="396">
        <v>106.5</v>
      </c>
      <c r="L39" s="396">
        <v>467.9</v>
      </c>
      <c r="M39" s="433">
        <v>240</v>
      </c>
      <c r="N39" s="396">
        <v>90.9</v>
      </c>
      <c r="O39" s="399">
        <v>102.7</v>
      </c>
      <c r="P39" s="399">
        <v>19.899999999999999</v>
      </c>
      <c r="Q39" s="396">
        <v>604</v>
      </c>
      <c r="R39" s="399">
        <v>523.29999999999995</v>
      </c>
      <c r="S39" s="399">
        <v>79.7</v>
      </c>
      <c r="T39" s="396">
        <v>9.6999999999999993</v>
      </c>
      <c r="U39" s="396">
        <v>3310.4</v>
      </c>
      <c r="V39" s="400">
        <v>47.6</v>
      </c>
      <c r="W39" s="400">
        <v>3210.5</v>
      </c>
      <c r="X39" s="401">
        <v>-2.8</v>
      </c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</row>
    <row r="50" spans="1:43" x14ac:dyDescent="0.25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15" t="s">
        <v>151</v>
      </c>
      <c r="U50" s="565" t="s">
        <v>150</v>
      </c>
      <c r="V50" s="515"/>
      <c r="W50" s="508"/>
      <c r="X50" s="546" t="s">
        <v>197</v>
      </c>
      <c r="Y50" s="546" t="s">
        <v>63</v>
      </c>
      <c r="Z50" s="546" t="s">
        <v>393</v>
      </c>
      <c r="AA50" s="547" t="s">
        <v>57</v>
      </c>
      <c r="AB50" s="547" t="s">
        <v>348</v>
      </c>
      <c r="AC50" s="547" t="s">
        <v>349</v>
      </c>
      <c r="AD50" s="547" t="s">
        <v>595</v>
      </c>
      <c r="AE50" s="547" t="s">
        <v>352</v>
      </c>
      <c r="AF50" s="547" t="s">
        <v>43</v>
      </c>
      <c r="AG50" s="547" t="s">
        <v>42</v>
      </c>
      <c r="AH50" s="547" t="s">
        <v>44</v>
      </c>
      <c r="AI50" s="547" t="s">
        <v>397</v>
      </c>
      <c r="AJ50" s="547" t="s">
        <v>394</v>
      </c>
      <c r="AK50" s="547" t="s">
        <v>133</v>
      </c>
      <c r="AL50" s="547" t="s">
        <v>647</v>
      </c>
      <c r="AM50" s="547" t="s">
        <v>359</v>
      </c>
      <c r="AP50" s="1"/>
      <c r="AQ50" s="1"/>
    </row>
    <row r="51" spans="1:43" x14ac:dyDescent="0.25">
      <c r="A51" s="366" t="str">
        <f>$A4</f>
        <v>AT</v>
      </c>
      <c r="B51" s="366">
        <f>B4</f>
        <v>2014</v>
      </c>
      <c r="C51" s="366" t="str">
        <f>C4</f>
        <v>TWh</v>
      </c>
      <c r="D51" s="144">
        <f>D4</f>
        <v>0</v>
      </c>
      <c r="E51" s="144">
        <f>F4</f>
        <v>0</v>
      </c>
      <c r="F51" s="167">
        <f>G4</f>
        <v>3</v>
      </c>
      <c r="G51" s="167">
        <f>H4</f>
        <v>5.2</v>
      </c>
      <c r="H51" s="422">
        <f>I4+J4+K4</f>
        <v>3.1</v>
      </c>
      <c r="I51" s="167">
        <f>M4</f>
        <v>3</v>
      </c>
      <c r="J51" s="144">
        <v>0</v>
      </c>
      <c r="K51" s="422">
        <f>N4</f>
        <v>0</v>
      </c>
      <c r="L51" s="422">
        <f>O4</f>
        <v>0</v>
      </c>
      <c r="M51" s="422">
        <f>P4</f>
        <v>2.8</v>
      </c>
      <c r="N51" s="167">
        <f>R4</f>
        <v>36.299999999999997</v>
      </c>
      <c r="O51" s="167">
        <f>S4</f>
        <v>3.8</v>
      </c>
      <c r="P51" s="422">
        <f>T4</f>
        <v>8.3000000000000007</v>
      </c>
      <c r="Q51" s="167">
        <f t="shared" ref="Q51:Q86" si="0">SUM(D51:P51)</f>
        <v>65.499999999999986</v>
      </c>
      <c r="R51" s="167">
        <f>U4</f>
        <v>65.5</v>
      </c>
      <c r="S51" s="424">
        <f>Q51/R51</f>
        <v>0.99999999999999978</v>
      </c>
      <c r="T51" s="516">
        <f>INDEX($A$4:$X$39,MATCH(Generation_Entsoe_SFS_2014[[#This Row],[Country]],$A$4:$A$39,0),MATCH(Generation_Entsoe_SFS_2014[[#Headers],[Consumption]],$A$2:$X$2,0))</f>
        <v>69.3</v>
      </c>
      <c r="U51" s="516">
        <f>INDEX($A$4:$X$39,MATCH(Generation_Entsoe_SFS_2014[[#This Row],[Country]],$A$4:$A$39,0),MATCH(Generation_Entsoe_SFS_2014[[#Headers],[Pumping]],$A$2:$X$2,0))</f>
        <v>5.5</v>
      </c>
      <c r="V51" s="516"/>
      <c r="W51" s="509"/>
      <c r="X51" s="544" t="str">
        <f>$A4</f>
        <v>AT</v>
      </c>
      <c r="Y51" s="544">
        <v>2015</v>
      </c>
      <c r="Z51" s="544" t="s">
        <v>648</v>
      </c>
      <c r="AA51" s="548">
        <f>IFERROR(Generation_Entsoe_SFS_2014[[#This Row],[Nuclear]]/Capacity_Entsoe_SFS_2014[[#This Row],[Nuclear]]*10^6,0)</f>
        <v>0</v>
      </c>
      <c r="AB51" s="548">
        <f>IFERROR(Generation_Entsoe_SFS_2014[[#This Row],[Lignite]]/Capacity_Entsoe_SFS_2014[[#This Row],[Lignite]]*10^6,0)</f>
        <v>0</v>
      </c>
      <c r="AC51" s="548">
        <f>IFERROR(Generation_Entsoe_SFS_2014[[#This Row],[Hard coal]]/Capacity_Entsoe_SFS_2014[[#This Row],[Hard coal]]*10^6,0)</f>
        <v>2561.9128949615715</v>
      </c>
      <c r="AD51" s="548">
        <f>IFERROR(Generation_Entsoe_SFS_2014[[#This Row],[Fossil gases]]/Capacity_Entsoe_SFS_2014[[#This Row],[Fossil gases]]*10^6,0)</f>
        <v>1015.8234030084002</v>
      </c>
      <c r="AE51" s="548">
        <f>IFERROR(Generation_Entsoe_SFS_2014[[#This Row],[Other fossil fuels]]/Capacity_Entsoe_SFS_2014[[#This Row],[Other fossil fuels]]*10^6,0)</f>
        <v>1991.0083493898524</v>
      </c>
      <c r="AF51" s="548">
        <f>IFERROR(Generation_Entsoe_SFS_2014[[#This Row],[Wind onshore]]/Capacity_Entsoe_SFS_2014[[#This Row],[Wind onshore]]*10^6,0)</f>
        <v>1929.2604501607716</v>
      </c>
      <c r="AG51" s="548">
        <f>IFERROR(Generation_Entsoe_SFS_2014[[#This Row],[Wind offshore]]/Capacity_Entsoe_SFS_2014[[#This Row],[Wind offshore]]*10^6,0)</f>
        <v>0</v>
      </c>
      <c r="AH51" s="548">
        <f>IFERROR(Generation_Entsoe_SFS_2014[[#This Row],[Solar PV]]/Capacity_Entsoe_SFS_2014[[#This Row],[Solar PV]]*10^6,0)</f>
        <v>0</v>
      </c>
      <c r="AI51" s="548">
        <f>IFERROR(Generation_Entsoe_SFS_2014[[#This Row],[Bioenergy]]/Capacity_Entsoe_SFS_2014[[#This Row],[Bioenergy]]*10^6,0)</f>
        <v>0</v>
      </c>
      <c r="AJ51" s="548">
        <f>IFERROR(Generation_Entsoe_SFS_2014[[#This Row],[Other RES]]/Capacity_Entsoe_SFS_2014[[#This Row],[Other RES]]*10^6,0)</f>
        <v>0</v>
      </c>
      <c r="AK51" s="548">
        <f>IFERROR(Generation_Entsoe_SFS_2014[[#This Row],[Renewable Hydro]]/Capacity_Entsoe_SFS_2014[[#This Row],[Renewable Hydro]]*10^6,0)</f>
        <v>2703.5078573024498</v>
      </c>
      <c r="AL51" s="557">
        <f>IFERROR(Generation_Entsoe_SFS_2014[[#This Row],[Pumped Hydro]]/Capacity_Entsoe_SFS_2014[[#This Row],[Pumped Hydro]]*10^6,0)</f>
        <v>0</v>
      </c>
      <c r="AM51" s="548">
        <f>IFERROR(Generation_Entsoe_SFS_2014[[#This Row],[Other sources]]/Capacity_Entsoe_SFS_2014[[#This Row],[Other sources]]*10^6,0)</f>
        <v>34016.393442622953</v>
      </c>
      <c r="AP51" s="1"/>
      <c r="AQ51" s="1"/>
    </row>
    <row r="52" spans="1:43" x14ac:dyDescent="0.25">
      <c r="A52" s="366" t="str">
        <f t="shared" ref="A52:A86" si="1">$A5</f>
        <v>BA</v>
      </c>
      <c r="B52" s="366">
        <f t="shared" ref="B52:C66" si="2">B6</f>
        <v>2014</v>
      </c>
      <c r="C52" s="366" t="str">
        <f t="shared" si="2"/>
        <v>TWh</v>
      </c>
      <c r="D52" s="144">
        <f t="shared" ref="D52:D86" si="3">D5</f>
        <v>0</v>
      </c>
      <c r="E52" s="144">
        <f t="shared" ref="E52:G52" si="4">F5</f>
        <v>8.6999999999999993</v>
      </c>
      <c r="F52" s="167">
        <f t="shared" si="4"/>
        <v>0</v>
      </c>
      <c r="G52" s="167">
        <f t="shared" si="4"/>
        <v>0</v>
      </c>
      <c r="H52" s="422">
        <f t="shared" ref="H52:H86" si="5">I5+J5+K5</f>
        <v>0</v>
      </c>
      <c r="I52" s="167">
        <f t="shared" ref="I52:I86" si="6">M5</f>
        <v>0</v>
      </c>
      <c r="J52" s="144">
        <v>0</v>
      </c>
      <c r="K52" s="422">
        <f t="shared" ref="K52:M52" si="7">N5</f>
        <v>0</v>
      </c>
      <c r="L52" s="422">
        <f t="shared" si="7"/>
        <v>0</v>
      </c>
      <c r="M52" s="422">
        <f t="shared" si="7"/>
        <v>0</v>
      </c>
      <c r="N52" s="167">
        <f t="shared" ref="N52:N86" si="8">R5</f>
        <v>5.7</v>
      </c>
      <c r="O52" s="167">
        <f t="shared" ref="O52:P67" si="9">S5</f>
        <v>0</v>
      </c>
      <c r="P52" s="422">
        <f t="shared" si="9"/>
        <v>0</v>
      </c>
      <c r="Q52" s="167">
        <f t="shared" si="0"/>
        <v>14.399999999999999</v>
      </c>
      <c r="R52" s="167">
        <f t="shared" ref="R52:R72" si="10">U6</f>
        <v>67.7</v>
      </c>
      <c r="S52" s="424">
        <f t="shared" ref="S52:S81" si="11">Q52/R52</f>
        <v>0.21270310192023631</v>
      </c>
      <c r="T52" s="516">
        <f>INDEX($A$4:$X$39,MATCH(Generation_Entsoe_SFS_2014[[#This Row],[Country]],$A$4:$A$39,0),MATCH(Generation_Entsoe_SFS_2014[[#Headers],[Consumption]],$A$2:$X$2,0))</f>
        <v>11.6</v>
      </c>
      <c r="U52" s="516">
        <f>INDEX($A$4:$X$39,MATCH(Generation_Entsoe_SFS_2014[[#This Row],[Country]],$A$4:$A$39,0),MATCH(Generation_Entsoe_SFS_2014[[#Headers],[Pumping]],$A$2:$X$2,0))</f>
        <v>0</v>
      </c>
      <c r="V52" s="516"/>
      <c r="W52" s="509"/>
      <c r="X52" s="544" t="str">
        <f t="shared" ref="X52:X86" si="12">$A5</f>
        <v>BA</v>
      </c>
      <c r="Y52" s="544">
        <v>2015</v>
      </c>
      <c r="Z52" s="544" t="s">
        <v>648</v>
      </c>
      <c r="AA52" s="549">
        <f>IFERROR(Generation_Entsoe_SFS_2014[[#This Row],[Nuclear]]/Capacity_Entsoe_SFS_2014[[#This Row],[Nuclear]]*10^6,0)</f>
        <v>0</v>
      </c>
      <c r="AB52" s="549">
        <f>IFERROR(Generation_Entsoe_SFS_2014[[#This Row],[Lignite]]/Capacity_Entsoe_SFS_2014[[#This Row],[Lignite]]*10^6,0)</f>
        <v>5513.3079847908739</v>
      </c>
      <c r="AC52" s="549">
        <f>IFERROR(Generation_Entsoe_SFS_2014[[#This Row],[Hard coal]]/Capacity_Entsoe_SFS_2014[[#This Row],[Hard coal]]*10^6,0)</f>
        <v>0</v>
      </c>
      <c r="AD52" s="549">
        <f>IFERROR(Generation_Entsoe_SFS_2014[[#This Row],[Fossil gases]]/Capacity_Entsoe_SFS_2014[[#This Row],[Fossil gases]]*10^6,0)</f>
        <v>0</v>
      </c>
      <c r="AE52" s="549">
        <f>IFERROR(Generation_Entsoe_SFS_2014[[#This Row],[Other fossil fuels]]/Capacity_Entsoe_SFS_2014[[#This Row],[Other fossil fuels]]*10^6,0)</f>
        <v>0</v>
      </c>
      <c r="AF52" s="549">
        <f>IFERROR(Generation_Entsoe_SFS_2014[[#This Row],[Wind onshore]]/Capacity_Entsoe_SFS_2014[[#This Row],[Wind onshore]]*10^6,0)</f>
        <v>0</v>
      </c>
      <c r="AG52" s="549">
        <f>IFERROR(Generation_Entsoe_SFS_2014[[#This Row],[Wind offshore]]/Capacity_Entsoe_SFS_2014[[#This Row],[Wind offshore]]*10^6,0)</f>
        <v>0</v>
      </c>
      <c r="AH52" s="549">
        <f>IFERROR(Generation_Entsoe_SFS_2014[[#This Row],[Solar PV]]/Capacity_Entsoe_SFS_2014[[#This Row],[Solar PV]]*10^6,0)</f>
        <v>0</v>
      </c>
      <c r="AI52" s="549">
        <f>IFERROR(Generation_Entsoe_SFS_2014[[#This Row],[Bioenergy]]/Capacity_Entsoe_SFS_2014[[#This Row],[Bioenergy]]*10^6,0)</f>
        <v>0</v>
      </c>
      <c r="AJ52" s="549">
        <f>IFERROR(Generation_Entsoe_SFS_2014[[#This Row],[Other RES]]/Capacity_Entsoe_SFS_2014[[#This Row],[Other RES]]*10^6,0)</f>
        <v>0</v>
      </c>
      <c r="AK52" s="549">
        <f>IFERROR(Generation_Entsoe_SFS_2014[[#This Row],[Renewable Hydro]]/Capacity_Entsoe_SFS_2014[[#This Row],[Renewable Hydro]]*10^6,0)</f>
        <v>3518.5185185185187</v>
      </c>
      <c r="AL52" s="557">
        <f>IFERROR(Generation_Entsoe_SFS_2014[[#This Row],[Pumped Hydro]]/Capacity_Entsoe_SFS_2014[[#This Row],[Pumped Hydro]]*10^6,0)</f>
        <v>0</v>
      </c>
      <c r="AM52" s="549">
        <f>IFERROR(Generation_Entsoe_SFS_2014[[#This Row],[Other sources]]/Capacity_Entsoe_SFS_2014[[#This Row],[Other sources]]*10^6,0)</f>
        <v>0</v>
      </c>
      <c r="AP52" s="1"/>
      <c r="AQ52" s="1"/>
    </row>
    <row r="53" spans="1:43" x14ac:dyDescent="0.25">
      <c r="A53" s="366" t="str">
        <f t="shared" si="1"/>
        <v>BE</v>
      </c>
      <c r="B53" s="366">
        <f t="shared" si="2"/>
        <v>2014</v>
      </c>
      <c r="C53" s="366" t="str">
        <f t="shared" si="2"/>
        <v>TWh</v>
      </c>
      <c r="D53" s="144">
        <f t="shared" si="3"/>
        <v>32.1</v>
      </c>
      <c r="E53" s="144">
        <f t="shared" ref="E53:G53" si="13">F6</f>
        <v>0</v>
      </c>
      <c r="F53" s="167">
        <f t="shared" si="13"/>
        <v>4</v>
      </c>
      <c r="G53" s="167">
        <f t="shared" si="13"/>
        <v>18.3</v>
      </c>
      <c r="H53" s="422">
        <f t="shared" si="5"/>
        <v>0.04</v>
      </c>
      <c r="I53" s="167">
        <f t="shared" si="6"/>
        <v>4.4000000000000004</v>
      </c>
      <c r="J53" s="144">
        <v>0</v>
      </c>
      <c r="K53" s="422">
        <f t="shared" ref="K53:M53" si="14">N6</f>
        <v>2.8</v>
      </c>
      <c r="L53" s="422">
        <f t="shared" si="14"/>
        <v>4.5</v>
      </c>
      <c r="M53" s="422">
        <f t="shared" si="14"/>
        <v>0</v>
      </c>
      <c r="N53" s="167">
        <f t="shared" si="8"/>
        <v>0.3</v>
      </c>
      <c r="O53" s="167">
        <f t="shared" si="9"/>
        <v>1.2</v>
      </c>
      <c r="P53" s="422">
        <f t="shared" ref="P53:P86" si="15">T6</f>
        <v>0</v>
      </c>
      <c r="Q53" s="167">
        <f t="shared" si="0"/>
        <v>67.64</v>
      </c>
      <c r="R53" s="167">
        <f t="shared" si="10"/>
        <v>41.7</v>
      </c>
      <c r="S53" s="424">
        <f t="shared" si="11"/>
        <v>1.6220623501199041</v>
      </c>
      <c r="T53" s="516">
        <f>INDEX($A$4:$X$39,MATCH(Generation_Entsoe_SFS_2014[[#This Row],[Country]],$A$4:$A$39,0),MATCH(Generation_Entsoe_SFS_2014[[#Headers],[Consumption]],$A$2:$X$2,0))</f>
        <v>83.7</v>
      </c>
      <c r="U53" s="516">
        <f>INDEX($A$4:$X$39,MATCH(Generation_Entsoe_SFS_2014[[#This Row],[Country]],$A$4:$A$39,0),MATCH(Generation_Entsoe_SFS_2014[[#Headers],[Pumping]],$A$2:$X$2,0))</f>
        <v>1.6</v>
      </c>
      <c r="V53" s="516"/>
      <c r="W53" s="509"/>
      <c r="X53" s="544" t="str">
        <f t="shared" si="12"/>
        <v>BE</v>
      </c>
      <c r="Y53" s="544">
        <v>2015</v>
      </c>
      <c r="Z53" s="544" t="s">
        <v>648</v>
      </c>
      <c r="AA53" s="548">
        <f>IFERROR(Generation_Entsoe_SFS_2014[[#This Row],[Nuclear]]/Capacity_Entsoe_SFS_2014[[#This Row],[Nuclear]]*10^6,0)</f>
        <v>5416.8072899088766</v>
      </c>
      <c r="AB53" s="548">
        <f>IFERROR(Generation_Entsoe_SFS_2014[[#This Row],[Lignite]]/Capacity_Entsoe_SFS_2014[[#This Row],[Lignite]]*10^6,0)</f>
        <v>0</v>
      </c>
      <c r="AC53" s="554">
        <f>IFERROR(Generation_Entsoe_SFS_2014[[#This Row],[Hard coal]]/Capacity_Entsoe_SFS_2014[[#This Row],[Hard coal]]*10^6,0)</f>
        <v>9756.0975609756097</v>
      </c>
      <c r="AD53" s="548">
        <f>IFERROR(Generation_Entsoe_SFS_2014[[#This Row],[Fossil gases]]/Capacity_Entsoe_SFS_2014[[#This Row],[Fossil gases]]*10^6,0)</f>
        <v>3040.3721548429971</v>
      </c>
      <c r="AE53" s="548">
        <f>IFERROR(Generation_Entsoe_SFS_2014[[#This Row],[Other fossil fuels]]/Capacity_Entsoe_SFS_2014[[#This Row],[Other fossil fuels]]*10^6,0)</f>
        <v>190.47619047619048</v>
      </c>
      <c r="AF53" s="548">
        <f>IFERROR(Generation_Entsoe_SFS_2014[[#This Row],[Wind onshore]]/Capacity_Entsoe_SFS_2014[[#This Row],[Wind onshore]]*10^6,0)</f>
        <v>2269.2109334708616</v>
      </c>
      <c r="AG53" s="548">
        <f>IFERROR(Generation_Entsoe_SFS_2014[[#This Row],[Wind offshore]]/Capacity_Entsoe_SFS_2014[[#This Row],[Wind offshore]]*10^6,0)</f>
        <v>0</v>
      </c>
      <c r="AH53" s="548">
        <f>IFERROR(Generation_Entsoe_SFS_2014[[#This Row],[Solar PV]]/Capacity_Entsoe_SFS_2014[[#This Row],[Solar PV]]*10^6,0)</f>
        <v>937.7093101138646</v>
      </c>
      <c r="AI53" s="548">
        <f>IFERROR(Generation_Entsoe_SFS_2014[[#This Row],[Bioenergy]]/Capacity_Entsoe_SFS_2014[[#This Row],[Bioenergy]]*10^6,0)</f>
        <v>3781.5126050420167</v>
      </c>
      <c r="AJ53" s="548">
        <f>IFERROR(Generation_Entsoe_SFS_2014[[#This Row],[Other RES]]/Capacity_Entsoe_SFS_2014[[#This Row],[Other RES]]*10^6,0)</f>
        <v>0</v>
      </c>
      <c r="AK53" s="548">
        <f>IFERROR(Generation_Entsoe_SFS_2014[[#This Row],[Renewable Hydro]]/Capacity_Entsoe_SFS_2014[[#This Row],[Renewable Hydro]]*10^6,0)</f>
        <v>2564.102564102564</v>
      </c>
      <c r="AL53" s="557">
        <f>IFERROR(Generation_Entsoe_SFS_2014[[#This Row],[Pumped Hydro]]/Capacity_Entsoe_SFS_2014[[#This Row],[Pumped Hydro]]*10^6,0)</f>
        <v>917.43119266055044</v>
      </c>
      <c r="AM53" s="548">
        <f>IFERROR(Generation_Entsoe_SFS_2014[[#This Row],[Other sources]]/Capacity_Entsoe_SFS_2014[[#This Row],[Other sources]]*10^6,0)</f>
        <v>0</v>
      </c>
      <c r="AP53" s="1"/>
      <c r="AQ53" s="1"/>
    </row>
    <row r="54" spans="1:43" x14ac:dyDescent="0.25">
      <c r="A54" s="366" t="str">
        <f t="shared" si="1"/>
        <v>BG</v>
      </c>
      <c r="B54" s="366">
        <f t="shared" si="2"/>
        <v>2014</v>
      </c>
      <c r="C54" s="366" t="str">
        <f t="shared" si="2"/>
        <v>TWh</v>
      </c>
      <c r="D54" s="144">
        <f t="shared" si="3"/>
        <v>14.7</v>
      </c>
      <c r="E54" s="144">
        <f t="shared" ref="E54:G54" si="16">F7</f>
        <v>15.6</v>
      </c>
      <c r="F54" s="167">
        <f t="shared" si="16"/>
        <v>2.4</v>
      </c>
      <c r="G54" s="167">
        <f t="shared" si="16"/>
        <v>1.6</v>
      </c>
      <c r="H54" s="422">
        <f t="shared" si="5"/>
        <v>0</v>
      </c>
      <c r="I54" s="167">
        <f t="shared" si="6"/>
        <v>1.3</v>
      </c>
      <c r="J54" s="144">
        <v>0</v>
      </c>
      <c r="K54" s="422">
        <f t="shared" ref="K54:M54" si="17">N7</f>
        <v>1.2</v>
      </c>
      <c r="L54" s="422">
        <f t="shared" si="17"/>
        <v>0.1</v>
      </c>
      <c r="M54" s="422">
        <f t="shared" si="17"/>
        <v>0</v>
      </c>
      <c r="N54" s="167">
        <f t="shared" si="8"/>
        <v>4.2</v>
      </c>
      <c r="O54" s="167">
        <f t="shared" si="9"/>
        <v>0.5</v>
      </c>
      <c r="P54" s="422">
        <f t="shared" si="15"/>
        <v>0</v>
      </c>
      <c r="Q54" s="167">
        <f t="shared" si="0"/>
        <v>41.6</v>
      </c>
      <c r="R54" s="167">
        <f t="shared" si="10"/>
        <v>69.7</v>
      </c>
      <c r="S54" s="424">
        <f t="shared" si="11"/>
        <v>0.59684361549497844</v>
      </c>
      <c r="T54" s="516">
        <f>INDEX($A$4:$X$39,MATCH(Generation_Entsoe_SFS_2014[[#This Row],[Country]],$A$4:$A$39,0),MATCH(Generation_Entsoe_SFS_2014[[#Headers],[Consumption]],$A$2:$X$2,0))</f>
        <v>31.2</v>
      </c>
      <c r="U54" s="516">
        <f>INDEX($A$4:$X$39,MATCH(Generation_Entsoe_SFS_2014[[#This Row],[Country]],$A$4:$A$39,0),MATCH(Generation_Entsoe_SFS_2014[[#Headers],[Pumping]],$A$2:$X$2,0))</f>
        <v>0.8</v>
      </c>
      <c r="V54" s="516"/>
      <c r="W54" s="509"/>
      <c r="X54" s="544" t="str">
        <f t="shared" si="12"/>
        <v>BG</v>
      </c>
      <c r="Y54" s="544">
        <v>2015</v>
      </c>
      <c r="Z54" s="544" t="s">
        <v>648</v>
      </c>
      <c r="AA54" s="549">
        <f>IFERROR(Generation_Entsoe_SFS_2014[[#This Row],[Nuclear]]/Capacity_Entsoe_SFS_2014[[#This Row],[Nuclear]]*10^6,0)</f>
        <v>7350</v>
      </c>
      <c r="AB54" s="549">
        <f>IFERROR(Generation_Entsoe_SFS_2014[[#This Row],[Lignite]]/Capacity_Entsoe_SFS_2014[[#This Row],[Lignite]]*10^6,0)</f>
        <v>3715.1702786377705</v>
      </c>
      <c r="AC54" s="549">
        <f>IFERROR(Generation_Entsoe_SFS_2014[[#This Row],[Hard coal]]/Capacity_Entsoe_SFS_2014[[#This Row],[Hard coal]]*10^6,0)</f>
        <v>1550.3875968992247</v>
      </c>
      <c r="AD54" s="549">
        <f>IFERROR(Generation_Entsoe_SFS_2014[[#This Row],[Fossil gases]]/Capacity_Entsoe_SFS_2014[[#This Row],[Fossil gases]]*10^6,0)</f>
        <v>1909.307875894988</v>
      </c>
      <c r="AE54" s="549">
        <f>IFERROR(Generation_Entsoe_SFS_2014[[#This Row],[Other fossil fuels]]/Capacity_Entsoe_SFS_2014[[#This Row],[Other fossil fuels]]*10^6,0)</f>
        <v>0</v>
      </c>
      <c r="AF54" s="549">
        <f>IFERROR(Generation_Entsoe_SFS_2014[[#This Row],[Wind onshore]]/Capacity_Entsoe_SFS_2014[[#This Row],[Wind onshore]]*10^6,0)</f>
        <v>1854.493580599144</v>
      </c>
      <c r="AG54" s="549">
        <f>IFERROR(Generation_Entsoe_SFS_2014[[#This Row],[Wind offshore]]/Capacity_Entsoe_SFS_2014[[#This Row],[Wind offshore]]*10^6,0)</f>
        <v>0</v>
      </c>
      <c r="AH54" s="549">
        <f>IFERROR(Generation_Entsoe_SFS_2014[[#This Row],[Solar PV]]/Capacity_Entsoe_SFS_2014[[#This Row],[Solar PV]]*10^6,0)</f>
        <v>1154.9566891241579</v>
      </c>
      <c r="AI54" s="549">
        <f>IFERROR(Generation_Entsoe_SFS_2014[[#This Row],[Bioenergy]]/Capacity_Entsoe_SFS_2014[[#This Row],[Bioenergy]]*10^6,0)</f>
        <v>2127.6595744680853</v>
      </c>
      <c r="AJ54" s="549">
        <f>IFERROR(Generation_Entsoe_SFS_2014[[#This Row],[Other RES]]/Capacity_Entsoe_SFS_2014[[#This Row],[Other RES]]*10^6,0)</f>
        <v>0</v>
      </c>
      <c r="AK54" s="549">
        <f>IFERROR(Generation_Entsoe_SFS_2014[[#This Row],[Renewable Hydro]]/Capacity_Entsoe_SFS_2014[[#This Row],[Renewable Hydro]]*10^6,0)</f>
        <v>1804.8990116029224</v>
      </c>
      <c r="AL54" s="557">
        <f>IFERROR(Generation_Entsoe_SFS_2014[[#This Row],[Pumped Hydro]]/Capacity_Entsoe_SFS_2014[[#This Row],[Pumped Hydro]]*10^6,0)</f>
        <v>578.7037037037037</v>
      </c>
      <c r="AM54" s="549">
        <f>IFERROR(Generation_Entsoe_SFS_2014[[#This Row],[Other sources]]/Capacity_Entsoe_SFS_2014[[#This Row],[Other sources]]*10^6,0)</f>
        <v>0</v>
      </c>
      <c r="AP54" s="1"/>
      <c r="AQ54" s="1"/>
    </row>
    <row r="55" spans="1:43" x14ac:dyDescent="0.25">
      <c r="A55" s="366" t="str">
        <f t="shared" si="1"/>
        <v>CH</v>
      </c>
      <c r="B55" s="366">
        <f t="shared" si="2"/>
        <v>2014</v>
      </c>
      <c r="C55" s="366" t="str">
        <f t="shared" si="2"/>
        <v>TWh</v>
      </c>
      <c r="D55" s="144">
        <f t="shared" si="3"/>
        <v>26.4</v>
      </c>
      <c r="E55" s="144">
        <f t="shared" ref="E55:G55" si="18">F8</f>
        <v>0</v>
      </c>
      <c r="F55" s="167">
        <f t="shared" si="18"/>
        <v>0</v>
      </c>
      <c r="G55" s="167">
        <f t="shared" si="18"/>
        <v>0</v>
      </c>
      <c r="H55" s="422">
        <f t="shared" si="5"/>
        <v>2.1</v>
      </c>
      <c r="I55" s="167">
        <f t="shared" si="6"/>
        <v>0.1</v>
      </c>
      <c r="J55" s="144">
        <v>0</v>
      </c>
      <c r="K55" s="422">
        <f t="shared" ref="K55:M55" si="19">N8</f>
        <v>0</v>
      </c>
      <c r="L55" s="422">
        <f t="shared" si="19"/>
        <v>0</v>
      </c>
      <c r="M55" s="422">
        <f t="shared" si="19"/>
        <v>1.8</v>
      </c>
      <c r="N55" s="167">
        <f t="shared" si="8"/>
        <v>0</v>
      </c>
      <c r="O55" s="167">
        <f t="shared" si="9"/>
        <v>39.299999999999997</v>
      </c>
      <c r="P55" s="422">
        <f t="shared" si="15"/>
        <v>0</v>
      </c>
      <c r="Q55" s="167">
        <f t="shared" si="0"/>
        <v>69.7</v>
      </c>
      <c r="R55" s="167">
        <f t="shared" si="10"/>
        <v>4.2</v>
      </c>
      <c r="S55" s="424">
        <f t="shared" si="11"/>
        <v>16.595238095238095</v>
      </c>
      <c r="T55" s="516">
        <f>INDEX($A$4:$X$39,MATCH(Generation_Entsoe_SFS_2014[[#This Row],[Country]],$A$4:$A$39,0),MATCH(Generation_Entsoe_SFS_2014[[#Headers],[Consumption]],$A$2:$X$2,0))</f>
        <v>63</v>
      </c>
      <c r="U55" s="516">
        <f>INDEX($A$4:$X$39,MATCH(Generation_Entsoe_SFS_2014[[#This Row],[Country]],$A$4:$A$39,0),MATCH(Generation_Entsoe_SFS_2014[[#Headers],[Pumping]],$A$2:$X$2,0))</f>
        <v>2.4</v>
      </c>
      <c r="V55" s="516"/>
      <c r="W55" s="509"/>
      <c r="X55" s="544" t="str">
        <f t="shared" si="12"/>
        <v>CH</v>
      </c>
      <c r="Y55" s="544">
        <v>2015</v>
      </c>
      <c r="Z55" s="544" t="s">
        <v>648</v>
      </c>
      <c r="AA55" s="548">
        <f>IFERROR(Generation_Entsoe_SFS_2014[[#This Row],[Nuclear]]/Capacity_Entsoe_SFS_2014[[#This Row],[Nuclear]]*10^6,0)</f>
        <v>7980.6529625151143</v>
      </c>
      <c r="AB55" s="548">
        <f>IFERROR(Generation_Entsoe_SFS_2014[[#This Row],[Lignite]]/Capacity_Entsoe_SFS_2014[[#This Row],[Lignite]]*10^6,0)</f>
        <v>0</v>
      </c>
      <c r="AC55" s="548">
        <f>IFERROR(Generation_Entsoe_SFS_2014[[#This Row],[Hard coal]]/Capacity_Entsoe_SFS_2014[[#This Row],[Hard coal]]*10^6,0)</f>
        <v>0</v>
      </c>
      <c r="AD55" s="548">
        <f>IFERROR(Generation_Entsoe_SFS_2014[[#This Row],[Fossil gases]]/Capacity_Entsoe_SFS_2014[[#This Row],[Fossil gases]]*10^6,0)</f>
        <v>0</v>
      </c>
      <c r="AE55" s="548">
        <f>IFERROR(Generation_Entsoe_SFS_2014[[#This Row],[Other fossil fuels]]/Capacity_Entsoe_SFS_2014[[#This Row],[Other fossil fuels]]*10^6,0)</f>
        <v>4929.5774647887329</v>
      </c>
      <c r="AF55" s="548">
        <f>IFERROR(Generation_Entsoe_SFS_2014[[#This Row],[Wind onshore]]/Capacity_Entsoe_SFS_2014[[#This Row],[Wind onshore]]*10^6,0)</f>
        <v>2040.8163265306125</v>
      </c>
      <c r="AG55" s="548">
        <f>IFERROR(Generation_Entsoe_SFS_2014[[#This Row],[Wind offshore]]/Capacity_Entsoe_SFS_2014[[#This Row],[Wind offshore]]*10^6,0)</f>
        <v>0</v>
      </c>
      <c r="AH55" s="548">
        <f>IFERROR(Generation_Entsoe_SFS_2014[[#This Row],[Solar PV]]/Capacity_Entsoe_SFS_2014[[#This Row],[Solar PV]]*10^6,0)</f>
        <v>0</v>
      </c>
      <c r="AI55" s="548">
        <f>IFERROR(Generation_Entsoe_SFS_2014[[#This Row],[Bioenergy]]/Capacity_Entsoe_SFS_2014[[#This Row],[Bioenergy]]*10^6,0)</f>
        <v>0</v>
      </c>
      <c r="AJ55" s="548">
        <f>IFERROR(Generation_Entsoe_SFS_2014[[#This Row],[Other RES]]/Capacity_Entsoe_SFS_2014[[#This Row],[Other RES]]*10^6,0)</f>
        <v>0</v>
      </c>
      <c r="AK55" s="548">
        <f>IFERROR(Generation_Entsoe_SFS_2014[[#This Row],[Renewable Hydro]]/Capacity_Entsoe_SFS_2014[[#This Row],[Renewable Hydro]]*10^6,0)</f>
        <v>0</v>
      </c>
      <c r="AL55" s="558">
        <f>IFERROR(Generation_Entsoe_SFS_2014[[#This Row],[Pumped Hydro]]/Capacity_Entsoe_SFS_2014[[#This Row],[Pumped Hydro]]*10^6,0)</f>
        <v>28416.485900216918</v>
      </c>
      <c r="AM55" s="548">
        <f>IFERROR(Generation_Entsoe_SFS_2014[[#This Row],[Other sources]]/Capacity_Entsoe_SFS_2014[[#This Row],[Other sources]]*10^6,0)</f>
        <v>0</v>
      </c>
      <c r="AP55" s="1"/>
      <c r="AQ55" s="1"/>
    </row>
    <row r="56" spans="1:43" x14ac:dyDescent="0.25">
      <c r="A56" s="366" t="str">
        <f t="shared" si="1"/>
        <v>CY</v>
      </c>
      <c r="B56" s="366">
        <f t="shared" si="2"/>
        <v>2014</v>
      </c>
      <c r="C56" s="366" t="str">
        <f t="shared" si="2"/>
        <v>TWh</v>
      </c>
      <c r="D56" s="144">
        <f t="shared" si="3"/>
        <v>0</v>
      </c>
      <c r="E56" s="144">
        <f t="shared" ref="E56:G56" si="20">F9</f>
        <v>0</v>
      </c>
      <c r="F56" s="167">
        <f t="shared" si="20"/>
        <v>0</v>
      </c>
      <c r="G56" s="167">
        <f t="shared" si="20"/>
        <v>0</v>
      </c>
      <c r="H56" s="422">
        <f t="shared" si="5"/>
        <v>4</v>
      </c>
      <c r="I56" s="167">
        <f t="shared" si="6"/>
        <v>0.2</v>
      </c>
      <c r="J56" s="144">
        <v>0</v>
      </c>
      <c r="K56" s="422">
        <f t="shared" ref="K56:M56" si="21">N9</f>
        <v>0</v>
      </c>
      <c r="L56" s="422">
        <f t="shared" si="21"/>
        <v>0</v>
      </c>
      <c r="M56" s="422">
        <f t="shared" si="21"/>
        <v>0</v>
      </c>
      <c r="N56" s="167">
        <f t="shared" si="8"/>
        <v>0</v>
      </c>
      <c r="O56" s="167">
        <f t="shared" si="9"/>
        <v>0</v>
      </c>
      <c r="P56" s="422">
        <f t="shared" si="15"/>
        <v>0</v>
      </c>
      <c r="Q56" s="167">
        <f t="shared" si="0"/>
        <v>4.2</v>
      </c>
      <c r="R56" s="167">
        <f t="shared" si="10"/>
        <v>80</v>
      </c>
      <c r="S56" s="424">
        <f t="shared" si="11"/>
        <v>5.2500000000000005E-2</v>
      </c>
      <c r="T56" s="516">
        <f>INDEX($A$4:$X$39,MATCH(Generation_Entsoe_SFS_2014[[#This Row],[Country]],$A$4:$A$39,0),MATCH(Generation_Entsoe_SFS_2014[[#Headers],[Consumption]],$A$2:$X$2,0))</f>
        <v>4.2</v>
      </c>
      <c r="U56" s="516">
        <f>INDEX($A$4:$X$39,MATCH(Generation_Entsoe_SFS_2014[[#This Row],[Country]],$A$4:$A$39,0),MATCH(Generation_Entsoe_SFS_2014[[#Headers],[Pumping]],$A$2:$X$2,0))</f>
        <v>0</v>
      </c>
      <c r="V56" s="516"/>
      <c r="W56" s="509"/>
      <c r="X56" s="544" t="str">
        <f t="shared" si="12"/>
        <v>CY</v>
      </c>
      <c r="Y56" s="544">
        <v>2015</v>
      </c>
      <c r="Z56" s="544" t="s">
        <v>648</v>
      </c>
      <c r="AA56" s="549">
        <f>IFERROR(Generation_Entsoe_SFS_2014[[#This Row],[Nuclear]]/Capacity_Entsoe_SFS_2014[[#This Row],[Nuclear]]*10^6,0)</f>
        <v>0</v>
      </c>
      <c r="AB56" s="549">
        <f>IFERROR(Generation_Entsoe_SFS_2014[[#This Row],[Lignite]]/Capacity_Entsoe_SFS_2014[[#This Row],[Lignite]]*10^6,0)</f>
        <v>0</v>
      </c>
      <c r="AC56" s="549">
        <f>IFERROR(Generation_Entsoe_SFS_2014[[#This Row],[Hard coal]]/Capacity_Entsoe_SFS_2014[[#This Row],[Hard coal]]*10^6,0)</f>
        <v>0</v>
      </c>
      <c r="AD56" s="549">
        <f>IFERROR(Generation_Entsoe_SFS_2014[[#This Row],[Fossil gases]]/Capacity_Entsoe_SFS_2014[[#This Row],[Fossil gases]]*10^6,0)</f>
        <v>0</v>
      </c>
      <c r="AE56" s="549">
        <f>IFERROR(Generation_Entsoe_SFS_2014[[#This Row],[Other fossil fuels]]/Capacity_Entsoe_SFS_2014[[#This Row],[Other fossil fuels]]*10^6,0)</f>
        <v>2706.3599458728013</v>
      </c>
      <c r="AF56" s="549">
        <f>IFERROR(Generation_Entsoe_SFS_2014[[#This Row],[Wind onshore]]/Capacity_Entsoe_SFS_2014[[#This Row],[Wind onshore]]*10^6,0)</f>
        <v>1388.8888888888889</v>
      </c>
      <c r="AG56" s="549">
        <f>IFERROR(Generation_Entsoe_SFS_2014[[#This Row],[Wind offshore]]/Capacity_Entsoe_SFS_2014[[#This Row],[Wind offshore]]*10^6,0)</f>
        <v>0</v>
      </c>
      <c r="AH56" s="549">
        <f>IFERROR(Generation_Entsoe_SFS_2014[[#This Row],[Solar PV]]/Capacity_Entsoe_SFS_2014[[#This Row],[Solar PV]]*10^6,0)</f>
        <v>0</v>
      </c>
      <c r="AI56" s="549">
        <f>IFERROR(Generation_Entsoe_SFS_2014[[#This Row],[Bioenergy]]/Capacity_Entsoe_SFS_2014[[#This Row],[Bioenergy]]*10^6,0)</f>
        <v>0</v>
      </c>
      <c r="AJ56" s="549">
        <f>IFERROR(Generation_Entsoe_SFS_2014[[#This Row],[Other RES]]/Capacity_Entsoe_SFS_2014[[#This Row],[Other RES]]*10^6,0)</f>
        <v>0</v>
      </c>
      <c r="AK56" s="549">
        <f>IFERROR(Generation_Entsoe_SFS_2014[[#This Row],[Renewable Hydro]]/Capacity_Entsoe_SFS_2014[[#This Row],[Renewable Hydro]]*10^6,0)</f>
        <v>0</v>
      </c>
      <c r="AL56" s="557">
        <f>IFERROR(Generation_Entsoe_SFS_2014[[#This Row],[Pumped Hydro]]/Capacity_Entsoe_SFS_2014[[#This Row],[Pumped Hydro]]*10^6,0)</f>
        <v>0</v>
      </c>
      <c r="AM56" s="549">
        <f>IFERROR(Generation_Entsoe_SFS_2014[[#This Row],[Other sources]]/Capacity_Entsoe_SFS_2014[[#This Row],[Other sources]]*10^6,0)</f>
        <v>0</v>
      </c>
      <c r="AP56" s="1"/>
      <c r="AQ56" s="1"/>
    </row>
    <row r="57" spans="1:43" x14ac:dyDescent="0.25">
      <c r="A57" s="366" t="str">
        <f t="shared" si="1"/>
        <v>CZ</v>
      </c>
      <c r="B57" s="366">
        <f t="shared" si="2"/>
        <v>2014</v>
      </c>
      <c r="C57" s="366" t="str">
        <f t="shared" si="2"/>
        <v>TWh</v>
      </c>
      <c r="D57" s="144">
        <f t="shared" si="3"/>
        <v>28.6</v>
      </c>
      <c r="E57" s="144">
        <f t="shared" ref="E57:G57" si="22">F10</f>
        <v>32.6</v>
      </c>
      <c r="F57" s="167">
        <f t="shared" si="22"/>
        <v>4.5999999999999996</v>
      </c>
      <c r="G57" s="167">
        <f t="shared" si="22"/>
        <v>4.4000000000000004</v>
      </c>
      <c r="H57" s="422">
        <f t="shared" si="5"/>
        <v>0.15000000000000002</v>
      </c>
      <c r="I57" s="167">
        <f t="shared" si="6"/>
        <v>0.5</v>
      </c>
      <c r="J57" s="144">
        <v>0</v>
      </c>
      <c r="K57" s="422">
        <f t="shared" ref="K57:M57" si="23">N10</f>
        <v>2.1</v>
      </c>
      <c r="L57" s="422">
        <f t="shared" si="23"/>
        <v>1.8</v>
      </c>
      <c r="M57" s="422">
        <f t="shared" si="23"/>
        <v>2.4</v>
      </c>
      <c r="N57" s="167">
        <f t="shared" si="8"/>
        <v>1.9</v>
      </c>
      <c r="O57" s="167">
        <f t="shared" si="9"/>
        <v>1.1000000000000001</v>
      </c>
      <c r="P57" s="422">
        <f t="shared" si="15"/>
        <v>0</v>
      </c>
      <c r="Q57" s="167">
        <f t="shared" si="0"/>
        <v>80.150000000000006</v>
      </c>
      <c r="R57" s="167">
        <f t="shared" si="10"/>
        <v>548.5</v>
      </c>
      <c r="S57" s="424">
        <f t="shared" si="11"/>
        <v>0.14612579762989975</v>
      </c>
      <c r="T57" s="516">
        <f>INDEX($A$4:$X$39,MATCH(Generation_Entsoe_SFS_2014[[#This Row],[Country]],$A$4:$A$39,0),MATCH(Generation_Entsoe_SFS_2014[[#Headers],[Consumption]],$A$2:$X$2,0))</f>
        <v>62</v>
      </c>
      <c r="U57" s="516">
        <f>INDEX($A$4:$X$39,MATCH(Generation_Entsoe_SFS_2014[[#This Row],[Country]],$A$4:$A$39,0),MATCH(Generation_Entsoe_SFS_2014[[#Headers],[Pumping]],$A$2:$X$2,0))</f>
        <v>1.4</v>
      </c>
      <c r="V57" s="516"/>
      <c r="W57" s="509"/>
      <c r="X57" s="544" t="str">
        <f t="shared" si="12"/>
        <v>CZ</v>
      </c>
      <c r="Y57" s="544">
        <v>2015</v>
      </c>
      <c r="Z57" s="544" t="s">
        <v>648</v>
      </c>
      <c r="AA57" s="548">
        <f>IFERROR(Generation_Entsoe_SFS_2014[[#This Row],[Nuclear]]/Capacity_Entsoe_SFS_2014[[#This Row],[Nuclear]]*10^6,0)</f>
        <v>7079.2079207920797</v>
      </c>
      <c r="AB57" s="548">
        <f>IFERROR(Generation_Entsoe_SFS_2014[[#This Row],[Lignite]]/Capacity_Entsoe_SFS_2014[[#This Row],[Lignite]]*10^6,0)</f>
        <v>0</v>
      </c>
      <c r="AC57" s="548">
        <f>IFERROR(Generation_Entsoe_SFS_2014[[#This Row],[Hard coal]]/Capacity_Entsoe_SFS_2014[[#This Row],[Hard coal]]*10^6,0)</f>
        <v>0</v>
      </c>
      <c r="AD57" s="548">
        <f>IFERROR(Generation_Entsoe_SFS_2014[[#This Row],[Fossil gases]]/Capacity_Entsoe_SFS_2014[[#This Row],[Fossil gases]]*10^6,0)</f>
        <v>2174.98764211567</v>
      </c>
      <c r="AE57" s="548">
        <f>IFERROR(Generation_Entsoe_SFS_2014[[#This Row],[Other fossil fuels]]/Capacity_Entsoe_SFS_2014[[#This Row],[Other fossil fuels]]*10^6,0)</f>
        <v>14.953643704516002</v>
      </c>
      <c r="AF57" s="548">
        <f>IFERROR(Generation_Entsoe_SFS_2014[[#This Row],[Wind onshore]]/Capacity_Entsoe_SFS_2014[[#This Row],[Wind onshore]]*10^6,0)</f>
        <v>1798.5611510791368</v>
      </c>
      <c r="AG57" s="548">
        <f>IFERROR(Generation_Entsoe_SFS_2014[[#This Row],[Wind offshore]]/Capacity_Entsoe_SFS_2014[[#This Row],[Wind offshore]]*10^6,0)</f>
        <v>0</v>
      </c>
      <c r="AH57" s="548">
        <f>IFERROR(Generation_Entsoe_SFS_2014[[#This Row],[Solar PV]]/Capacity_Entsoe_SFS_2014[[#This Row],[Solar PV]]*10^6,0)</f>
        <v>1018.9228529839884</v>
      </c>
      <c r="AI57" s="548">
        <f>IFERROR(Generation_Entsoe_SFS_2014[[#This Row],[Bioenergy]]/Capacity_Entsoe_SFS_2014[[#This Row],[Bioenergy]]*10^6,0)</f>
        <v>0</v>
      </c>
      <c r="AJ57" s="548">
        <f>IFERROR(Generation_Entsoe_SFS_2014[[#This Row],[Other RES]]/Capacity_Entsoe_SFS_2014[[#This Row],[Other RES]]*10^6,0)</f>
        <v>0</v>
      </c>
      <c r="AK57" s="548">
        <f>IFERROR(Generation_Entsoe_SFS_2014[[#This Row],[Renewable Hydro]]/Capacity_Entsoe_SFS_2014[[#This Row],[Renewable Hydro]]*10^6,0)</f>
        <v>1743.1192660550457</v>
      </c>
      <c r="AL57" s="557">
        <f>IFERROR(Generation_Entsoe_SFS_2014[[#This Row],[Pumped Hydro]]/Capacity_Entsoe_SFS_2014[[#This Row],[Pumped Hydro]]*10^6,0)</f>
        <v>939.36806148590961</v>
      </c>
      <c r="AM57" s="548">
        <f>IFERROR(Generation_Entsoe_SFS_2014[[#This Row],[Other sources]]/Capacity_Entsoe_SFS_2014[[#This Row],[Other sources]]*10^6,0)</f>
        <v>0</v>
      </c>
      <c r="AP57" s="1"/>
      <c r="AQ57" s="1"/>
    </row>
    <row r="58" spans="1:43" x14ac:dyDescent="0.25">
      <c r="A58" s="366" t="str">
        <f t="shared" si="1"/>
        <v>DE</v>
      </c>
      <c r="B58" s="366">
        <f t="shared" si="2"/>
        <v>2014</v>
      </c>
      <c r="C58" s="366" t="str">
        <f t="shared" si="2"/>
        <v>TWh</v>
      </c>
      <c r="D58" s="144">
        <f t="shared" si="3"/>
        <v>91.8</v>
      </c>
      <c r="E58" s="144">
        <f t="shared" ref="E58:G58" si="24">F11</f>
        <v>148.69999999999999</v>
      </c>
      <c r="F58" s="167">
        <f t="shared" si="24"/>
        <v>102.8</v>
      </c>
      <c r="G58" s="167">
        <f t="shared" si="24"/>
        <v>38.200000000000003</v>
      </c>
      <c r="H58" s="422">
        <f t="shared" si="5"/>
        <v>16.2</v>
      </c>
      <c r="I58" s="167">
        <f t="shared" si="6"/>
        <v>55.2</v>
      </c>
      <c r="J58" s="144">
        <v>0</v>
      </c>
      <c r="K58" s="422">
        <f t="shared" ref="K58:M58" si="25">N11</f>
        <v>34.799999999999997</v>
      </c>
      <c r="L58" s="422">
        <f t="shared" si="25"/>
        <v>35.5</v>
      </c>
      <c r="M58" s="422">
        <f t="shared" si="25"/>
        <v>1.4</v>
      </c>
      <c r="N58" s="167">
        <f t="shared" si="8"/>
        <v>16.399999999999999</v>
      </c>
      <c r="O58" s="167">
        <f t="shared" si="9"/>
        <v>7.4</v>
      </c>
      <c r="P58" s="422">
        <f t="shared" si="15"/>
        <v>0</v>
      </c>
      <c r="Q58" s="167">
        <f t="shared" si="0"/>
        <v>548.4</v>
      </c>
      <c r="R58" s="167">
        <f t="shared" si="10"/>
        <v>30.6</v>
      </c>
      <c r="S58" s="424">
        <f t="shared" si="11"/>
        <v>17.921568627450977</v>
      </c>
      <c r="T58" s="516">
        <f>INDEX($A$4:$X$39,MATCH(Generation_Entsoe_SFS_2014[[#This Row],[Country]],$A$4:$A$39,0),MATCH(Generation_Entsoe_SFS_2014[[#Headers],[Consumption]],$A$2:$X$2,0))</f>
        <v>504.9</v>
      </c>
      <c r="U58" s="516">
        <f>INDEX($A$4:$X$39,MATCH(Generation_Entsoe_SFS_2014[[#This Row],[Country]],$A$4:$A$39,0),MATCH(Generation_Entsoe_SFS_2014[[#Headers],[Pumping]],$A$2:$X$2,0))</f>
        <v>8</v>
      </c>
      <c r="V58" s="516"/>
      <c r="W58" s="509"/>
      <c r="X58" s="544" t="str">
        <f t="shared" si="12"/>
        <v>DE</v>
      </c>
      <c r="Y58" s="544">
        <v>2015</v>
      </c>
      <c r="Z58" s="544" t="s">
        <v>648</v>
      </c>
      <c r="AA58" s="549">
        <f>IFERROR(Generation_Entsoe_SFS_2014[[#This Row],[Nuclear]]/Capacity_Entsoe_SFS_2014[[#This Row],[Nuclear]]*10^6,0)</f>
        <v>7606.8942658269807</v>
      </c>
      <c r="AB58" s="549">
        <f>IFERROR(Generation_Entsoe_SFS_2014[[#This Row],[Lignite]]/Capacity_Entsoe_SFS_2014[[#This Row],[Lignite]]*10^6,0)</f>
        <v>7021.1058123613002</v>
      </c>
      <c r="AC58" s="549">
        <f>IFERROR(Generation_Entsoe_SFS_2014[[#This Row],[Hard coal]]/Capacity_Entsoe_SFS_2014[[#This Row],[Hard coal]]*10^6,0)</f>
        <v>3782.8886844526214</v>
      </c>
      <c r="AD58" s="549">
        <f>IFERROR(Generation_Entsoe_SFS_2014[[#This Row],[Fossil gases]]/Capacity_Entsoe_SFS_2014[[#This Row],[Fossil gases]]*10^6,0)</f>
        <v>1361.9995008378794</v>
      </c>
      <c r="AE58" s="549">
        <f>IFERROR(Generation_Entsoe_SFS_2014[[#This Row],[Other fossil fuels]]/Capacity_Entsoe_SFS_2014[[#This Row],[Other fossil fuels]]*10^6,0)</f>
        <v>1827.2050530115046</v>
      </c>
      <c r="AF58" s="549">
        <f>IFERROR(Generation_Entsoe_SFS_2014[[#This Row],[Wind onshore]]/Capacity_Entsoe_SFS_2014[[#This Row],[Wind onshore]]*10^6,0)</f>
        <v>1509.8055304833019</v>
      </c>
      <c r="AG58" s="549">
        <f>IFERROR(Generation_Entsoe_SFS_2014[[#This Row],[Wind offshore]]/Capacity_Entsoe_SFS_2014[[#This Row],[Wind offshore]]*10^6,0)</f>
        <v>0</v>
      </c>
      <c r="AH58" s="549">
        <f>IFERROR(Generation_Entsoe_SFS_2014[[#This Row],[Solar PV]]/Capacity_Entsoe_SFS_2014[[#This Row],[Solar PV]]*10^6,0)</f>
        <v>916.24759748295196</v>
      </c>
      <c r="AI58" s="549">
        <f>IFERROR(Generation_Entsoe_SFS_2014[[#This Row],[Bioenergy]]/Capacity_Entsoe_SFS_2014[[#This Row],[Bioenergy]]*10^6,0)</f>
        <v>5582.6387796823401</v>
      </c>
      <c r="AJ58" s="549">
        <f>IFERROR(Generation_Entsoe_SFS_2014[[#This Row],[Other RES]]/Capacity_Entsoe_SFS_2014[[#This Row],[Other RES]]*10^6,0)</f>
        <v>2389.0784982935152</v>
      </c>
      <c r="AK58" s="549">
        <f>IFERROR(Generation_Entsoe_SFS_2014[[#This Row],[Renewable Hydro]]/Capacity_Entsoe_SFS_2014[[#This Row],[Renewable Hydro]]*10^6,0)</f>
        <v>3803.3395176252316</v>
      </c>
      <c r="AL58" s="557">
        <f>IFERROR(Generation_Entsoe_SFS_2014[[#This Row],[Pumped Hydro]]/Capacity_Entsoe_SFS_2014[[#This Row],[Pumped Hydro]]*10^6,0)</f>
        <v>1165.3543307086613</v>
      </c>
      <c r="AM58" s="549">
        <f>IFERROR(Generation_Entsoe_SFS_2014[[#This Row],[Other sources]]/Capacity_Entsoe_SFS_2014[[#This Row],[Other sources]]*10^6,0)</f>
        <v>0</v>
      </c>
      <c r="AP58" s="1"/>
      <c r="AQ58" s="1"/>
    </row>
    <row r="59" spans="1:43" x14ac:dyDescent="0.25">
      <c r="A59" s="366" t="str">
        <f t="shared" si="1"/>
        <v>DK</v>
      </c>
      <c r="B59" s="366">
        <f t="shared" si="2"/>
        <v>2014</v>
      </c>
      <c r="C59" s="366" t="str">
        <f t="shared" si="2"/>
        <v>TWh</v>
      </c>
      <c r="D59" s="144">
        <f t="shared" si="3"/>
        <v>0</v>
      </c>
      <c r="E59" s="144">
        <f t="shared" ref="E59:G59" si="26">F12</f>
        <v>0</v>
      </c>
      <c r="F59" s="167">
        <f t="shared" si="26"/>
        <v>10.8</v>
      </c>
      <c r="G59" s="167">
        <f t="shared" si="26"/>
        <v>3.8</v>
      </c>
      <c r="H59" s="422">
        <f t="shared" si="5"/>
        <v>0.05</v>
      </c>
      <c r="I59" s="167">
        <f t="shared" si="6"/>
        <v>13.1</v>
      </c>
      <c r="J59" s="144">
        <v>0</v>
      </c>
      <c r="K59" s="422">
        <f t="shared" ref="K59:M59" si="27">N12</f>
        <v>0.6</v>
      </c>
      <c r="L59" s="422">
        <f t="shared" si="27"/>
        <v>2.2999999999999998</v>
      </c>
      <c r="M59" s="422">
        <f t="shared" si="27"/>
        <v>0</v>
      </c>
      <c r="N59" s="167">
        <f t="shared" si="8"/>
        <v>0.02</v>
      </c>
      <c r="O59" s="167">
        <f t="shared" si="9"/>
        <v>0</v>
      </c>
      <c r="P59" s="422">
        <f t="shared" si="15"/>
        <v>0</v>
      </c>
      <c r="Q59" s="167">
        <f t="shared" si="0"/>
        <v>30.67</v>
      </c>
      <c r="R59" s="167">
        <f t="shared" si="10"/>
        <v>10.9</v>
      </c>
      <c r="S59" s="424">
        <f t="shared" si="11"/>
        <v>2.8137614678899081</v>
      </c>
      <c r="T59" s="516">
        <f>INDEX($A$4:$X$39,MATCH(Generation_Entsoe_SFS_2014[[#This Row],[Country]],$A$4:$A$39,0),MATCH(Generation_Entsoe_SFS_2014[[#Headers],[Consumption]],$A$2:$X$2,0))</f>
        <v>33.299999999999997</v>
      </c>
      <c r="U59" s="516">
        <f>INDEX($A$4:$X$39,MATCH(Generation_Entsoe_SFS_2014[[#This Row],[Country]],$A$4:$A$39,0),MATCH(Generation_Entsoe_SFS_2014[[#Headers],[Pumping]],$A$2:$X$2,0))</f>
        <v>0</v>
      </c>
      <c r="V59" s="516"/>
      <c r="W59" s="509"/>
      <c r="X59" s="544" t="str">
        <f t="shared" si="12"/>
        <v>DK</v>
      </c>
      <c r="Y59" s="544">
        <v>2015</v>
      </c>
      <c r="Z59" s="544" t="s">
        <v>648</v>
      </c>
      <c r="AA59" s="548">
        <f>IFERROR(Generation_Entsoe_SFS_2014[[#This Row],[Nuclear]]/Capacity_Entsoe_SFS_2014[[#This Row],[Nuclear]]*10^6,0)</f>
        <v>0</v>
      </c>
      <c r="AB59" s="548">
        <f>IFERROR(Generation_Entsoe_SFS_2014[[#This Row],[Lignite]]/Capacity_Entsoe_SFS_2014[[#This Row],[Lignite]]*10^6,0)</f>
        <v>0</v>
      </c>
      <c r="AC59" s="548">
        <f>IFERROR(Generation_Entsoe_SFS_2014[[#This Row],[Hard coal]]/Capacity_Entsoe_SFS_2014[[#This Row],[Hard coal]]*10^6,0)</f>
        <v>2193.7842778793424</v>
      </c>
      <c r="AD59" s="548">
        <f>IFERROR(Generation_Entsoe_SFS_2014[[#This Row],[Fossil gases]]/Capacity_Entsoe_SFS_2014[[#This Row],[Fossil gases]]*10^6,0)</f>
        <v>1230.9685779073534</v>
      </c>
      <c r="AE59" s="548">
        <f>IFERROR(Generation_Entsoe_SFS_2014[[#This Row],[Other fossil fuels]]/Capacity_Entsoe_SFS_2014[[#This Row],[Other fossil fuels]]*10^6,0)</f>
        <v>55.370985603543744</v>
      </c>
      <c r="AF59" s="548">
        <f>IFERROR(Generation_Entsoe_SFS_2014[[#This Row],[Wind onshore]]/Capacity_Entsoe_SFS_2014[[#This Row],[Wind onshore]]*10^6,0)</f>
        <v>2675.1072084949969</v>
      </c>
      <c r="AG59" s="548">
        <f>IFERROR(Generation_Entsoe_SFS_2014[[#This Row],[Wind offshore]]/Capacity_Entsoe_SFS_2014[[#This Row],[Wind offshore]]*10^6,0)</f>
        <v>0</v>
      </c>
      <c r="AH59" s="548">
        <f>IFERROR(Generation_Entsoe_SFS_2014[[#This Row],[Solar PV]]/Capacity_Entsoe_SFS_2014[[#This Row],[Solar PV]]*10^6,0)</f>
        <v>990.09900990099015</v>
      </c>
      <c r="AI59" s="548">
        <f>IFERROR(Generation_Entsoe_SFS_2014[[#This Row],[Bioenergy]]/Capacity_Entsoe_SFS_2014[[#This Row],[Bioenergy]]*10^6,0)</f>
        <v>3782.894736842105</v>
      </c>
      <c r="AJ59" s="548">
        <f>IFERROR(Generation_Entsoe_SFS_2014[[#This Row],[Other RES]]/Capacity_Entsoe_SFS_2014[[#This Row],[Other RES]]*10^6,0)</f>
        <v>0</v>
      </c>
      <c r="AK59" s="548">
        <f>IFERROR(Generation_Entsoe_SFS_2014[[#This Row],[Renewable Hydro]]/Capacity_Entsoe_SFS_2014[[#This Row],[Renewable Hydro]]*10^6,0)</f>
        <v>2222.2222222222222</v>
      </c>
      <c r="AL59" s="557">
        <f>IFERROR(Generation_Entsoe_SFS_2014[[#This Row],[Pumped Hydro]]/Capacity_Entsoe_SFS_2014[[#This Row],[Pumped Hydro]]*10^6,0)</f>
        <v>0</v>
      </c>
      <c r="AM59" s="548">
        <f>IFERROR(Generation_Entsoe_SFS_2014[[#This Row],[Other sources]]/Capacity_Entsoe_SFS_2014[[#This Row],[Other sources]]*10^6,0)</f>
        <v>0</v>
      </c>
      <c r="AP59" s="1"/>
      <c r="AQ59" s="1"/>
    </row>
    <row r="60" spans="1:43" x14ac:dyDescent="0.25">
      <c r="A60" s="366" t="str">
        <f t="shared" si="1"/>
        <v>EE</v>
      </c>
      <c r="B60" s="366">
        <f t="shared" si="2"/>
        <v>2014</v>
      </c>
      <c r="C60" s="366" t="str">
        <f t="shared" si="2"/>
        <v>TWh</v>
      </c>
      <c r="D60" s="144">
        <f t="shared" si="3"/>
        <v>0</v>
      </c>
      <c r="E60" s="144">
        <f t="shared" ref="E60:G60" si="28">F13</f>
        <v>0</v>
      </c>
      <c r="F60" s="167">
        <f t="shared" si="28"/>
        <v>0</v>
      </c>
      <c r="G60" s="167">
        <f t="shared" si="28"/>
        <v>0</v>
      </c>
      <c r="H60" s="422">
        <f t="shared" si="5"/>
        <v>9.6</v>
      </c>
      <c r="I60" s="167">
        <f t="shared" si="6"/>
        <v>0.6</v>
      </c>
      <c r="J60" s="144">
        <v>0</v>
      </c>
      <c r="K60" s="422">
        <f t="shared" ref="K60:M60" si="29">N13</f>
        <v>0</v>
      </c>
      <c r="L60" s="422">
        <f t="shared" si="29"/>
        <v>0.7</v>
      </c>
      <c r="M60" s="422">
        <f t="shared" si="29"/>
        <v>0</v>
      </c>
      <c r="N60" s="167">
        <f t="shared" si="8"/>
        <v>0.03</v>
      </c>
      <c r="O60" s="167">
        <f t="shared" si="9"/>
        <v>0</v>
      </c>
      <c r="P60" s="422">
        <f t="shared" si="15"/>
        <v>0</v>
      </c>
      <c r="Q60" s="167">
        <f t="shared" si="0"/>
        <v>10.929999999999998</v>
      </c>
      <c r="R60" s="167">
        <f t="shared" si="10"/>
        <v>266.5</v>
      </c>
      <c r="S60" s="424">
        <f t="shared" si="11"/>
        <v>4.1013133208255149E-2</v>
      </c>
      <c r="T60" s="516">
        <f>INDEX($A$4:$X$39,MATCH(Generation_Entsoe_SFS_2014[[#This Row],[Country]],$A$4:$A$39,0),MATCH(Generation_Entsoe_SFS_2014[[#Headers],[Consumption]],$A$2:$X$2,0))</f>
        <v>8.1999999999999993</v>
      </c>
      <c r="U60" s="516">
        <f>INDEX($A$4:$X$39,MATCH(Generation_Entsoe_SFS_2014[[#This Row],[Country]],$A$4:$A$39,0),MATCH(Generation_Entsoe_SFS_2014[[#Headers],[Pumping]],$A$2:$X$2,0))</f>
        <v>0</v>
      </c>
      <c r="V60" s="516"/>
      <c r="W60" s="509"/>
      <c r="X60" s="544" t="str">
        <f t="shared" si="12"/>
        <v>EE</v>
      </c>
      <c r="Y60" s="544">
        <v>2015</v>
      </c>
      <c r="Z60" s="544" t="s">
        <v>648</v>
      </c>
      <c r="AA60" s="549">
        <f>IFERROR(Generation_Entsoe_SFS_2014[[#This Row],[Nuclear]]/Capacity_Entsoe_SFS_2014[[#This Row],[Nuclear]]*10^6,0)</f>
        <v>0</v>
      </c>
      <c r="AB60" s="549">
        <f>IFERROR(Generation_Entsoe_SFS_2014[[#This Row],[Lignite]]/Capacity_Entsoe_SFS_2014[[#This Row],[Lignite]]*10^6,0)</f>
        <v>0</v>
      </c>
      <c r="AC60" s="549">
        <f>IFERROR(Generation_Entsoe_SFS_2014[[#This Row],[Hard coal]]/Capacity_Entsoe_SFS_2014[[#This Row],[Hard coal]]*10^6,0)</f>
        <v>0</v>
      </c>
      <c r="AD60" s="549">
        <f>IFERROR(Generation_Entsoe_SFS_2014[[#This Row],[Fossil gases]]/Capacity_Entsoe_SFS_2014[[#This Row],[Fossil gases]]*10^6,0)</f>
        <v>0</v>
      </c>
      <c r="AE60" s="549">
        <f>IFERROR(Generation_Entsoe_SFS_2014[[#This Row],[Other fossil fuels]]/Capacity_Entsoe_SFS_2014[[#This Row],[Other fossil fuels]]*10^6,0)</f>
        <v>4662.457503642544</v>
      </c>
      <c r="AF60" s="549">
        <f>IFERROR(Generation_Entsoe_SFS_2014[[#This Row],[Wind onshore]]/Capacity_Entsoe_SFS_2014[[#This Row],[Wind onshore]]*10^6,0)</f>
        <v>1993.3554817275744</v>
      </c>
      <c r="AG60" s="549">
        <f>IFERROR(Generation_Entsoe_SFS_2014[[#This Row],[Wind offshore]]/Capacity_Entsoe_SFS_2014[[#This Row],[Wind offshore]]*10^6,0)</f>
        <v>0</v>
      </c>
      <c r="AH60" s="549">
        <f>IFERROR(Generation_Entsoe_SFS_2014[[#This Row],[Solar PV]]/Capacity_Entsoe_SFS_2014[[#This Row],[Solar PV]]*10^6,0)</f>
        <v>0</v>
      </c>
      <c r="AI60" s="549">
        <f>IFERROR(Generation_Entsoe_SFS_2014[[#This Row],[Bioenergy]]/Capacity_Entsoe_SFS_2014[[#This Row],[Bioenergy]]*10^6,0)</f>
        <v>6930.6930693069298</v>
      </c>
      <c r="AJ60" s="549">
        <f>IFERROR(Generation_Entsoe_SFS_2014[[#This Row],[Other RES]]/Capacity_Entsoe_SFS_2014[[#This Row],[Other RES]]*10^6,0)</f>
        <v>0</v>
      </c>
      <c r="AK60" s="549">
        <f>IFERROR(Generation_Entsoe_SFS_2014[[#This Row],[Renewable Hydro]]/Capacity_Entsoe_SFS_2014[[#This Row],[Renewable Hydro]]*10^6,0)</f>
        <v>3750</v>
      </c>
      <c r="AL60" s="557">
        <f>IFERROR(Generation_Entsoe_SFS_2014[[#This Row],[Pumped Hydro]]/Capacity_Entsoe_SFS_2014[[#This Row],[Pumped Hydro]]*10^6,0)</f>
        <v>0</v>
      </c>
      <c r="AM60" s="549">
        <f>IFERROR(Generation_Entsoe_SFS_2014[[#This Row],[Other sources]]/Capacity_Entsoe_SFS_2014[[#This Row],[Other sources]]*10^6,0)</f>
        <v>0</v>
      </c>
      <c r="AP60" s="1"/>
      <c r="AQ60" s="1"/>
    </row>
    <row r="61" spans="1:43" x14ac:dyDescent="0.25">
      <c r="A61" s="366" t="str">
        <f t="shared" si="1"/>
        <v>ES</v>
      </c>
      <c r="B61" s="366">
        <f t="shared" si="2"/>
        <v>2014</v>
      </c>
      <c r="C61" s="366" t="str">
        <f t="shared" si="2"/>
        <v>TWh</v>
      </c>
      <c r="D61" s="144">
        <f t="shared" si="3"/>
        <v>54.8</v>
      </c>
      <c r="E61" s="144">
        <f t="shared" ref="E61:G61" si="30">F14</f>
        <v>4.5</v>
      </c>
      <c r="F61" s="167">
        <f t="shared" si="30"/>
        <v>39.299999999999997</v>
      </c>
      <c r="G61" s="167">
        <f t="shared" si="30"/>
        <v>46.2</v>
      </c>
      <c r="H61" s="422">
        <f t="shared" si="5"/>
        <v>9.1999999999999993</v>
      </c>
      <c r="I61" s="167">
        <f t="shared" si="6"/>
        <v>51</v>
      </c>
      <c r="J61" s="144">
        <v>0</v>
      </c>
      <c r="K61" s="422">
        <f t="shared" ref="K61:M61" si="31">N14</f>
        <v>13.1</v>
      </c>
      <c r="L61" s="422">
        <f t="shared" si="31"/>
        <v>5.7</v>
      </c>
      <c r="M61" s="422">
        <f t="shared" si="31"/>
        <v>1E-3</v>
      </c>
      <c r="N61" s="167">
        <f t="shared" si="8"/>
        <v>38.5</v>
      </c>
      <c r="O61" s="167">
        <f t="shared" si="9"/>
        <v>3.9</v>
      </c>
      <c r="P61" s="422">
        <f t="shared" si="15"/>
        <v>0.2</v>
      </c>
      <c r="Q61" s="167">
        <f t="shared" si="0"/>
        <v>266.40099999999995</v>
      </c>
      <c r="R61" s="167">
        <f t="shared" si="10"/>
        <v>65.400000000000006</v>
      </c>
      <c r="S61" s="424">
        <f t="shared" si="11"/>
        <v>4.0734097859327205</v>
      </c>
      <c r="T61" s="516">
        <f>INDEX($A$4:$X$39,MATCH(Generation_Entsoe_SFS_2014[[#This Row],[Country]],$A$4:$A$39,0),MATCH(Generation_Entsoe_SFS_2014[[#Headers],[Consumption]],$A$2:$X$2,0))</f>
        <v>257.8</v>
      </c>
      <c r="U61" s="516">
        <f>INDEX($A$4:$X$39,MATCH(Generation_Entsoe_SFS_2014[[#This Row],[Country]],$A$4:$A$39,0),MATCH(Generation_Entsoe_SFS_2014[[#Headers],[Pumping]],$A$2:$X$2,0))</f>
        <v>5.3</v>
      </c>
      <c r="V61" s="516"/>
      <c r="W61" s="509"/>
      <c r="X61" s="544" t="str">
        <f t="shared" si="12"/>
        <v>ES</v>
      </c>
      <c r="Y61" s="544">
        <v>2015</v>
      </c>
      <c r="Z61" s="544" t="s">
        <v>648</v>
      </c>
      <c r="AA61" s="548">
        <f>IFERROR(Generation_Entsoe_SFS_2014[[#This Row],[Nuclear]]/Capacity_Entsoe_SFS_2014[[#This Row],[Nuclear]]*10^6,0)</f>
        <v>6966.6920925502154</v>
      </c>
      <c r="AB61" s="548">
        <f>IFERROR(Generation_Entsoe_SFS_2014[[#This Row],[Lignite]]/Capacity_Entsoe_SFS_2014[[#This Row],[Lignite]]*10^6,0)</f>
        <v>4083.484573502722</v>
      </c>
      <c r="AC61" s="548">
        <f>IFERROR(Generation_Entsoe_SFS_2014[[#This Row],[Hard coal]]/Capacity_Entsoe_SFS_2014[[#This Row],[Hard coal]]*10^6,0)</f>
        <v>3754.2988154375234</v>
      </c>
      <c r="AD61" s="548">
        <f>IFERROR(Generation_Entsoe_SFS_2014[[#This Row],[Fossil gases]]/Capacity_Entsoe_SFS_2014[[#This Row],[Fossil gases]]*10^6,0)</f>
        <v>1383.7306816820414</v>
      </c>
      <c r="AE61" s="548">
        <f>IFERROR(Generation_Entsoe_SFS_2014[[#This Row],[Other fossil fuels]]/Capacity_Entsoe_SFS_2014[[#This Row],[Other fossil fuels]]*10^6,0)</f>
        <v>2919.7080291970801</v>
      </c>
      <c r="AF61" s="548">
        <f>IFERROR(Generation_Entsoe_SFS_2014[[#This Row],[Wind onshore]]/Capacity_Entsoe_SFS_2014[[#This Row],[Wind onshore]]*10^6,0)</f>
        <v>2239.592481995433</v>
      </c>
      <c r="AG61" s="548">
        <f>IFERROR(Generation_Entsoe_SFS_2014[[#This Row],[Wind offshore]]/Capacity_Entsoe_SFS_2014[[#This Row],[Wind offshore]]*10^6,0)</f>
        <v>0</v>
      </c>
      <c r="AH61" s="548">
        <f>IFERROR(Generation_Entsoe_SFS_2014[[#This Row],[Solar PV]]/Capacity_Entsoe_SFS_2014[[#This Row],[Solar PV]]*10^6,0)</f>
        <v>1898.0005795421616</v>
      </c>
      <c r="AI61" s="548">
        <f>IFERROR(Generation_Entsoe_SFS_2014[[#This Row],[Bioenergy]]/Capacity_Entsoe_SFS_2014[[#This Row],[Bioenergy]]*10^6,0)</f>
        <v>7960.8938547486032</v>
      </c>
      <c r="AJ61" s="548">
        <f>IFERROR(Generation_Entsoe_SFS_2014[[#This Row],[Other RES]]/Capacity_Entsoe_SFS_2014[[#This Row],[Other RES]]*10^6,0)</f>
        <v>8.6206896551724146</v>
      </c>
      <c r="AK61" s="548">
        <f>IFERROR(Generation_Entsoe_SFS_2014[[#This Row],[Renewable Hydro]]/Capacity_Entsoe_SFS_2014[[#This Row],[Renewable Hydro]]*10^6,0)</f>
        <v>2272.0566538802004</v>
      </c>
      <c r="AL61" s="557">
        <f>IFERROR(Generation_Entsoe_SFS_2014[[#This Row],[Pumped Hydro]]/Capacity_Entsoe_SFS_2014[[#This Row],[Pumped Hydro]]*10^6,0)</f>
        <v>1591.1872705018359</v>
      </c>
      <c r="AM61" s="548">
        <f>IFERROR(Generation_Entsoe_SFS_2014[[#This Row],[Other sources]]/Capacity_Entsoe_SFS_2014[[#This Row],[Other sources]]*10^6,0)</f>
        <v>462.96296296296299</v>
      </c>
      <c r="AP61" s="1"/>
      <c r="AQ61" s="1"/>
    </row>
    <row r="62" spans="1:43" x14ac:dyDescent="0.25">
      <c r="A62" s="366" t="str">
        <f t="shared" si="1"/>
        <v>FI</v>
      </c>
      <c r="B62" s="366">
        <f t="shared" si="2"/>
        <v>2014</v>
      </c>
      <c r="C62" s="366" t="str">
        <f t="shared" si="2"/>
        <v>TWh</v>
      </c>
      <c r="D62" s="144">
        <f t="shared" si="3"/>
        <v>22.7</v>
      </c>
      <c r="E62" s="144">
        <f t="shared" ref="E62:G62" si="32">F15</f>
        <v>0</v>
      </c>
      <c r="F62" s="167">
        <f t="shared" si="32"/>
        <v>8.1999999999999993</v>
      </c>
      <c r="G62" s="167">
        <f t="shared" si="32"/>
        <v>5.2</v>
      </c>
      <c r="H62" s="422">
        <f t="shared" si="5"/>
        <v>3.2</v>
      </c>
      <c r="I62" s="167">
        <f t="shared" si="6"/>
        <v>1.1000000000000001</v>
      </c>
      <c r="J62" s="144">
        <v>0</v>
      </c>
      <c r="K62" s="422">
        <f t="shared" ref="K62:M62" si="33">N15</f>
        <v>0</v>
      </c>
      <c r="L62" s="422">
        <f t="shared" si="33"/>
        <v>11</v>
      </c>
      <c r="M62" s="422">
        <f t="shared" si="33"/>
        <v>0</v>
      </c>
      <c r="N62" s="167">
        <f t="shared" si="8"/>
        <v>13.2</v>
      </c>
      <c r="O62" s="167">
        <f t="shared" si="9"/>
        <v>0</v>
      </c>
      <c r="P62" s="422">
        <f t="shared" si="15"/>
        <v>0.8</v>
      </c>
      <c r="Q62" s="167">
        <f t="shared" si="0"/>
        <v>65.400000000000006</v>
      </c>
      <c r="R62" s="167">
        <f t="shared" si="10"/>
        <v>541.20000000000005</v>
      </c>
      <c r="S62" s="424">
        <f t="shared" si="11"/>
        <v>0.12084257206208426</v>
      </c>
      <c r="T62" s="516">
        <f>INDEX($A$4:$X$39,MATCH(Generation_Entsoe_SFS_2014[[#This Row],[Country]],$A$4:$A$39,0),MATCH(Generation_Entsoe_SFS_2014[[#Headers],[Consumption]],$A$2:$X$2,0))</f>
        <v>83.3</v>
      </c>
      <c r="U62" s="516">
        <f>INDEX($A$4:$X$39,MATCH(Generation_Entsoe_SFS_2014[[#This Row],[Country]],$A$4:$A$39,0),MATCH(Generation_Entsoe_SFS_2014[[#Headers],[Pumping]],$A$2:$X$2,0))</f>
        <v>0</v>
      </c>
      <c r="V62" s="516"/>
      <c r="W62" s="509"/>
      <c r="X62" s="544" t="str">
        <f t="shared" si="12"/>
        <v>FI</v>
      </c>
      <c r="Y62" s="544">
        <v>2015</v>
      </c>
      <c r="Z62" s="544" t="s">
        <v>648</v>
      </c>
      <c r="AA62" s="549">
        <f>IFERROR(Generation_Entsoe_SFS_2014[[#This Row],[Nuclear]]/Capacity_Entsoe_SFS_2014[[#This Row],[Nuclear]]*10^6,0)</f>
        <v>8248.5465116279065</v>
      </c>
      <c r="AB62" s="549">
        <f>IFERROR(Generation_Entsoe_SFS_2014[[#This Row],[Lignite]]/Capacity_Entsoe_SFS_2014[[#This Row],[Lignite]]*10^6,0)</f>
        <v>0</v>
      </c>
      <c r="AC62" s="549">
        <f>IFERROR(Generation_Entsoe_SFS_2014[[#This Row],[Hard coal]]/Capacity_Entsoe_SFS_2014[[#This Row],[Hard coal]]*10^6,0)</f>
        <v>2380.2612481857764</v>
      </c>
      <c r="AD62" s="549">
        <f>IFERROR(Generation_Entsoe_SFS_2014[[#This Row],[Fossil gases]]/Capacity_Entsoe_SFS_2014[[#This Row],[Fossil gases]]*10^6,0)</f>
        <v>2850.8771929824561</v>
      </c>
      <c r="AE62" s="549">
        <f>IFERROR(Generation_Entsoe_SFS_2014[[#This Row],[Other fossil fuels]]/Capacity_Entsoe_SFS_2014[[#This Row],[Other fossil fuels]]*10^6,0)</f>
        <v>931.85789167152018</v>
      </c>
      <c r="AF62" s="549">
        <f>IFERROR(Generation_Entsoe_SFS_2014[[#This Row],[Wind onshore]]/Capacity_Entsoe_SFS_2014[[#This Row],[Wind onshore]]*10^6,0)</f>
        <v>2182.5396825396824</v>
      </c>
      <c r="AG62" s="549">
        <f>IFERROR(Generation_Entsoe_SFS_2014[[#This Row],[Wind offshore]]/Capacity_Entsoe_SFS_2014[[#This Row],[Wind offshore]]*10^6,0)</f>
        <v>0</v>
      </c>
      <c r="AH62" s="549">
        <f>IFERROR(Generation_Entsoe_SFS_2014[[#This Row],[Solar PV]]/Capacity_Entsoe_SFS_2014[[#This Row],[Solar PV]]*10^6,0)</f>
        <v>0</v>
      </c>
      <c r="AI62" s="549">
        <f>IFERROR(Generation_Entsoe_SFS_2014[[#This Row],[Bioenergy]]/Capacity_Entsoe_SFS_2014[[#This Row],[Bioenergy]]*10^6,0)</f>
        <v>5275.779376498801</v>
      </c>
      <c r="AJ62" s="549">
        <f>IFERROR(Generation_Entsoe_SFS_2014[[#This Row],[Other RES]]/Capacity_Entsoe_SFS_2014[[#This Row],[Other RES]]*10^6,0)</f>
        <v>0</v>
      </c>
      <c r="AK62" s="549">
        <f>IFERROR(Generation_Entsoe_SFS_2014[[#This Row],[Renewable Hydro]]/Capacity_Entsoe_SFS_2014[[#This Row],[Renewable Hydro]]*10^6,0)</f>
        <v>4081.6326530612241</v>
      </c>
      <c r="AL62" s="557">
        <f>IFERROR(Generation_Entsoe_SFS_2014[[#This Row],[Pumped Hydro]]/Capacity_Entsoe_SFS_2014[[#This Row],[Pumped Hydro]]*10^6,0)</f>
        <v>0</v>
      </c>
      <c r="AM62" s="549">
        <f>IFERROR(Generation_Entsoe_SFS_2014[[#This Row],[Other sources]]/Capacity_Entsoe_SFS_2014[[#This Row],[Other sources]]*10^6,0)</f>
        <v>4571.4285714285716</v>
      </c>
      <c r="AP62" s="1"/>
      <c r="AQ62" s="1"/>
    </row>
    <row r="63" spans="1:43" x14ac:dyDescent="0.25">
      <c r="A63" s="366" t="str">
        <f t="shared" si="1"/>
        <v>FR</v>
      </c>
      <c r="B63" s="366">
        <f t="shared" si="2"/>
        <v>2014</v>
      </c>
      <c r="C63" s="366" t="str">
        <f t="shared" si="2"/>
        <v>TWh</v>
      </c>
      <c r="D63" s="144">
        <f t="shared" si="3"/>
        <v>415.9</v>
      </c>
      <c r="E63" s="144">
        <f t="shared" ref="E63:G63" si="34">F16</f>
        <v>0</v>
      </c>
      <c r="F63" s="167">
        <f t="shared" si="34"/>
        <v>8.3000000000000007</v>
      </c>
      <c r="G63" s="167">
        <f t="shared" si="34"/>
        <v>14.4</v>
      </c>
      <c r="H63" s="422">
        <f t="shared" si="5"/>
        <v>4.8</v>
      </c>
      <c r="I63" s="167">
        <f t="shared" si="6"/>
        <v>17</v>
      </c>
      <c r="J63" s="144">
        <v>0</v>
      </c>
      <c r="K63" s="422">
        <f t="shared" ref="K63:M63" si="35">N16</f>
        <v>6</v>
      </c>
      <c r="L63" s="422">
        <f t="shared" si="35"/>
        <v>6.6</v>
      </c>
      <c r="M63" s="422">
        <f t="shared" si="35"/>
        <v>0</v>
      </c>
      <c r="N63" s="167">
        <f t="shared" si="8"/>
        <v>62.9</v>
      </c>
      <c r="O63" s="167">
        <f t="shared" si="9"/>
        <v>5.5</v>
      </c>
      <c r="P63" s="422">
        <f t="shared" si="15"/>
        <v>0</v>
      </c>
      <c r="Q63" s="167">
        <f t="shared" si="0"/>
        <v>541.4</v>
      </c>
      <c r="R63" s="167">
        <f t="shared" si="10"/>
        <v>363.6</v>
      </c>
      <c r="S63" s="424">
        <f t="shared" si="11"/>
        <v>1.4889988998899888</v>
      </c>
      <c r="T63" s="516">
        <f>INDEX($A$4:$X$39,MATCH(Generation_Entsoe_SFS_2014[[#This Row],[Country]],$A$4:$A$39,0),MATCH(Generation_Entsoe_SFS_2014[[#Headers],[Consumption]],$A$2:$X$2,0))</f>
        <v>465.7</v>
      </c>
      <c r="U63" s="516">
        <f>INDEX($A$4:$X$39,MATCH(Generation_Entsoe_SFS_2014[[#This Row],[Country]],$A$4:$A$39,0),MATCH(Generation_Entsoe_SFS_2014[[#Headers],[Pumping]],$A$2:$X$2,0))</f>
        <v>7.9</v>
      </c>
      <c r="V63" s="516"/>
      <c r="W63" s="509"/>
      <c r="X63" s="544" t="str">
        <f t="shared" si="12"/>
        <v>FR</v>
      </c>
      <c r="Y63" s="544">
        <v>2015</v>
      </c>
      <c r="Z63" s="544" t="s">
        <v>648</v>
      </c>
      <c r="AA63" s="548">
        <f>IFERROR(Generation_Entsoe_SFS_2014[[#This Row],[Nuclear]]/Capacity_Entsoe_SFS_2014[[#This Row],[Nuclear]]*10^6,0)</f>
        <v>6587.9930302550292</v>
      </c>
      <c r="AB63" s="548">
        <f>IFERROR(Generation_Entsoe_SFS_2014[[#This Row],[Lignite]]/Capacity_Entsoe_SFS_2014[[#This Row],[Lignite]]*10^6,0)</f>
        <v>0</v>
      </c>
      <c r="AC63" s="548">
        <f>IFERROR(Generation_Entsoe_SFS_2014[[#This Row],[Hard coal]]/Capacity_Entsoe_SFS_2014[[#This Row],[Hard coal]]*10^6,0)</f>
        <v>1621.4104317249464</v>
      </c>
      <c r="AD63" s="548">
        <f>IFERROR(Generation_Entsoe_SFS_2014[[#This Row],[Fossil gases]]/Capacity_Entsoe_SFS_2014[[#This Row],[Fossil gases]]*10^6,0)</f>
        <v>1383.418195792103</v>
      </c>
      <c r="AE63" s="548">
        <f>IFERROR(Generation_Entsoe_SFS_2014[[#This Row],[Other fossil fuels]]/Capacity_Entsoe_SFS_2014[[#This Row],[Other fossil fuels]]*10^6,0)</f>
        <v>540.35798716649776</v>
      </c>
      <c r="AF63" s="548">
        <f>IFERROR(Generation_Entsoe_SFS_2014[[#This Row],[Wind onshore]]/Capacity_Entsoe_SFS_2014[[#This Row],[Wind onshore]]*10^6,0)</f>
        <v>1864.0350877192982</v>
      </c>
      <c r="AG63" s="548">
        <f>IFERROR(Generation_Entsoe_SFS_2014[[#This Row],[Wind offshore]]/Capacity_Entsoe_SFS_2014[[#This Row],[Wind offshore]]*10^6,0)</f>
        <v>0</v>
      </c>
      <c r="AH63" s="548">
        <f>IFERROR(Generation_Entsoe_SFS_2014[[#This Row],[Solar PV]]/Capacity_Entsoe_SFS_2014[[#This Row],[Solar PV]]*10^6,0)</f>
        <v>1133.7868480725624</v>
      </c>
      <c r="AI63" s="548">
        <f>IFERROR(Generation_Entsoe_SFS_2014[[#This Row],[Bioenergy]]/Capacity_Entsoe_SFS_2014[[#This Row],[Bioenergy]]*10^6,0)</f>
        <v>5263.1578947368416</v>
      </c>
      <c r="AJ63" s="548">
        <f>IFERROR(Generation_Entsoe_SFS_2014[[#This Row],[Other RES]]/Capacity_Entsoe_SFS_2014[[#This Row],[Other RES]]*10^6,0)</f>
        <v>0</v>
      </c>
      <c r="AK63" s="548">
        <f>IFERROR(Generation_Entsoe_SFS_2014[[#This Row],[Renewable Hydro]]/Capacity_Entsoe_SFS_2014[[#This Row],[Renewable Hydro]]*10^6,0)</f>
        <v>2653.5605804927436</v>
      </c>
      <c r="AL63" s="557">
        <f>IFERROR(Generation_Entsoe_SFS_2014[[#This Row],[Pumped Hydro]]/Capacity_Entsoe_SFS_2014[[#This Row],[Pumped Hydro]]*10^6,0)</f>
        <v>3222.0269478617461</v>
      </c>
      <c r="AM63" s="548">
        <f>IFERROR(Generation_Entsoe_SFS_2014[[#This Row],[Other sources]]/Capacity_Entsoe_SFS_2014[[#This Row],[Other sources]]*10^6,0)</f>
        <v>0</v>
      </c>
      <c r="AP63" s="1"/>
      <c r="AQ63" s="1"/>
    </row>
    <row r="64" spans="1:43" x14ac:dyDescent="0.25">
      <c r="A64" s="366" t="str">
        <f t="shared" si="1"/>
        <v>GB</v>
      </c>
      <c r="B64" s="366">
        <f t="shared" si="2"/>
        <v>2014</v>
      </c>
      <c r="C64" s="366" t="str">
        <f t="shared" si="2"/>
        <v>TWh</v>
      </c>
      <c r="D64" s="144">
        <f t="shared" si="3"/>
        <v>59.9</v>
      </c>
      <c r="E64" s="144">
        <f t="shared" ref="E64:G64" si="36">F17</f>
        <v>0</v>
      </c>
      <c r="F64" s="167">
        <f t="shared" si="36"/>
        <v>103.8</v>
      </c>
      <c r="G64" s="167">
        <f t="shared" si="36"/>
        <v>87.3</v>
      </c>
      <c r="H64" s="422">
        <f t="shared" si="5"/>
        <v>21.300000000000022</v>
      </c>
      <c r="I64" s="167">
        <f t="shared" si="6"/>
        <v>21.2</v>
      </c>
      <c r="J64" s="144">
        <v>0</v>
      </c>
      <c r="K64" s="422">
        <f t="shared" ref="K64:M64" si="37">N17</f>
        <v>0</v>
      </c>
      <c r="L64" s="422">
        <f t="shared" si="37"/>
        <v>0</v>
      </c>
      <c r="M64" s="422">
        <f t="shared" si="37"/>
        <v>14.099999999999998</v>
      </c>
      <c r="N64" s="167">
        <f t="shared" si="8"/>
        <v>3.8</v>
      </c>
      <c r="O64" s="167">
        <f t="shared" si="9"/>
        <v>2.9</v>
      </c>
      <c r="P64" s="422">
        <f t="shared" si="15"/>
        <v>48.200000000000045</v>
      </c>
      <c r="Q64" s="167">
        <f t="shared" si="0"/>
        <v>362.50000000000006</v>
      </c>
      <c r="R64" s="167">
        <f t="shared" si="10"/>
        <v>40.799999999999997</v>
      </c>
      <c r="S64" s="424">
        <f t="shared" si="11"/>
        <v>8.8848039215686292</v>
      </c>
      <c r="T64" s="516">
        <f>INDEX($A$4:$X$39,MATCH(Generation_Entsoe_SFS_2014[[#This Row],[Country]],$A$4:$A$39,0),MATCH(Generation_Entsoe_SFS_2014[[#Headers],[Consumption]],$A$2:$X$2,0))</f>
        <v>330.6</v>
      </c>
      <c r="U64" s="516">
        <f>INDEX($A$4:$X$39,MATCH(Generation_Entsoe_SFS_2014[[#This Row],[Country]],$A$4:$A$39,0),MATCH(Generation_Entsoe_SFS_2014[[#Headers],[Pumping]],$A$2:$X$2,0))</f>
        <v>3.9</v>
      </c>
      <c r="V64" s="516"/>
      <c r="W64" s="509"/>
      <c r="X64" s="544" t="str">
        <f t="shared" si="12"/>
        <v>GB</v>
      </c>
      <c r="Y64" s="544">
        <v>2015</v>
      </c>
      <c r="Z64" s="544" t="s">
        <v>648</v>
      </c>
      <c r="AA64" s="549">
        <f>IFERROR(Generation_Entsoe_SFS_2014[[#This Row],[Nuclear]]/Capacity_Entsoe_SFS_2014[[#This Row],[Nuclear]]*10^6,0)</f>
        <v>6144.2199199917941</v>
      </c>
      <c r="AB64" s="549">
        <f>IFERROR(Generation_Entsoe_SFS_2014[[#This Row],[Lignite]]/Capacity_Entsoe_SFS_2014[[#This Row],[Lignite]]*10^6,0)</f>
        <v>0</v>
      </c>
      <c r="AC64" s="549">
        <f>IFERROR(Generation_Entsoe_SFS_2014[[#This Row],[Hard coal]]/Capacity_Entsoe_SFS_2014[[#This Row],[Hard coal]]*10^6,0)</f>
        <v>5057.4936659520563</v>
      </c>
      <c r="AD64" s="549">
        <f>IFERROR(Generation_Entsoe_SFS_2014[[#This Row],[Fossil gases]]/Capacity_Entsoe_SFS_2014[[#This Row],[Fossil gases]]*10^6,0)</f>
        <v>2863.7034607183864</v>
      </c>
      <c r="AE64" s="555">
        <f>IFERROR(Generation_Entsoe_SFS_2014[[#This Row],[Other fossil fuels]]/Capacity_Entsoe_SFS_2014[[#This Row],[Other fossil fuels]]*10^6,0)</f>
        <v>9350.3072870939523</v>
      </c>
      <c r="AF64" s="549">
        <f>IFERROR(Generation_Entsoe_SFS_2014[[#This Row],[Wind onshore]]/Capacity_Entsoe_SFS_2014[[#This Row],[Wind onshore]]*10^6,0)</f>
        <v>3247.5490196078431</v>
      </c>
      <c r="AG64" s="549">
        <f>IFERROR(Generation_Entsoe_SFS_2014[[#This Row],[Wind offshore]]/Capacity_Entsoe_SFS_2014[[#This Row],[Wind offshore]]*10^6,0)</f>
        <v>0</v>
      </c>
      <c r="AH64" s="549">
        <f>IFERROR(Generation_Entsoe_SFS_2014[[#This Row],[Solar PV]]/Capacity_Entsoe_SFS_2014[[#This Row],[Solar PV]]*10^6,0)</f>
        <v>0</v>
      </c>
      <c r="AI64" s="549">
        <f>IFERROR(Generation_Entsoe_SFS_2014[[#This Row],[Bioenergy]]/Capacity_Entsoe_SFS_2014[[#This Row],[Bioenergy]]*10^6,0)</f>
        <v>0</v>
      </c>
      <c r="AJ64" s="549">
        <f>IFERROR(Generation_Entsoe_SFS_2014[[#This Row],[Other RES]]/Capacity_Entsoe_SFS_2014[[#This Row],[Other RES]]*10^6,0)</f>
        <v>0</v>
      </c>
      <c r="AK64" s="549">
        <f>IFERROR(Generation_Entsoe_SFS_2014[[#This Row],[Renewable Hydro]]/Capacity_Entsoe_SFS_2014[[#This Row],[Renewable Hydro]]*10^6,0)</f>
        <v>3551.4018691588781</v>
      </c>
      <c r="AL64" s="557">
        <f>IFERROR(Generation_Entsoe_SFS_2014[[#This Row],[Pumped Hydro]]/Capacity_Entsoe_SFS_2014[[#This Row],[Pumped Hydro]]*10^6,0)</f>
        <v>1000.3449465332873</v>
      </c>
      <c r="AM64" s="549">
        <f>IFERROR(Generation_Entsoe_SFS_2014[[#This Row],[Other sources]]/Capacity_Entsoe_SFS_2014[[#This Row],[Other sources]]*10^6,0)</f>
        <v>0</v>
      </c>
      <c r="AP64" s="1"/>
      <c r="AQ64" s="1"/>
    </row>
    <row r="65" spans="1:43" x14ac:dyDescent="0.25">
      <c r="A65" s="366" t="str">
        <f t="shared" si="1"/>
        <v>GR</v>
      </c>
      <c r="B65" s="366">
        <f t="shared" si="2"/>
        <v>2014</v>
      </c>
      <c r="C65" s="366" t="str">
        <f t="shared" si="2"/>
        <v>TWh</v>
      </c>
      <c r="D65" s="144">
        <f t="shared" si="3"/>
        <v>0</v>
      </c>
      <c r="E65" s="144">
        <f t="shared" ref="E65:G65" si="38">F18</f>
        <v>22.7</v>
      </c>
      <c r="F65" s="167">
        <f t="shared" si="38"/>
        <v>0</v>
      </c>
      <c r="G65" s="167">
        <f t="shared" si="38"/>
        <v>6.5</v>
      </c>
      <c r="H65" s="422">
        <f t="shared" si="5"/>
        <v>1E-3</v>
      </c>
      <c r="I65" s="167">
        <f t="shared" si="6"/>
        <v>3</v>
      </c>
      <c r="J65" s="144">
        <v>0</v>
      </c>
      <c r="K65" s="422">
        <f t="shared" ref="K65:M65" si="39">N18</f>
        <v>3.9</v>
      </c>
      <c r="L65" s="422">
        <f t="shared" si="39"/>
        <v>0.2</v>
      </c>
      <c r="M65" s="422">
        <f t="shared" si="39"/>
        <v>0</v>
      </c>
      <c r="N65" s="167">
        <f t="shared" si="8"/>
        <v>0.7</v>
      </c>
      <c r="O65" s="167">
        <f t="shared" si="9"/>
        <v>3.9</v>
      </c>
      <c r="P65" s="422">
        <f t="shared" si="15"/>
        <v>0</v>
      </c>
      <c r="Q65" s="167">
        <f t="shared" si="0"/>
        <v>40.901000000000003</v>
      </c>
      <c r="R65" s="167">
        <f t="shared" si="10"/>
        <v>12</v>
      </c>
      <c r="S65" s="424">
        <f t="shared" si="11"/>
        <v>3.4084166666666671</v>
      </c>
      <c r="T65" s="516">
        <f>INDEX($A$4:$X$39,MATCH(Generation_Entsoe_SFS_2014[[#This Row],[Country]],$A$4:$A$39,0),MATCH(Generation_Entsoe_SFS_2014[[#Headers],[Consumption]],$A$2:$X$2,0))</f>
        <v>49.3</v>
      </c>
      <c r="U65" s="516">
        <f>INDEX($A$4:$X$39,MATCH(Generation_Entsoe_SFS_2014[[#This Row],[Country]],$A$4:$A$39,0),MATCH(Generation_Entsoe_SFS_2014[[#Headers],[Pumping]],$A$2:$X$2,0))</f>
        <v>0.2</v>
      </c>
      <c r="V65" s="516"/>
      <c r="W65" s="509"/>
      <c r="X65" s="544" t="str">
        <f t="shared" si="12"/>
        <v>GR</v>
      </c>
      <c r="Y65" s="544">
        <v>2015</v>
      </c>
      <c r="Z65" s="544" t="s">
        <v>648</v>
      </c>
      <c r="AA65" s="548">
        <f>IFERROR(Generation_Entsoe_SFS_2014[[#This Row],[Nuclear]]/Capacity_Entsoe_SFS_2014[[#This Row],[Nuclear]]*10^6,0)</f>
        <v>0</v>
      </c>
      <c r="AB65" s="548">
        <f>IFERROR(Generation_Entsoe_SFS_2014[[#This Row],[Lignite]]/Capacity_Entsoe_SFS_2014[[#This Row],[Lignite]]*10^6,0)</f>
        <v>5094.254937163375</v>
      </c>
      <c r="AC65" s="548">
        <f>IFERROR(Generation_Entsoe_SFS_2014[[#This Row],[Hard coal]]/Capacity_Entsoe_SFS_2014[[#This Row],[Hard coal]]*10^6,0)</f>
        <v>0</v>
      </c>
      <c r="AD65" s="548">
        <f>IFERROR(Generation_Entsoe_SFS_2014[[#This Row],[Fossil gases]]/Capacity_Entsoe_SFS_2014[[#This Row],[Fossil gases]]*10^6,0)</f>
        <v>1325.9893920848633</v>
      </c>
      <c r="AE65" s="548">
        <f>IFERROR(Generation_Entsoe_SFS_2014[[#This Row],[Other fossil fuels]]/Capacity_Entsoe_SFS_2014[[#This Row],[Other fossil fuels]]*10^6,0)</f>
        <v>1.4326647564469914</v>
      </c>
      <c r="AF65" s="548">
        <f>IFERROR(Generation_Entsoe_SFS_2014[[#This Row],[Wind onshore]]/Capacity_Entsoe_SFS_2014[[#This Row],[Wind onshore]]*10^6,0)</f>
        <v>1805.0541516245487</v>
      </c>
      <c r="AG65" s="548">
        <f>IFERROR(Generation_Entsoe_SFS_2014[[#This Row],[Wind offshore]]/Capacity_Entsoe_SFS_2014[[#This Row],[Wind offshore]]*10^6,0)</f>
        <v>0</v>
      </c>
      <c r="AH65" s="548">
        <f>IFERROR(Generation_Entsoe_SFS_2014[[#This Row],[Solar PV]]/Capacity_Entsoe_SFS_2014[[#This Row],[Solar PV]]*10^6,0)</f>
        <v>1600.9852216748768</v>
      </c>
      <c r="AI65" s="548">
        <f>IFERROR(Generation_Entsoe_SFS_2014[[#This Row],[Bioenergy]]/Capacity_Entsoe_SFS_2014[[#This Row],[Bioenergy]]*10^6,0)</f>
        <v>4255.3191489361707</v>
      </c>
      <c r="AJ65" s="548">
        <f>IFERROR(Generation_Entsoe_SFS_2014[[#This Row],[Other RES]]/Capacity_Entsoe_SFS_2014[[#This Row],[Other RES]]*10^6,0)</f>
        <v>0</v>
      </c>
      <c r="AK65" s="548">
        <f>IFERROR(Generation_Entsoe_SFS_2014[[#This Row],[Renewable Hydro]]/Capacity_Entsoe_SFS_2014[[#This Row],[Renewable Hydro]]*10^6,0)</f>
        <v>3181.8181818181815</v>
      </c>
      <c r="AL65" s="557">
        <f>IFERROR(Generation_Entsoe_SFS_2014[[#This Row],[Pumped Hydro]]/Capacity_Entsoe_SFS_2014[[#This Row],[Pumped Hydro]]*10^6,0)</f>
        <v>1292.6748425588332</v>
      </c>
      <c r="AM65" s="548">
        <f>IFERROR(Generation_Entsoe_SFS_2014[[#This Row],[Other sources]]/Capacity_Entsoe_SFS_2014[[#This Row],[Other sources]]*10^6,0)</f>
        <v>0</v>
      </c>
      <c r="AP65" s="1"/>
      <c r="AQ65" s="1"/>
    </row>
    <row r="66" spans="1:43" x14ac:dyDescent="0.25">
      <c r="A66" s="366" t="str">
        <f t="shared" si="1"/>
        <v>HR</v>
      </c>
      <c r="B66" s="366">
        <f t="shared" si="2"/>
        <v>2014</v>
      </c>
      <c r="C66" s="366" t="str">
        <f t="shared" si="2"/>
        <v>TWh</v>
      </c>
      <c r="D66" s="144">
        <f t="shared" si="3"/>
        <v>0</v>
      </c>
      <c r="E66" s="144">
        <f t="shared" ref="E66:G66" si="40">F19</f>
        <v>0</v>
      </c>
      <c r="F66" s="167">
        <f t="shared" si="40"/>
        <v>2.1</v>
      </c>
      <c r="G66" s="167">
        <f t="shared" si="40"/>
        <v>0.4</v>
      </c>
      <c r="H66" s="422">
        <f t="shared" si="5"/>
        <v>0.3</v>
      </c>
      <c r="I66" s="167">
        <f t="shared" si="6"/>
        <v>0.7</v>
      </c>
      <c r="J66" s="144">
        <v>0</v>
      </c>
      <c r="K66" s="422">
        <f t="shared" ref="K66:M66" si="41">N19</f>
        <v>0</v>
      </c>
      <c r="L66" s="422">
        <f t="shared" si="41"/>
        <v>0</v>
      </c>
      <c r="M66" s="422">
        <f t="shared" si="41"/>
        <v>0</v>
      </c>
      <c r="N66" s="167">
        <f t="shared" si="8"/>
        <v>8.3000000000000007</v>
      </c>
      <c r="O66" s="167">
        <f t="shared" si="9"/>
        <v>0</v>
      </c>
      <c r="P66" s="422">
        <f t="shared" si="15"/>
        <v>0</v>
      </c>
      <c r="Q66" s="167">
        <f t="shared" si="0"/>
        <v>11.8</v>
      </c>
      <c r="R66" s="167">
        <f t="shared" si="10"/>
        <v>26.1</v>
      </c>
      <c r="S66" s="424">
        <f t="shared" si="11"/>
        <v>0.45210727969348657</v>
      </c>
      <c r="T66" s="516">
        <f>INDEX($A$4:$X$39,MATCH(Generation_Entsoe_SFS_2014[[#This Row],[Country]],$A$4:$A$39,0),MATCH(Generation_Entsoe_SFS_2014[[#Headers],[Consumption]],$A$2:$X$2,0))</f>
        <v>16.399999999999999</v>
      </c>
      <c r="U66" s="516">
        <f>INDEX($A$4:$X$39,MATCH(Generation_Entsoe_SFS_2014[[#This Row],[Country]],$A$4:$A$39,0),MATCH(Generation_Entsoe_SFS_2014[[#Headers],[Pumping]],$A$2:$X$2,0))</f>
        <v>0.2</v>
      </c>
      <c r="V66" s="516"/>
      <c r="W66" s="509"/>
      <c r="X66" s="544" t="str">
        <f t="shared" si="12"/>
        <v>HR</v>
      </c>
      <c r="Y66" s="544">
        <v>2015</v>
      </c>
      <c r="Z66" s="544" t="s">
        <v>648</v>
      </c>
      <c r="AA66" s="549">
        <f>IFERROR(Generation_Entsoe_SFS_2014[[#This Row],[Nuclear]]/Capacity_Entsoe_SFS_2014[[#This Row],[Nuclear]]*10^6,0)</f>
        <v>0</v>
      </c>
      <c r="AB66" s="549">
        <f>IFERROR(Generation_Entsoe_SFS_2014[[#This Row],[Lignite]]/Capacity_Entsoe_SFS_2014[[#This Row],[Lignite]]*10^6,0)</f>
        <v>0</v>
      </c>
      <c r="AC66" s="549">
        <f>IFERROR(Generation_Entsoe_SFS_2014[[#This Row],[Hard coal]]/Capacity_Entsoe_SFS_2014[[#This Row],[Hard coal]]*10^6,0)</f>
        <v>6461.5384615384619</v>
      </c>
      <c r="AD66" s="549">
        <f>IFERROR(Generation_Entsoe_SFS_2014[[#This Row],[Fossil gases]]/Capacity_Entsoe_SFS_2014[[#This Row],[Fossil gases]]*10^6,0)</f>
        <v>806.45161290322585</v>
      </c>
      <c r="AE66" s="549">
        <f>IFERROR(Generation_Entsoe_SFS_2014[[#This Row],[Other fossil fuels]]/Capacity_Entsoe_SFS_2014[[#This Row],[Other fossil fuels]]*10^6,0)</f>
        <v>316.12223393045309</v>
      </c>
      <c r="AF66" s="549">
        <f>IFERROR(Generation_Entsoe_SFS_2014[[#This Row],[Wind onshore]]/Capacity_Entsoe_SFS_2014[[#This Row],[Wind onshore]]*10^6,0)</f>
        <v>2058.8235294117644</v>
      </c>
      <c r="AG66" s="549">
        <f>IFERROR(Generation_Entsoe_SFS_2014[[#This Row],[Wind offshore]]/Capacity_Entsoe_SFS_2014[[#This Row],[Wind offshore]]*10^6,0)</f>
        <v>0</v>
      </c>
      <c r="AH66" s="549">
        <f>IFERROR(Generation_Entsoe_SFS_2014[[#This Row],[Solar PV]]/Capacity_Entsoe_SFS_2014[[#This Row],[Solar PV]]*10^6,0)</f>
        <v>0</v>
      </c>
      <c r="AI66" s="549">
        <f>IFERROR(Generation_Entsoe_SFS_2014[[#This Row],[Bioenergy]]/Capacity_Entsoe_SFS_2014[[#This Row],[Bioenergy]]*10^6,0)</f>
        <v>0</v>
      </c>
      <c r="AJ66" s="549">
        <f>IFERROR(Generation_Entsoe_SFS_2014[[#This Row],[Other RES]]/Capacity_Entsoe_SFS_2014[[#This Row],[Other RES]]*10^6,0)</f>
        <v>0</v>
      </c>
      <c r="AK66" s="549">
        <f>IFERROR(Generation_Entsoe_SFS_2014[[#This Row],[Renewable Hydro]]/Capacity_Entsoe_SFS_2014[[#This Row],[Renewable Hydro]]*10^6,0)</f>
        <v>3929.9242424242425</v>
      </c>
      <c r="AL66" s="557">
        <f>IFERROR(Generation_Entsoe_SFS_2014[[#This Row],[Pumped Hydro]]/Capacity_Entsoe_SFS_2014[[#This Row],[Pumped Hydro]]*10^6,0)</f>
        <v>0</v>
      </c>
      <c r="AM66" s="549">
        <f>IFERROR(Generation_Entsoe_SFS_2014[[#This Row],[Other sources]]/Capacity_Entsoe_SFS_2014[[#This Row],[Other sources]]*10^6,0)</f>
        <v>0</v>
      </c>
      <c r="AP66" s="1"/>
      <c r="AQ66" s="1"/>
    </row>
    <row r="67" spans="1:43" x14ac:dyDescent="0.25">
      <c r="A67" s="366" t="str">
        <f t="shared" si="1"/>
        <v>HU</v>
      </c>
      <c r="B67" s="366">
        <f t="shared" ref="B67:C72" si="42">B21</f>
        <v>2014</v>
      </c>
      <c r="C67" s="366" t="str">
        <f t="shared" si="42"/>
        <v>TWh</v>
      </c>
      <c r="D67" s="144">
        <f t="shared" si="3"/>
        <v>14.6</v>
      </c>
      <c r="E67" s="144">
        <f t="shared" ref="E67:G67" si="43">F20</f>
        <v>5.5</v>
      </c>
      <c r="F67" s="167">
        <f t="shared" si="43"/>
        <v>0.6</v>
      </c>
      <c r="G67" s="167">
        <f t="shared" si="43"/>
        <v>2.7</v>
      </c>
      <c r="H67" s="422">
        <f t="shared" si="5"/>
        <v>0.04</v>
      </c>
      <c r="I67" s="167">
        <f t="shared" si="6"/>
        <v>0.6</v>
      </c>
      <c r="J67" s="144">
        <v>0</v>
      </c>
      <c r="K67" s="422">
        <f t="shared" ref="K67:M67" si="44">N20</f>
        <v>0.01</v>
      </c>
      <c r="L67" s="422">
        <f t="shared" si="44"/>
        <v>1.7</v>
      </c>
      <c r="M67" s="422">
        <f t="shared" si="44"/>
        <v>0</v>
      </c>
      <c r="N67" s="167">
        <f t="shared" si="8"/>
        <v>0.3</v>
      </c>
      <c r="O67" s="167">
        <f t="shared" si="9"/>
        <v>0</v>
      </c>
      <c r="P67" s="422">
        <f t="shared" si="15"/>
        <v>0</v>
      </c>
      <c r="Q67" s="167">
        <f t="shared" si="0"/>
        <v>26.050000000000004</v>
      </c>
      <c r="R67" s="167">
        <f t="shared" si="10"/>
        <v>24.5</v>
      </c>
      <c r="S67" s="424">
        <f t="shared" si="11"/>
        <v>1.0632653061224491</v>
      </c>
      <c r="T67" s="516">
        <f>INDEX($A$4:$X$39,MATCH(Generation_Entsoe_SFS_2014[[#This Row],[Country]],$A$4:$A$39,0),MATCH(Generation_Entsoe_SFS_2014[[#Headers],[Consumption]],$A$2:$X$2,0))</f>
        <v>39.5</v>
      </c>
      <c r="U67" s="516">
        <f>INDEX($A$4:$X$39,MATCH(Generation_Entsoe_SFS_2014[[#This Row],[Country]],$A$4:$A$39,0),MATCH(Generation_Entsoe_SFS_2014[[#Headers],[Pumping]],$A$2:$X$2,0))</f>
        <v>0</v>
      </c>
      <c r="V67" s="516"/>
      <c r="W67" s="509"/>
      <c r="X67" s="544" t="str">
        <f t="shared" si="12"/>
        <v>HU</v>
      </c>
      <c r="Y67" s="544">
        <v>2015</v>
      </c>
      <c r="Z67" s="544" t="s">
        <v>648</v>
      </c>
      <c r="AA67" s="548">
        <f>IFERROR(Generation_Entsoe_SFS_2014[[#This Row],[Nuclear]]/Capacity_Entsoe_SFS_2014[[#This Row],[Nuclear]]*10^6,0)</f>
        <v>7724.867724867725</v>
      </c>
      <c r="AB67" s="548">
        <f>IFERROR(Generation_Entsoe_SFS_2014[[#This Row],[Lignite]]/Capacity_Entsoe_SFS_2014[[#This Row],[Lignite]]*10^6,0)</f>
        <v>7523.9398084815321</v>
      </c>
      <c r="AC67" s="548">
        <f>IFERROR(Generation_Entsoe_SFS_2014[[#This Row],[Hard coal]]/Capacity_Entsoe_SFS_2014[[#This Row],[Hard coal]]*10^6,0)</f>
        <v>3571.4285714285711</v>
      </c>
      <c r="AD67" s="548">
        <f>IFERROR(Generation_Entsoe_SFS_2014[[#This Row],[Fossil gases]]/Capacity_Entsoe_SFS_2014[[#This Row],[Fossil gases]]*10^6,0)</f>
        <v>564.14542415378196</v>
      </c>
      <c r="AE67" s="548">
        <f>IFERROR(Generation_Entsoe_SFS_2014[[#This Row],[Other fossil fuels]]/Capacity_Entsoe_SFS_2014[[#This Row],[Other fossil fuels]]*10^6,0)</f>
        <v>97.560975609756099</v>
      </c>
      <c r="AF67" s="548">
        <f>IFERROR(Generation_Entsoe_SFS_2014[[#This Row],[Wind onshore]]/Capacity_Entsoe_SFS_2014[[#This Row],[Wind onshore]]*10^6,0)</f>
        <v>1823.70820668693</v>
      </c>
      <c r="AG67" s="548">
        <f>IFERROR(Generation_Entsoe_SFS_2014[[#This Row],[Wind offshore]]/Capacity_Entsoe_SFS_2014[[#This Row],[Wind offshore]]*10^6,0)</f>
        <v>0</v>
      </c>
      <c r="AH67" s="548">
        <f>IFERROR(Generation_Entsoe_SFS_2014[[#This Row],[Solar PV]]/Capacity_Entsoe_SFS_2014[[#This Row],[Solar PV]]*10^6,0)</f>
        <v>1666.6666666666667</v>
      </c>
      <c r="AI67" s="554">
        <f>IFERROR(Generation_Entsoe_SFS_2014[[#This Row],[Bioenergy]]/Capacity_Entsoe_SFS_2014[[#This Row],[Bioenergy]]*10^6,0)</f>
        <v>8629.4416243654832</v>
      </c>
      <c r="AJ67" s="548">
        <f>IFERROR(Generation_Entsoe_SFS_2014[[#This Row],[Other RES]]/Capacity_Entsoe_SFS_2014[[#This Row],[Other RES]]*10^6,0)</f>
        <v>0</v>
      </c>
      <c r="AK67" s="548">
        <f>IFERROR(Generation_Entsoe_SFS_2014[[#This Row],[Renewable Hydro]]/Capacity_Entsoe_SFS_2014[[#This Row],[Renewable Hydro]]*10^6,0)</f>
        <v>5263.1578947368416</v>
      </c>
      <c r="AL67" s="557">
        <f>IFERROR(Generation_Entsoe_SFS_2014[[#This Row],[Pumped Hydro]]/Capacity_Entsoe_SFS_2014[[#This Row],[Pumped Hydro]]*10^6,0)</f>
        <v>0</v>
      </c>
      <c r="AM67" s="548">
        <f>IFERROR(Generation_Entsoe_SFS_2014[[#This Row],[Other sources]]/Capacity_Entsoe_SFS_2014[[#This Row],[Other sources]]*10^6,0)</f>
        <v>0</v>
      </c>
      <c r="AP67" s="1"/>
      <c r="AQ67" s="1"/>
    </row>
    <row r="68" spans="1:43" x14ac:dyDescent="0.25">
      <c r="A68" s="366" t="str">
        <f t="shared" si="1"/>
        <v>IE</v>
      </c>
      <c r="B68" s="366">
        <f t="shared" si="42"/>
        <v>2014</v>
      </c>
      <c r="C68" s="366" t="str">
        <f t="shared" si="42"/>
        <v>TWh</v>
      </c>
      <c r="D68" s="144">
        <f t="shared" si="3"/>
        <v>0</v>
      </c>
      <c r="E68" s="144">
        <f t="shared" ref="E68:G68" si="45">F21</f>
        <v>2.6</v>
      </c>
      <c r="F68" s="167">
        <f t="shared" si="45"/>
        <v>3.9</v>
      </c>
      <c r="G68" s="167">
        <f t="shared" si="45"/>
        <v>11.6</v>
      </c>
      <c r="H68" s="422">
        <f t="shared" si="5"/>
        <v>0.12000000000000001</v>
      </c>
      <c r="I68" s="167">
        <f t="shared" si="6"/>
        <v>5.0999999999999996</v>
      </c>
      <c r="J68" s="144">
        <v>0</v>
      </c>
      <c r="K68" s="422">
        <f t="shared" ref="K68:M68" si="46">N21</f>
        <v>0</v>
      </c>
      <c r="L68" s="422">
        <f t="shared" si="46"/>
        <v>0</v>
      </c>
      <c r="M68" s="422">
        <f t="shared" si="46"/>
        <v>0.2</v>
      </c>
      <c r="N68" s="167">
        <f t="shared" si="8"/>
        <v>0.7</v>
      </c>
      <c r="O68" s="167">
        <f t="shared" ref="O68:O86" si="47">S21</f>
        <v>0.3</v>
      </c>
      <c r="P68" s="422">
        <f t="shared" si="15"/>
        <v>0</v>
      </c>
      <c r="Q68" s="167">
        <f t="shared" si="0"/>
        <v>24.52</v>
      </c>
      <c r="R68" s="167">
        <f t="shared" si="10"/>
        <v>17.7</v>
      </c>
      <c r="S68" s="424">
        <f t="shared" si="11"/>
        <v>1.3853107344632769</v>
      </c>
      <c r="T68" s="516">
        <f>INDEX($A$4:$X$39,MATCH(Generation_Entsoe_SFS_2014[[#This Row],[Country]],$A$4:$A$39,0),MATCH(Generation_Entsoe_SFS_2014[[#Headers],[Consumption]],$A$2:$X$2,0))</f>
        <v>26.2</v>
      </c>
      <c r="U68" s="516">
        <f>INDEX($A$4:$X$39,MATCH(Generation_Entsoe_SFS_2014[[#This Row],[Country]],$A$4:$A$39,0),MATCH(Generation_Entsoe_SFS_2014[[#Headers],[Pumping]],$A$2:$X$2,0))</f>
        <v>0.5</v>
      </c>
      <c r="V68" s="516"/>
      <c r="W68" s="509"/>
      <c r="X68" s="544" t="str">
        <f t="shared" si="12"/>
        <v>IE</v>
      </c>
      <c r="Y68" s="544">
        <v>2015</v>
      </c>
      <c r="Z68" s="544" t="s">
        <v>648</v>
      </c>
      <c r="AA68" s="549">
        <f>IFERROR(Generation_Entsoe_SFS_2014[[#This Row],[Nuclear]]/Capacity_Entsoe_SFS_2014[[#This Row],[Nuclear]]*10^6,0)</f>
        <v>0</v>
      </c>
      <c r="AB68" s="549">
        <f>IFERROR(Generation_Entsoe_SFS_2014[[#This Row],[Lignite]]/Capacity_Entsoe_SFS_2014[[#This Row],[Lignite]]*10^6,0)</f>
        <v>7514.4508670520236</v>
      </c>
      <c r="AC68" s="549">
        <f>IFERROR(Generation_Entsoe_SFS_2014[[#This Row],[Hard coal]]/Capacity_Entsoe_SFS_2014[[#This Row],[Hard coal]]*10^6,0)</f>
        <v>4561.4035087719294</v>
      </c>
      <c r="AD68" s="549">
        <f>IFERROR(Generation_Entsoe_SFS_2014[[#This Row],[Fossil gases]]/Capacity_Entsoe_SFS_2014[[#This Row],[Fossil gases]]*10^6,0)</f>
        <v>3088.3919062832802</v>
      </c>
      <c r="AE68" s="549">
        <f>IFERROR(Generation_Entsoe_SFS_2014[[#This Row],[Other fossil fuels]]/Capacity_Entsoe_SFS_2014[[#This Row],[Other fossil fuels]]*10^6,0)</f>
        <v>93.45794392523365</v>
      </c>
      <c r="AF68" s="549">
        <f>IFERROR(Generation_Entsoe_SFS_2014[[#This Row],[Wind onshore]]/Capacity_Entsoe_SFS_2014[[#This Row],[Wind onshore]]*10^6,0)</f>
        <v>2355.6581986143187</v>
      </c>
      <c r="AG68" s="549">
        <f>IFERROR(Generation_Entsoe_SFS_2014[[#This Row],[Wind offshore]]/Capacity_Entsoe_SFS_2014[[#This Row],[Wind offshore]]*10^6,0)</f>
        <v>0</v>
      </c>
      <c r="AH68" s="549">
        <f>IFERROR(Generation_Entsoe_SFS_2014[[#This Row],[Solar PV]]/Capacity_Entsoe_SFS_2014[[#This Row],[Solar PV]]*10^6,0)</f>
        <v>0</v>
      </c>
      <c r="AI68" s="549">
        <f>IFERROR(Generation_Entsoe_SFS_2014[[#This Row],[Bioenergy]]/Capacity_Entsoe_SFS_2014[[#This Row],[Bioenergy]]*10^6,0)</f>
        <v>0</v>
      </c>
      <c r="AJ68" s="549">
        <f>IFERROR(Generation_Entsoe_SFS_2014[[#This Row],[Other RES]]/Capacity_Entsoe_SFS_2014[[#This Row],[Other RES]]*10^6,0)</f>
        <v>0</v>
      </c>
      <c r="AK68" s="549">
        <f>IFERROR(Generation_Entsoe_SFS_2014[[#This Row],[Renewable Hydro]]/Capacity_Entsoe_SFS_2014[[#This Row],[Renewable Hydro]]*10^6,0)</f>
        <v>2941.1764705882351</v>
      </c>
      <c r="AL68" s="557">
        <f>IFERROR(Generation_Entsoe_SFS_2014[[#This Row],[Pumped Hydro]]/Capacity_Entsoe_SFS_2014[[#This Row],[Pumped Hydro]]*10^6,0)</f>
        <v>1027.3972602739725</v>
      </c>
      <c r="AM68" s="549">
        <f>IFERROR(Generation_Entsoe_SFS_2014[[#This Row],[Other sources]]/Capacity_Entsoe_SFS_2014[[#This Row],[Other sources]]*10^6,0)</f>
        <v>0</v>
      </c>
      <c r="AP68" s="1"/>
      <c r="AQ68" s="1"/>
    </row>
    <row r="69" spans="1:43" x14ac:dyDescent="0.25">
      <c r="A69" s="366" t="str">
        <f t="shared" si="1"/>
        <v>IS</v>
      </c>
      <c r="B69" s="366">
        <f t="shared" si="42"/>
        <v>2014</v>
      </c>
      <c r="C69" s="366" t="str">
        <f t="shared" si="42"/>
        <v>TWh</v>
      </c>
      <c r="D69" s="144">
        <f t="shared" si="3"/>
        <v>0</v>
      </c>
      <c r="E69" s="144">
        <f t="shared" ref="E69:G69" si="48">F22</f>
        <v>0</v>
      </c>
      <c r="F69" s="167">
        <f t="shared" si="48"/>
        <v>0</v>
      </c>
      <c r="G69" s="167">
        <f t="shared" si="48"/>
        <v>0</v>
      </c>
      <c r="H69" s="422">
        <f t="shared" si="5"/>
        <v>0</v>
      </c>
      <c r="I69" s="167">
        <f t="shared" si="6"/>
        <v>0</v>
      </c>
      <c r="J69" s="144">
        <v>0</v>
      </c>
      <c r="K69" s="422">
        <f t="shared" ref="K69:M69" si="49">N22</f>
        <v>0</v>
      </c>
      <c r="L69" s="422">
        <f t="shared" si="49"/>
        <v>0</v>
      </c>
      <c r="M69" s="422">
        <f t="shared" si="49"/>
        <v>4.9000000000000004</v>
      </c>
      <c r="N69" s="167">
        <f t="shared" si="8"/>
        <v>12.8</v>
      </c>
      <c r="O69" s="167">
        <f t="shared" si="47"/>
        <v>0</v>
      </c>
      <c r="P69" s="422">
        <f t="shared" si="15"/>
        <v>0</v>
      </c>
      <c r="Q69" s="167">
        <f t="shared" si="0"/>
        <v>17.700000000000003</v>
      </c>
      <c r="R69" s="167">
        <f t="shared" si="10"/>
        <v>266.89999999999998</v>
      </c>
      <c r="S69" s="424">
        <f t="shared" si="11"/>
        <v>6.6316972648932201E-2</v>
      </c>
      <c r="T69" s="516">
        <f>INDEX($A$4:$X$39,MATCH(Generation_Entsoe_SFS_2014[[#This Row],[Country]],$A$4:$A$39,0),MATCH(Generation_Entsoe_SFS_2014[[#Headers],[Consumption]],$A$2:$X$2,0))</f>
        <v>17.7</v>
      </c>
      <c r="U69" s="516">
        <f>INDEX($A$4:$X$39,MATCH(Generation_Entsoe_SFS_2014[[#This Row],[Country]],$A$4:$A$39,0),MATCH(Generation_Entsoe_SFS_2014[[#Headers],[Pumping]],$A$2:$X$2,0))</f>
        <v>0</v>
      </c>
      <c r="V69" s="516"/>
      <c r="W69" s="509"/>
      <c r="X69" s="544" t="str">
        <f t="shared" si="12"/>
        <v>IS</v>
      </c>
      <c r="Y69" s="544">
        <v>2015</v>
      </c>
      <c r="Z69" s="544" t="s">
        <v>648</v>
      </c>
      <c r="AA69" s="548">
        <f>IFERROR(Generation_Entsoe_SFS_2014[[#This Row],[Nuclear]]/Capacity_Entsoe_SFS_2014[[#This Row],[Nuclear]]*10^6,0)</f>
        <v>0</v>
      </c>
      <c r="AB69" s="548">
        <f>IFERROR(Generation_Entsoe_SFS_2014[[#This Row],[Lignite]]/Capacity_Entsoe_SFS_2014[[#This Row],[Lignite]]*10^6,0)</f>
        <v>0</v>
      </c>
      <c r="AC69" s="548">
        <f>IFERROR(Generation_Entsoe_SFS_2014[[#This Row],[Hard coal]]/Capacity_Entsoe_SFS_2014[[#This Row],[Hard coal]]*10^6,0)</f>
        <v>0</v>
      </c>
      <c r="AD69" s="548">
        <f>IFERROR(Generation_Entsoe_SFS_2014[[#This Row],[Fossil gases]]/Capacity_Entsoe_SFS_2014[[#This Row],[Fossil gases]]*10^6,0)</f>
        <v>0</v>
      </c>
      <c r="AE69" s="548">
        <f>IFERROR(Generation_Entsoe_SFS_2014[[#This Row],[Other fossil fuels]]/Capacity_Entsoe_SFS_2014[[#This Row],[Other fossil fuels]]*10^6,0)</f>
        <v>0</v>
      </c>
      <c r="AF69" s="548">
        <f>IFERROR(Generation_Entsoe_SFS_2014[[#This Row],[Wind onshore]]/Capacity_Entsoe_SFS_2014[[#This Row],[Wind onshore]]*10^6,0)</f>
        <v>0</v>
      </c>
      <c r="AG69" s="548">
        <f>IFERROR(Generation_Entsoe_SFS_2014[[#This Row],[Wind offshore]]/Capacity_Entsoe_SFS_2014[[#This Row],[Wind offshore]]*10^6,0)</f>
        <v>0</v>
      </c>
      <c r="AH69" s="548">
        <f>IFERROR(Generation_Entsoe_SFS_2014[[#This Row],[Solar PV]]/Capacity_Entsoe_SFS_2014[[#This Row],[Solar PV]]*10^6,0)</f>
        <v>0</v>
      </c>
      <c r="AI69" s="548">
        <f>IFERROR(Generation_Entsoe_SFS_2014[[#This Row],[Bioenergy]]/Capacity_Entsoe_SFS_2014[[#This Row],[Bioenergy]]*10^6,0)</f>
        <v>0</v>
      </c>
      <c r="AJ69" s="548">
        <f>IFERROR(Generation_Entsoe_SFS_2014[[#This Row],[Other RES]]/Capacity_Entsoe_SFS_2014[[#This Row],[Other RES]]*10^6,0)</f>
        <v>7390.6485671191558</v>
      </c>
      <c r="AK69" s="548">
        <f>IFERROR(Generation_Entsoe_SFS_2014[[#This Row],[Renewable Hydro]]/Capacity_Entsoe_SFS_2014[[#This Row],[Renewable Hydro]]*10^6,0)</f>
        <v>6881.7204301075271</v>
      </c>
      <c r="AL69" s="557">
        <f>IFERROR(Generation_Entsoe_SFS_2014[[#This Row],[Pumped Hydro]]/Capacity_Entsoe_SFS_2014[[#This Row],[Pumped Hydro]]*10^6,0)</f>
        <v>0</v>
      </c>
      <c r="AM69" s="548">
        <f>IFERROR(Generation_Entsoe_SFS_2014[[#This Row],[Other sources]]/Capacity_Entsoe_SFS_2014[[#This Row],[Other sources]]*10^6,0)</f>
        <v>0</v>
      </c>
      <c r="AP69" s="1"/>
      <c r="AQ69" s="1"/>
    </row>
    <row r="70" spans="1:43" x14ac:dyDescent="0.25">
      <c r="A70" s="366" t="str">
        <f t="shared" si="1"/>
        <v>IT</v>
      </c>
      <c r="B70" s="366">
        <f t="shared" si="42"/>
        <v>2014</v>
      </c>
      <c r="C70" s="366" t="str">
        <f t="shared" si="42"/>
        <v>TWh</v>
      </c>
      <c r="D70" s="144">
        <f t="shared" si="3"/>
        <v>0</v>
      </c>
      <c r="E70" s="144">
        <f t="shared" ref="E70:G70" si="50">F23</f>
        <v>0</v>
      </c>
      <c r="F70" s="167">
        <f t="shared" si="50"/>
        <v>35.200000000000003</v>
      </c>
      <c r="G70" s="167">
        <f t="shared" si="50"/>
        <v>93.3</v>
      </c>
      <c r="H70" s="422">
        <f t="shared" si="5"/>
        <v>31.400000000000002</v>
      </c>
      <c r="I70" s="167">
        <f t="shared" si="6"/>
        <v>15.1</v>
      </c>
      <c r="J70" s="144">
        <v>0</v>
      </c>
      <c r="K70" s="422">
        <f t="shared" ref="K70:M70" si="51">N23</f>
        <v>23.3</v>
      </c>
      <c r="L70" s="422">
        <f t="shared" si="51"/>
        <v>5</v>
      </c>
      <c r="M70" s="422">
        <f t="shared" si="51"/>
        <v>5.6</v>
      </c>
      <c r="N70" s="167">
        <f t="shared" si="8"/>
        <v>55</v>
      </c>
      <c r="O70" s="167">
        <f t="shared" si="47"/>
        <v>3.1</v>
      </c>
      <c r="P70" s="422">
        <f t="shared" si="15"/>
        <v>0</v>
      </c>
      <c r="Q70" s="167">
        <f t="shared" si="0"/>
        <v>267</v>
      </c>
      <c r="R70" s="167">
        <f t="shared" si="10"/>
        <v>4.0999999999999996</v>
      </c>
      <c r="S70" s="424">
        <f t="shared" si="11"/>
        <v>65.121951219512198</v>
      </c>
      <c r="T70" s="516">
        <f>INDEX($A$4:$X$39,MATCH(Generation_Entsoe_SFS_2014[[#This Row],[Country]],$A$4:$A$39,0),MATCH(Generation_Entsoe_SFS_2014[[#Headers],[Consumption]],$A$2:$X$2,0))</f>
        <v>308.39999999999998</v>
      </c>
      <c r="U70" s="516">
        <f>INDEX($A$4:$X$39,MATCH(Generation_Entsoe_SFS_2014[[#This Row],[Country]],$A$4:$A$39,0),MATCH(Generation_Entsoe_SFS_2014[[#Headers],[Pumping]],$A$2:$X$2,0))</f>
        <v>2.2999999999999998</v>
      </c>
      <c r="V70" s="516"/>
      <c r="W70" s="509"/>
      <c r="X70" s="544" t="str">
        <f t="shared" si="12"/>
        <v>IT</v>
      </c>
      <c r="Y70" s="544">
        <v>2015</v>
      </c>
      <c r="Z70" s="544" t="s">
        <v>648</v>
      </c>
      <c r="AA70" s="549">
        <f>IFERROR(Generation_Entsoe_SFS_2014[[#This Row],[Nuclear]]/Capacity_Entsoe_SFS_2014[[#This Row],[Nuclear]]*10^6,0)</f>
        <v>0</v>
      </c>
      <c r="AB70" s="549">
        <f>IFERROR(Generation_Entsoe_SFS_2014[[#This Row],[Lignite]]/Capacity_Entsoe_SFS_2014[[#This Row],[Lignite]]*10^6,0)</f>
        <v>0</v>
      </c>
      <c r="AC70" s="549">
        <f>IFERROR(Generation_Entsoe_SFS_2014[[#This Row],[Hard coal]]/Capacity_Entsoe_SFS_2014[[#This Row],[Hard coal]]*10^6,0)</f>
        <v>5506.0222117941503</v>
      </c>
      <c r="AD70" s="549">
        <f>IFERROR(Generation_Entsoe_SFS_2014[[#This Row],[Fossil gases]]/Capacity_Entsoe_SFS_2014[[#This Row],[Fossil gases]]*10^6,0)</f>
        <v>2609.7902097902097</v>
      </c>
      <c r="AE70" s="549">
        <f>IFERROR(Generation_Entsoe_SFS_2014[[#This Row],[Other fossil fuels]]/Capacity_Entsoe_SFS_2014[[#This Row],[Other fossil fuels]]*10^6,0)</f>
        <v>1078.6300711071417</v>
      </c>
      <c r="AF70" s="549">
        <f>IFERROR(Generation_Entsoe_SFS_2014[[#This Row],[Wind onshore]]/Capacity_Entsoe_SFS_2014[[#This Row],[Wind onshore]]*10^6,0)</f>
        <v>1767.7358932334348</v>
      </c>
      <c r="AG70" s="549">
        <f>IFERROR(Generation_Entsoe_SFS_2014[[#This Row],[Wind offshore]]/Capacity_Entsoe_SFS_2014[[#This Row],[Wind offshore]]*10^6,0)</f>
        <v>0</v>
      </c>
      <c r="AH70" s="549">
        <f>IFERROR(Generation_Entsoe_SFS_2014[[#This Row],[Solar PV]]/Capacity_Entsoe_SFS_2014[[#This Row],[Solar PV]]*10^6,0)</f>
        <v>1251.3426423200858</v>
      </c>
      <c r="AI70" s="549">
        <f>IFERROR(Generation_Entsoe_SFS_2014[[#This Row],[Bioenergy]]/Capacity_Entsoe_SFS_2014[[#This Row],[Bioenergy]]*10^6,0)</f>
        <v>1174.812030075188</v>
      </c>
      <c r="AJ70" s="555">
        <f>IFERROR(Generation_Entsoe_SFS_2014[[#This Row],[Other RES]]/Capacity_Entsoe_SFS_2014[[#This Row],[Other RES]]*10^6,0)</f>
        <v>20740.740740740741</v>
      </c>
      <c r="AK70" s="549">
        <f>IFERROR(Generation_Entsoe_SFS_2014[[#This Row],[Renewable Hydro]]/Capacity_Entsoe_SFS_2014[[#This Row],[Renewable Hydro]]*10^6,0)</f>
        <v>0</v>
      </c>
      <c r="AL70" s="557">
        <f>IFERROR(Generation_Entsoe_SFS_2014[[#This Row],[Pumped Hydro]]/Capacity_Entsoe_SFS_2014[[#This Row],[Pumped Hydro]]*10^6,0)</f>
        <v>140.85146985324187</v>
      </c>
      <c r="AM70" s="549">
        <f>IFERROR(Generation_Entsoe_SFS_2014[[#This Row],[Other sources]]/Capacity_Entsoe_SFS_2014[[#This Row],[Other sources]]*10^6,0)</f>
        <v>0</v>
      </c>
      <c r="AP70" s="1"/>
      <c r="AQ70" s="1"/>
    </row>
    <row r="71" spans="1:43" x14ac:dyDescent="0.25">
      <c r="A71" s="366" t="str">
        <f t="shared" si="1"/>
        <v>LT</v>
      </c>
      <c r="B71" s="366">
        <f t="shared" si="42"/>
        <v>2014</v>
      </c>
      <c r="C71" s="366" t="str">
        <f t="shared" si="42"/>
        <v>TWh</v>
      </c>
      <c r="D71" s="144">
        <f t="shared" si="3"/>
        <v>0</v>
      </c>
      <c r="E71" s="144">
        <f t="shared" ref="E71:G71" si="52">F24</f>
        <v>0</v>
      </c>
      <c r="F71" s="167">
        <f t="shared" si="52"/>
        <v>0</v>
      </c>
      <c r="G71" s="167">
        <f t="shared" si="52"/>
        <v>1.1000000000000001</v>
      </c>
      <c r="H71" s="422">
        <f t="shared" si="5"/>
        <v>0.89999999999999991</v>
      </c>
      <c r="I71" s="167">
        <f t="shared" si="6"/>
        <v>0.6</v>
      </c>
      <c r="J71" s="144">
        <v>0</v>
      </c>
      <c r="K71" s="422">
        <f t="shared" ref="K71:M71" si="53">N24</f>
        <v>0.1</v>
      </c>
      <c r="L71" s="422">
        <f t="shared" si="53"/>
        <v>0.3</v>
      </c>
      <c r="M71" s="422">
        <f t="shared" si="53"/>
        <v>0</v>
      </c>
      <c r="N71" s="167">
        <f t="shared" si="8"/>
        <v>0.4</v>
      </c>
      <c r="O71" s="167">
        <f t="shared" si="47"/>
        <v>0.7</v>
      </c>
      <c r="P71" s="422">
        <f t="shared" si="15"/>
        <v>0</v>
      </c>
      <c r="Q71" s="167">
        <f t="shared" si="0"/>
        <v>4.0999999999999996</v>
      </c>
      <c r="R71" s="167">
        <f t="shared" si="10"/>
        <v>2.8</v>
      </c>
      <c r="S71" s="424">
        <f t="shared" si="11"/>
        <v>1.4642857142857142</v>
      </c>
      <c r="T71" s="516">
        <f>INDEX($A$4:$X$39,MATCH(Generation_Entsoe_SFS_2014[[#This Row],[Country]],$A$4:$A$39,0),MATCH(Generation_Entsoe_SFS_2014[[#Headers],[Consumption]],$A$2:$X$2,0))</f>
        <v>10.7</v>
      </c>
      <c r="U71" s="516">
        <f>INDEX($A$4:$X$39,MATCH(Generation_Entsoe_SFS_2014[[#This Row],[Country]],$A$4:$A$39,0),MATCH(Generation_Entsoe_SFS_2014[[#Headers],[Pumping]],$A$2:$X$2,0))</f>
        <v>1</v>
      </c>
      <c r="V71" s="516"/>
      <c r="W71" s="509"/>
      <c r="X71" s="544" t="str">
        <f t="shared" si="12"/>
        <v>LT</v>
      </c>
      <c r="Y71" s="544">
        <v>2015</v>
      </c>
      <c r="Z71" s="544" t="s">
        <v>648</v>
      </c>
      <c r="AA71" s="548">
        <f>IFERROR(Generation_Entsoe_SFS_2014[[#This Row],[Nuclear]]/Capacity_Entsoe_SFS_2014[[#This Row],[Nuclear]]*10^6,0)</f>
        <v>0</v>
      </c>
      <c r="AB71" s="548">
        <f>IFERROR(Generation_Entsoe_SFS_2014[[#This Row],[Lignite]]/Capacity_Entsoe_SFS_2014[[#This Row],[Lignite]]*10^6,0)</f>
        <v>0</v>
      </c>
      <c r="AC71" s="548">
        <f>IFERROR(Generation_Entsoe_SFS_2014[[#This Row],[Hard coal]]/Capacity_Entsoe_SFS_2014[[#This Row],[Hard coal]]*10^6,0)</f>
        <v>0</v>
      </c>
      <c r="AD71" s="548">
        <f>IFERROR(Generation_Entsoe_SFS_2014[[#This Row],[Fossil gases]]/Capacity_Entsoe_SFS_2014[[#This Row],[Fossil gases]]*10^6,0)</f>
        <v>1899.8272884283249</v>
      </c>
      <c r="AE71" s="548">
        <f>IFERROR(Generation_Entsoe_SFS_2014[[#This Row],[Other fossil fuels]]/Capacity_Entsoe_SFS_2014[[#This Row],[Other fossil fuels]]*10^6,0)</f>
        <v>440.9603135717785</v>
      </c>
      <c r="AF71" s="548">
        <f>IFERROR(Generation_Entsoe_SFS_2014[[#This Row],[Wind onshore]]/Capacity_Entsoe_SFS_2014[[#This Row],[Wind onshore]]*10^6,0)</f>
        <v>2083.3333333333335</v>
      </c>
      <c r="AG71" s="548">
        <f>IFERROR(Generation_Entsoe_SFS_2014[[#This Row],[Wind offshore]]/Capacity_Entsoe_SFS_2014[[#This Row],[Wind offshore]]*10^6,0)</f>
        <v>0</v>
      </c>
      <c r="AH71" s="548">
        <f>IFERROR(Generation_Entsoe_SFS_2014[[#This Row],[Solar PV]]/Capacity_Entsoe_SFS_2014[[#This Row],[Solar PV]]*10^6,0)</f>
        <v>1449.2753623188405</v>
      </c>
      <c r="AI71" s="548">
        <f>IFERROR(Generation_Entsoe_SFS_2014[[#This Row],[Bioenergy]]/Capacity_Entsoe_SFS_2014[[#This Row],[Bioenergy]]*10^6,0)</f>
        <v>3846.1538461538457</v>
      </c>
      <c r="AJ71" s="548">
        <f>IFERROR(Generation_Entsoe_SFS_2014[[#This Row],[Other RES]]/Capacity_Entsoe_SFS_2014[[#This Row],[Other RES]]*10^6,0)</f>
        <v>0</v>
      </c>
      <c r="AK71" s="548">
        <f>IFERROR(Generation_Entsoe_SFS_2014[[#This Row],[Renewable Hydro]]/Capacity_Entsoe_SFS_2014[[#This Row],[Renewable Hydro]]*10^6,0)</f>
        <v>3174.6031746031745</v>
      </c>
      <c r="AL71" s="557">
        <f>IFERROR(Generation_Entsoe_SFS_2014[[#This Row],[Pumped Hydro]]/Capacity_Entsoe_SFS_2014[[#This Row],[Pumped Hydro]]*10^6,0)</f>
        <v>777.77777777777771</v>
      </c>
      <c r="AM71" s="548">
        <f>IFERROR(Generation_Entsoe_SFS_2014[[#This Row],[Other sources]]/Capacity_Entsoe_SFS_2014[[#This Row],[Other sources]]*10^6,0)</f>
        <v>0</v>
      </c>
      <c r="AP71" s="1"/>
      <c r="AQ71" s="1"/>
    </row>
    <row r="72" spans="1:43" x14ac:dyDescent="0.25">
      <c r="A72" s="366" t="str">
        <f t="shared" si="1"/>
        <v>LU</v>
      </c>
      <c r="B72" s="366">
        <f t="shared" si="42"/>
        <v>2014</v>
      </c>
      <c r="C72" s="366" t="str">
        <f t="shared" si="42"/>
        <v>TWh</v>
      </c>
      <c r="D72" s="144">
        <f t="shared" si="3"/>
        <v>0</v>
      </c>
      <c r="E72" s="144">
        <f t="shared" ref="E72:G72" si="54">F25</f>
        <v>0</v>
      </c>
      <c r="F72" s="167">
        <f t="shared" si="54"/>
        <v>0</v>
      </c>
      <c r="G72" s="167">
        <f t="shared" si="54"/>
        <v>1.4</v>
      </c>
      <c r="H72" s="422">
        <f t="shared" si="5"/>
        <v>0</v>
      </c>
      <c r="I72" s="167">
        <f t="shared" si="6"/>
        <v>0.1</v>
      </c>
      <c r="J72" s="144">
        <v>0</v>
      </c>
      <c r="K72" s="422">
        <f t="shared" ref="K72:M72" si="55">N25</f>
        <v>0.1</v>
      </c>
      <c r="L72" s="422">
        <f t="shared" si="55"/>
        <v>0.1</v>
      </c>
      <c r="M72" s="422">
        <f t="shared" si="55"/>
        <v>0</v>
      </c>
      <c r="N72" s="167">
        <f t="shared" si="8"/>
        <v>0.1</v>
      </c>
      <c r="O72" s="167">
        <f t="shared" si="47"/>
        <v>1.1000000000000001</v>
      </c>
      <c r="P72" s="422">
        <f t="shared" si="15"/>
        <v>0.1</v>
      </c>
      <c r="Q72" s="167">
        <f t="shared" si="0"/>
        <v>3.0000000000000004</v>
      </c>
      <c r="R72" s="167">
        <f t="shared" si="10"/>
        <v>5.0999999999999996</v>
      </c>
      <c r="S72" s="424">
        <f t="shared" si="11"/>
        <v>0.58823529411764719</v>
      </c>
      <c r="T72" s="516">
        <f>INDEX($A$4:$X$39,MATCH(Generation_Entsoe_SFS_2014[[#This Row],[Country]],$A$4:$A$39,0),MATCH(Generation_Entsoe_SFS_2014[[#Headers],[Consumption]],$A$2:$X$2,0))</f>
        <v>6.3</v>
      </c>
      <c r="U72" s="516">
        <f>INDEX($A$4:$X$39,MATCH(Generation_Entsoe_SFS_2014[[#This Row],[Country]],$A$4:$A$39,0),MATCH(Generation_Entsoe_SFS_2014[[#Headers],[Pumping]],$A$2:$X$2,0))</f>
        <v>1.5</v>
      </c>
      <c r="V72" s="516"/>
      <c r="W72" s="509"/>
      <c r="X72" s="544" t="str">
        <f t="shared" si="12"/>
        <v>LU</v>
      </c>
      <c r="Y72" s="544">
        <v>2015</v>
      </c>
      <c r="Z72" s="544" t="s">
        <v>648</v>
      </c>
      <c r="AA72" s="549">
        <f>IFERROR(Generation_Entsoe_SFS_2014[[#This Row],[Nuclear]]/Capacity_Entsoe_SFS_2014[[#This Row],[Nuclear]]*10^6,0)</f>
        <v>0</v>
      </c>
      <c r="AB72" s="549">
        <f>IFERROR(Generation_Entsoe_SFS_2014[[#This Row],[Lignite]]/Capacity_Entsoe_SFS_2014[[#This Row],[Lignite]]*10^6,0)</f>
        <v>0</v>
      </c>
      <c r="AC72" s="549">
        <f>IFERROR(Generation_Entsoe_SFS_2014[[#This Row],[Hard coal]]/Capacity_Entsoe_SFS_2014[[#This Row],[Hard coal]]*10^6,0)</f>
        <v>0</v>
      </c>
      <c r="AD72" s="549">
        <f>IFERROR(Generation_Entsoe_SFS_2014[[#This Row],[Fossil gases]]/Capacity_Entsoe_SFS_2014[[#This Row],[Fossil gases]]*10^6,0)</f>
        <v>2828.2828282828282</v>
      </c>
      <c r="AE72" s="549">
        <f>IFERROR(Generation_Entsoe_SFS_2014[[#This Row],[Other fossil fuels]]/Capacity_Entsoe_SFS_2014[[#This Row],[Other fossil fuels]]*10^6,0)</f>
        <v>0</v>
      </c>
      <c r="AF72" s="549">
        <f>IFERROR(Generation_Entsoe_SFS_2014[[#This Row],[Wind onshore]]/Capacity_Entsoe_SFS_2014[[#This Row],[Wind onshore]]*10^6,0)</f>
        <v>1754.3859649122808</v>
      </c>
      <c r="AG72" s="549">
        <f>IFERROR(Generation_Entsoe_SFS_2014[[#This Row],[Wind offshore]]/Capacity_Entsoe_SFS_2014[[#This Row],[Wind offshore]]*10^6,0)</f>
        <v>0</v>
      </c>
      <c r="AH72" s="549">
        <f>IFERROR(Generation_Entsoe_SFS_2014[[#This Row],[Solar PV]]/Capacity_Entsoe_SFS_2014[[#This Row],[Solar PV]]*10^6,0)</f>
        <v>917.43119266055055</v>
      </c>
      <c r="AI72" s="549">
        <f>IFERROR(Generation_Entsoe_SFS_2014[[#This Row],[Bioenergy]]/Capacity_Entsoe_SFS_2014[[#This Row],[Bioenergy]]*10^6,0)</f>
        <v>9090.9090909090919</v>
      </c>
      <c r="AJ72" s="549">
        <f>IFERROR(Generation_Entsoe_SFS_2014[[#This Row],[Other RES]]/Capacity_Entsoe_SFS_2014[[#This Row],[Other RES]]*10^6,0)</f>
        <v>0</v>
      </c>
      <c r="AK72" s="549">
        <f>IFERROR(Generation_Entsoe_SFS_2014[[#This Row],[Renewable Hydro]]/Capacity_Entsoe_SFS_2014[[#This Row],[Renewable Hydro]]*10^6,0)</f>
        <v>2631.5789473684208</v>
      </c>
      <c r="AL72" s="557">
        <f>IFERROR(Generation_Entsoe_SFS_2014[[#This Row],[Pumped Hydro]]/Capacity_Entsoe_SFS_2014[[#This Row],[Pumped Hydro]]*10^6,0)</f>
        <v>848.76543209876559</v>
      </c>
      <c r="AM72" s="549">
        <f>IFERROR(Generation_Entsoe_SFS_2014[[#This Row],[Other sources]]/Capacity_Entsoe_SFS_2014[[#This Row],[Other sources]]*10^6,0)</f>
        <v>4761.9047619047624</v>
      </c>
      <c r="AP72" s="1"/>
      <c r="AQ72" s="1"/>
    </row>
    <row r="73" spans="1:43" x14ac:dyDescent="0.25">
      <c r="A73" s="366" t="str">
        <f t="shared" si="1"/>
        <v>LV</v>
      </c>
      <c r="B73" s="366">
        <f t="shared" ref="B73:C78" si="56">B29</f>
        <v>2014</v>
      </c>
      <c r="C73" s="366" t="str">
        <f t="shared" si="56"/>
        <v>TWh</v>
      </c>
      <c r="D73" s="144">
        <f t="shared" si="3"/>
        <v>0</v>
      </c>
      <c r="E73" s="144">
        <f t="shared" ref="E73:G73" si="57">F26</f>
        <v>0</v>
      </c>
      <c r="F73" s="167">
        <f t="shared" si="57"/>
        <v>0</v>
      </c>
      <c r="G73" s="167">
        <f t="shared" si="57"/>
        <v>1.7</v>
      </c>
      <c r="H73" s="422">
        <f t="shared" si="5"/>
        <v>0.6</v>
      </c>
      <c r="I73" s="167">
        <f t="shared" si="6"/>
        <v>0.1</v>
      </c>
      <c r="J73" s="144">
        <v>0</v>
      </c>
      <c r="K73" s="422">
        <f t="shared" ref="K73:M73" si="58">N26</f>
        <v>0</v>
      </c>
      <c r="L73" s="422">
        <f t="shared" si="58"/>
        <v>0.3</v>
      </c>
      <c r="M73" s="422">
        <f t="shared" si="58"/>
        <v>0.3</v>
      </c>
      <c r="N73" s="167">
        <f t="shared" si="8"/>
        <v>2.1</v>
      </c>
      <c r="O73" s="167">
        <f t="shared" si="47"/>
        <v>0</v>
      </c>
      <c r="P73" s="422">
        <f t="shared" si="15"/>
        <v>0</v>
      </c>
      <c r="Q73" s="167">
        <f t="shared" si="0"/>
        <v>5.0999999999999996</v>
      </c>
      <c r="R73" s="167">
        <f t="shared" ref="R73:R78" si="59">U29</f>
        <v>8</v>
      </c>
      <c r="S73" s="424">
        <f t="shared" si="11"/>
        <v>0.63749999999999996</v>
      </c>
      <c r="T73" s="516">
        <f>INDEX($A$4:$X$39,MATCH(Generation_Entsoe_SFS_2014[[#This Row],[Country]],$A$4:$A$39,0),MATCH(Generation_Entsoe_SFS_2014[[#Headers],[Consumption]],$A$2:$X$2,0))</f>
        <v>7.4</v>
      </c>
      <c r="U73" s="516">
        <f>INDEX($A$4:$X$39,MATCH(Generation_Entsoe_SFS_2014[[#This Row],[Country]],$A$4:$A$39,0),MATCH(Generation_Entsoe_SFS_2014[[#Headers],[Pumping]],$A$2:$X$2,0))</f>
        <v>0</v>
      </c>
      <c r="V73" s="516"/>
      <c r="W73" s="509"/>
      <c r="X73" s="544" t="str">
        <f t="shared" si="12"/>
        <v>LV</v>
      </c>
      <c r="Y73" s="544">
        <v>2015</v>
      </c>
      <c r="Z73" s="544" t="s">
        <v>648</v>
      </c>
      <c r="AA73" s="548">
        <f>IFERROR(Generation_Entsoe_SFS_2014[[#This Row],[Nuclear]]/Capacity_Entsoe_SFS_2014[[#This Row],[Nuclear]]*10^6,0)</f>
        <v>0</v>
      </c>
      <c r="AB73" s="548">
        <f>IFERROR(Generation_Entsoe_SFS_2014[[#This Row],[Lignite]]/Capacity_Entsoe_SFS_2014[[#This Row],[Lignite]]*10^6,0)</f>
        <v>0</v>
      </c>
      <c r="AC73" s="548">
        <f>IFERROR(Generation_Entsoe_SFS_2014[[#This Row],[Hard coal]]/Capacity_Entsoe_SFS_2014[[#This Row],[Hard coal]]*10^6,0)</f>
        <v>0</v>
      </c>
      <c r="AD73" s="548">
        <f>IFERROR(Generation_Entsoe_SFS_2014[[#This Row],[Fossil gases]]/Capacity_Entsoe_SFS_2014[[#This Row],[Fossil gases]]*10^6,0)</f>
        <v>2073.1707317073174</v>
      </c>
      <c r="AE73" s="548">
        <f>IFERROR(Generation_Entsoe_SFS_2014[[#This Row],[Other fossil fuels]]/Capacity_Entsoe_SFS_2014[[#This Row],[Other fossil fuels]]*10^6,0)</f>
        <v>7058.823529411764</v>
      </c>
      <c r="AF73" s="548">
        <f>IFERROR(Generation_Entsoe_SFS_2014[[#This Row],[Wind onshore]]/Capacity_Entsoe_SFS_2014[[#This Row],[Wind onshore]]*10^6,0)</f>
        <v>1724.137931034483</v>
      </c>
      <c r="AG73" s="548">
        <f>IFERROR(Generation_Entsoe_SFS_2014[[#This Row],[Wind offshore]]/Capacity_Entsoe_SFS_2014[[#This Row],[Wind offshore]]*10^6,0)</f>
        <v>0</v>
      </c>
      <c r="AH73" s="548">
        <f>IFERROR(Generation_Entsoe_SFS_2014[[#This Row],[Solar PV]]/Capacity_Entsoe_SFS_2014[[#This Row],[Solar PV]]*10^6,0)</f>
        <v>0</v>
      </c>
      <c r="AI73" s="548">
        <f>IFERROR(Generation_Entsoe_SFS_2014[[#This Row],[Bioenergy]]/Capacity_Entsoe_SFS_2014[[#This Row],[Bioenergy]]*10^6,0)</f>
        <v>3658.5365853658536</v>
      </c>
      <c r="AJ73" s="548">
        <f>IFERROR(Generation_Entsoe_SFS_2014[[#This Row],[Other RES]]/Capacity_Entsoe_SFS_2014[[#This Row],[Other RES]]*10^6,0)</f>
        <v>0</v>
      </c>
      <c r="AK73" s="548">
        <f>IFERROR(Generation_Entsoe_SFS_2014[[#This Row],[Renewable Hydro]]/Capacity_Entsoe_SFS_2014[[#This Row],[Renewable Hydro]]*10^6,0)</f>
        <v>1330.7984790874525</v>
      </c>
      <c r="AL73" s="557">
        <f>IFERROR(Generation_Entsoe_SFS_2014[[#This Row],[Pumped Hydro]]/Capacity_Entsoe_SFS_2014[[#This Row],[Pumped Hydro]]*10^6,0)</f>
        <v>0</v>
      </c>
      <c r="AM73" s="548">
        <f>IFERROR(Generation_Entsoe_SFS_2014[[#This Row],[Other sources]]/Capacity_Entsoe_SFS_2014[[#This Row],[Other sources]]*10^6,0)</f>
        <v>0</v>
      </c>
      <c r="AP73" s="1"/>
      <c r="AQ73" s="1"/>
    </row>
    <row r="74" spans="1:43" x14ac:dyDescent="0.25">
      <c r="A74" s="366" t="str">
        <f t="shared" si="1"/>
        <v>ME</v>
      </c>
      <c r="B74" s="366">
        <f t="shared" si="56"/>
        <v>2014</v>
      </c>
      <c r="C74" s="366" t="str">
        <f t="shared" si="56"/>
        <v>TWh</v>
      </c>
      <c r="D74" s="144">
        <f t="shared" si="3"/>
        <v>0</v>
      </c>
      <c r="E74" s="144">
        <f t="shared" ref="E74:G74" si="60">F27</f>
        <v>1.3</v>
      </c>
      <c r="F74" s="167">
        <f t="shared" si="60"/>
        <v>0</v>
      </c>
      <c r="G74" s="167">
        <f t="shared" si="60"/>
        <v>0</v>
      </c>
      <c r="H74" s="422">
        <f t="shared" si="5"/>
        <v>0</v>
      </c>
      <c r="I74" s="167">
        <f t="shared" si="6"/>
        <v>0</v>
      </c>
      <c r="J74" s="144">
        <v>0</v>
      </c>
      <c r="K74" s="422">
        <f t="shared" ref="K74:M74" si="61">N27</f>
        <v>0</v>
      </c>
      <c r="L74" s="422">
        <f t="shared" si="61"/>
        <v>0</v>
      </c>
      <c r="M74" s="422">
        <f t="shared" si="61"/>
        <v>0</v>
      </c>
      <c r="N74" s="167">
        <f t="shared" si="8"/>
        <v>1.5</v>
      </c>
      <c r="O74" s="167">
        <f t="shared" si="47"/>
        <v>1.3</v>
      </c>
      <c r="P74" s="422">
        <f t="shared" si="15"/>
        <v>0</v>
      </c>
      <c r="Q74" s="167">
        <f t="shared" si="0"/>
        <v>4.0999999999999996</v>
      </c>
      <c r="R74" s="167">
        <f t="shared" si="59"/>
        <v>96.2</v>
      </c>
      <c r="S74" s="424">
        <f t="shared" si="11"/>
        <v>4.2619542619542615E-2</v>
      </c>
      <c r="T74" s="516">
        <f>INDEX($A$4:$X$39,MATCH(Generation_Entsoe_SFS_2014[[#This Row],[Country]],$A$4:$A$39,0),MATCH(Generation_Entsoe_SFS_2014[[#Headers],[Consumption]],$A$2:$X$2,0))</f>
        <v>4.4000000000000004</v>
      </c>
      <c r="U74" s="516">
        <f>INDEX($A$4:$X$39,MATCH(Generation_Entsoe_SFS_2014[[#This Row],[Country]],$A$4:$A$39,0),MATCH(Generation_Entsoe_SFS_2014[[#Headers],[Pumping]],$A$2:$X$2,0))</f>
        <v>0</v>
      </c>
      <c r="V74" s="516"/>
      <c r="W74" s="509"/>
      <c r="X74" s="544" t="str">
        <f t="shared" si="12"/>
        <v>ME</v>
      </c>
      <c r="Y74" s="544">
        <v>2015</v>
      </c>
      <c r="Z74" s="544" t="s">
        <v>648</v>
      </c>
      <c r="AA74" s="549">
        <f>IFERROR(Generation_Entsoe_SFS_2014[[#This Row],[Nuclear]]/Capacity_Entsoe_SFS_2014[[#This Row],[Nuclear]]*10^6,0)</f>
        <v>0</v>
      </c>
      <c r="AB74" s="549">
        <f>IFERROR(Generation_Entsoe_SFS_2014[[#This Row],[Lignite]]/Capacity_Entsoe_SFS_2014[[#This Row],[Lignite]]*10^6,0)</f>
        <v>5909.090909090909</v>
      </c>
      <c r="AC74" s="549">
        <f>IFERROR(Generation_Entsoe_SFS_2014[[#This Row],[Hard coal]]/Capacity_Entsoe_SFS_2014[[#This Row],[Hard coal]]*10^6,0)</f>
        <v>0</v>
      </c>
      <c r="AD74" s="549">
        <f>IFERROR(Generation_Entsoe_SFS_2014[[#This Row],[Fossil gases]]/Capacity_Entsoe_SFS_2014[[#This Row],[Fossil gases]]*10^6,0)</f>
        <v>0</v>
      </c>
      <c r="AE74" s="549">
        <f>IFERROR(Generation_Entsoe_SFS_2014[[#This Row],[Other fossil fuels]]/Capacity_Entsoe_SFS_2014[[#This Row],[Other fossil fuels]]*10^6,0)</f>
        <v>0</v>
      </c>
      <c r="AF74" s="549">
        <f>IFERROR(Generation_Entsoe_SFS_2014[[#This Row],[Wind onshore]]/Capacity_Entsoe_SFS_2014[[#This Row],[Wind onshore]]*10^6,0)</f>
        <v>0</v>
      </c>
      <c r="AG74" s="549">
        <f>IFERROR(Generation_Entsoe_SFS_2014[[#This Row],[Wind offshore]]/Capacity_Entsoe_SFS_2014[[#This Row],[Wind offshore]]*10^6,0)</f>
        <v>0</v>
      </c>
      <c r="AH74" s="549">
        <f>IFERROR(Generation_Entsoe_SFS_2014[[#This Row],[Solar PV]]/Capacity_Entsoe_SFS_2014[[#This Row],[Solar PV]]*10^6,0)</f>
        <v>0</v>
      </c>
      <c r="AI74" s="549">
        <f>IFERROR(Generation_Entsoe_SFS_2014[[#This Row],[Bioenergy]]/Capacity_Entsoe_SFS_2014[[#This Row],[Bioenergy]]*10^6,0)</f>
        <v>0</v>
      </c>
      <c r="AJ74" s="549">
        <f>IFERROR(Generation_Entsoe_SFS_2014[[#This Row],[Other RES]]/Capacity_Entsoe_SFS_2014[[#This Row],[Other RES]]*10^6,0)</f>
        <v>0</v>
      </c>
      <c r="AK74" s="555">
        <f>IFERROR(Generation_Entsoe_SFS_2014[[#This Row],[Renewable Hydro]]/Capacity_Entsoe_SFS_2014[[#This Row],[Renewable Hydro]]*10^6,0)</f>
        <v>150000</v>
      </c>
      <c r="AL74" s="557">
        <f>IFERROR(Generation_Entsoe_SFS_2014[[#This Row],[Pumped Hydro]]/Capacity_Entsoe_SFS_2014[[#This Row],[Pumped Hydro]]*10^6,0)</f>
        <v>2000</v>
      </c>
      <c r="AM74" s="549">
        <f>IFERROR(Generation_Entsoe_SFS_2014[[#This Row],[Other sources]]/Capacity_Entsoe_SFS_2014[[#This Row],[Other sources]]*10^6,0)</f>
        <v>0</v>
      </c>
      <c r="AP74" s="1"/>
      <c r="AQ74" s="1"/>
    </row>
    <row r="75" spans="1:43" x14ac:dyDescent="0.25">
      <c r="A75" s="366" t="str">
        <f t="shared" si="1"/>
        <v>MK</v>
      </c>
      <c r="B75" s="366">
        <f t="shared" si="56"/>
        <v>2014</v>
      </c>
      <c r="C75" s="366" t="str">
        <f t="shared" si="56"/>
        <v>TWh</v>
      </c>
      <c r="D75" s="144">
        <f t="shared" si="3"/>
        <v>0</v>
      </c>
      <c r="E75" s="144">
        <f t="shared" ref="E75:G75" si="62">F28</f>
        <v>3.5</v>
      </c>
      <c r="F75" s="167">
        <f t="shared" si="62"/>
        <v>0</v>
      </c>
      <c r="G75" s="167">
        <f t="shared" si="62"/>
        <v>0.2</v>
      </c>
      <c r="H75" s="422">
        <f t="shared" si="5"/>
        <v>0</v>
      </c>
      <c r="I75" s="167">
        <f t="shared" si="6"/>
        <v>0.04</v>
      </c>
      <c r="J75" s="144">
        <v>0</v>
      </c>
      <c r="K75" s="422">
        <f t="shared" ref="K75:M75" si="63">N28</f>
        <v>0</v>
      </c>
      <c r="L75" s="422">
        <f t="shared" si="63"/>
        <v>0</v>
      </c>
      <c r="M75" s="422">
        <f t="shared" si="63"/>
        <v>0</v>
      </c>
      <c r="N75" s="167">
        <f t="shared" si="8"/>
        <v>0</v>
      </c>
      <c r="O75" s="167">
        <f t="shared" si="47"/>
        <v>1.1000000000000001</v>
      </c>
      <c r="P75" s="422">
        <f t="shared" si="15"/>
        <v>0</v>
      </c>
      <c r="Q75" s="167">
        <f t="shared" si="0"/>
        <v>4.84</v>
      </c>
      <c r="R75" s="167">
        <f t="shared" si="59"/>
        <v>142.4</v>
      </c>
      <c r="S75" s="424">
        <f t="shared" si="11"/>
        <v>3.3988764044943817E-2</v>
      </c>
      <c r="T75" s="516">
        <f>INDEX($A$4:$X$39,MATCH(Generation_Entsoe_SFS_2014[[#This Row],[Country]],$A$4:$A$39,0),MATCH(Generation_Entsoe_SFS_2014[[#Headers],[Consumption]],$A$2:$X$2,0))</f>
        <v>7.9</v>
      </c>
      <c r="U75" s="516">
        <f>INDEX($A$4:$X$39,MATCH(Generation_Entsoe_SFS_2014[[#This Row],[Country]],$A$4:$A$39,0),MATCH(Generation_Entsoe_SFS_2014[[#Headers],[Pumping]],$A$2:$X$2,0))</f>
        <v>0</v>
      </c>
      <c r="V75" s="516"/>
      <c r="W75" s="509"/>
      <c r="X75" s="544" t="str">
        <f t="shared" si="12"/>
        <v>MK</v>
      </c>
      <c r="Y75" s="544">
        <v>2015</v>
      </c>
      <c r="Z75" s="544" t="s">
        <v>648</v>
      </c>
      <c r="AA75" s="548">
        <f>IFERROR(Generation_Entsoe_SFS_2014[[#This Row],[Nuclear]]/Capacity_Entsoe_SFS_2014[[#This Row],[Nuclear]]*10^6,0)</f>
        <v>0</v>
      </c>
      <c r="AB75" s="548">
        <f>IFERROR(Generation_Entsoe_SFS_2014[[#This Row],[Lignite]]/Capacity_Entsoe_SFS_2014[[#This Row],[Lignite]]*10^6,0)</f>
        <v>4874.6518105849582</v>
      </c>
      <c r="AC75" s="548">
        <f>IFERROR(Generation_Entsoe_SFS_2014[[#This Row],[Hard coal]]/Capacity_Entsoe_SFS_2014[[#This Row],[Hard coal]]*10^6,0)</f>
        <v>0</v>
      </c>
      <c r="AD75" s="548">
        <f>IFERROR(Generation_Entsoe_SFS_2014[[#This Row],[Fossil gases]]/Capacity_Entsoe_SFS_2014[[#This Row],[Fossil gases]]*10^6,0)</f>
        <v>800</v>
      </c>
      <c r="AE75" s="548">
        <f>IFERROR(Generation_Entsoe_SFS_2014[[#This Row],[Other fossil fuels]]/Capacity_Entsoe_SFS_2014[[#This Row],[Other fossil fuels]]*10^6,0)</f>
        <v>0</v>
      </c>
      <c r="AF75" s="548">
        <f>IFERROR(Generation_Entsoe_SFS_2014[[#This Row],[Wind onshore]]/Capacity_Entsoe_SFS_2014[[#This Row],[Wind onshore]]*10^6,0)</f>
        <v>1111.1111111111111</v>
      </c>
      <c r="AG75" s="548">
        <f>IFERROR(Generation_Entsoe_SFS_2014[[#This Row],[Wind offshore]]/Capacity_Entsoe_SFS_2014[[#This Row],[Wind offshore]]*10^6,0)</f>
        <v>0</v>
      </c>
      <c r="AH75" s="548">
        <f>IFERROR(Generation_Entsoe_SFS_2014[[#This Row],[Solar PV]]/Capacity_Entsoe_SFS_2014[[#This Row],[Solar PV]]*10^6,0)</f>
        <v>0</v>
      </c>
      <c r="AI75" s="548">
        <f>IFERROR(Generation_Entsoe_SFS_2014[[#This Row],[Bioenergy]]/Capacity_Entsoe_SFS_2014[[#This Row],[Bioenergy]]*10^6,0)</f>
        <v>0</v>
      </c>
      <c r="AJ75" s="548">
        <f>IFERROR(Generation_Entsoe_SFS_2014[[#This Row],[Other RES]]/Capacity_Entsoe_SFS_2014[[#This Row],[Other RES]]*10^6,0)</f>
        <v>0</v>
      </c>
      <c r="AK75" s="548">
        <f>IFERROR(Generation_Entsoe_SFS_2014[[#This Row],[Renewable Hydro]]/Capacity_Entsoe_SFS_2014[[#This Row],[Renewable Hydro]]*10^6,0)</f>
        <v>0</v>
      </c>
      <c r="AL75" s="557">
        <f>IFERROR(Generation_Entsoe_SFS_2014[[#This Row],[Pumped Hydro]]/Capacity_Entsoe_SFS_2014[[#This Row],[Pumped Hydro]]*10^6,0)</f>
        <v>2040.8163265306125</v>
      </c>
      <c r="AM75" s="548">
        <f>IFERROR(Generation_Entsoe_SFS_2014[[#This Row],[Other sources]]/Capacity_Entsoe_SFS_2014[[#This Row],[Other sources]]*10^6,0)</f>
        <v>0</v>
      </c>
      <c r="AP75" s="1"/>
      <c r="AQ75" s="1"/>
    </row>
    <row r="76" spans="1:43" x14ac:dyDescent="0.25">
      <c r="A76" s="366" t="str">
        <f t="shared" si="1"/>
        <v>NI</v>
      </c>
      <c r="B76" s="366">
        <f t="shared" si="56"/>
        <v>2014</v>
      </c>
      <c r="C76" s="366" t="str">
        <f t="shared" si="56"/>
        <v>TWh</v>
      </c>
      <c r="D76" s="144">
        <f t="shared" si="3"/>
        <v>0</v>
      </c>
      <c r="E76" s="144">
        <f t="shared" ref="E76:G76" si="64">F29</f>
        <v>0</v>
      </c>
      <c r="F76" s="167">
        <f t="shared" si="64"/>
        <v>2.1</v>
      </c>
      <c r="G76" s="167">
        <f t="shared" si="64"/>
        <v>3.8</v>
      </c>
      <c r="H76" s="422">
        <f t="shared" si="5"/>
        <v>0.503</v>
      </c>
      <c r="I76" s="167">
        <f t="shared" si="6"/>
        <v>1.4</v>
      </c>
      <c r="J76" s="144">
        <v>0</v>
      </c>
      <c r="K76" s="422">
        <f t="shared" ref="K76:M76" si="65">N29</f>
        <v>0</v>
      </c>
      <c r="L76" s="422">
        <f t="shared" si="65"/>
        <v>0.1</v>
      </c>
      <c r="M76" s="422">
        <f t="shared" si="65"/>
        <v>0.04</v>
      </c>
      <c r="N76" s="167">
        <f t="shared" si="8"/>
        <v>2E-3</v>
      </c>
      <c r="O76" s="167">
        <f t="shared" si="47"/>
        <v>8.9999999999999993E-3</v>
      </c>
      <c r="P76" s="422">
        <f t="shared" si="15"/>
        <v>0</v>
      </c>
      <c r="Q76" s="167">
        <f t="shared" si="0"/>
        <v>7.9540000000000006</v>
      </c>
      <c r="R76" s="167">
        <f t="shared" si="59"/>
        <v>145.6</v>
      </c>
      <c r="S76" s="424">
        <f t="shared" si="11"/>
        <v>5.4629120879120883E-2</v>
      </c>
      <c r="T76" s="516">
        <f>INDEX($A$4:$X$39,MATCH(Generation_Entsoe_SFS_2014[[#This Row],[Country]],$A$4:$A$39,0),MATCH(Generation_Entsoe_SFS_2014[[#Headers],[Consumption]],$A$2:$X$2,0))</f>
        <v>9.3000000000000007</v>
      </c>
      <c r="U76" s="516">
        <f>INDEX($A$4:$X$39,MATCH(Generation_Entsoe_SFS_2014[[#This Row],[Country]],$A$4:$A$39,0),MATCH(Generation_Entsoe_SFS_2014[[#Headers],[Pumping]],$A$2:$X$2,0))</f>
        <v>0</v>
      </c>
      <c r="V76" s="516"/>
      <c r="W76" s="509"/>
      <c r="X76" s="544" t="str">
        <f t="shared" si="12"/>
        <v>NI</v>
      </c>
      <c r="Y76" s="544">
        <v>2015</v>
      </c>
      <c r="Z76" s="544" t="s">
        <v>648</v>
      </c>
      <c r="AA76" s="549">
        <f>IFERROR(Generation_Entsoe_SFS_2014[[#This Row],[Nuclear]]/Capacity_Entsoe_SFS_2014[[#This Row],[Nuclear]]*10^6,0)</f>
        <v>0</v>
      </c>
      <c r="AB76" s="549">
        <f>IFERROR(Generation_Entsoe_SFS_2014[[#This Row],[Lignite]]/Capacity_Entsoe_SFS_2014[[#This Row],[Lignite]]*10^6,0)</f>
        <v>0</v>
      </c>
      <c r="AC76" s="549">
        <f>IFERROR(Generation_Entsoe_SFS_2014[[#This Row],[Hard coal]]/Capacity_Entsoe_SFS_2014[[#This Row],[Hard coal]]*10^6,0)</f>
        <v>547.44525547445255</v>
      </c>
      <c r="AD76" s="549">
        <f>IFERROR(Generation_Entsoe_SFS_2014[[#This Row],[Fossil gases]]/Capacity_Entsoe_SFS_2014[[#This Row],[Fossil gases]]*10^6,0)</f>
        <v>1841.0852713178294</v>
      </c>
      <c r="AE76" s="555">
        <f>IFERROR(Generation_Entsoe_SFS_2014[[#This Row],[Other fossil fuels]]/Capacity_Entsoe_SFS_2014[[#This Row],[Other fossil fuels]]*10^6,0)</f>
        <v>125750</v>
      </c>
      <c r="AF76" s="549">
        <f>IFERROR(Generation_Entsoe_SFS_2014[[#This Row],[Wind onshore]]/Capacity_Entsoe_SFS_2014[[#This Row],[Wind onshore]]*10^6,0)</f>
        <v>967.51900483759493</v>
      </c>
      <c r="AG76" s="549">
        <f>IFERROR(Generation_Entsoe_SFS_2014[[#This Row],[Wind offshore]]/Capacity_Entsoe_SFS_2014[[#This Row],[Wind offshore]]*10^6,0)</f>
        <v>0</v>
      </c>
      <c r="AH76" s="549">
        <f>IFERROR(Generation_Entsoe_SFS_2014[[#This Row],[Solar PV]]/Capacity_Entsoe_SFS_2014[[#This Row],[Solar PV]]*10^6,0)</f>
        <v>0</v>
      </c>
      <c r="AI76" s="549">
        <f>IFERROR(Generation_Entsoe_SFS_2014[[#This Row],[Bioenergy]]/Capacity_Entsoe_SFS_2014[[#This Row],[Bioenergy]]*10^6,0)</f>
        <v>2325.5813953488373</v>
      </c>
      <c r="AJ76" s="549">
        <f>IFERROR(Generation_Entsoe_SFS_2014[[#This Row],[Other RES]]/Capacity_Entsoe_SFS_2014[[#This Row],[Other RES]]*10^6,0)</f>
        <v>666.66666666666663</v>
      </c>
      <c r="AK76" s="549">
        <f>IFERROR(Generation_Entsoe_SFS_2014[[#This Row],[Renewable Hydro]]/Capacity_Entsoe_SFS_2014[[#This Row],[Renewable Hydro]]*10^6,0)</f>
        <v>166.66666666666666</v>
      </c>
      <c r="AL76" s="557">
        <f>IFERROR(Generation_Entsoe_SFS_2014[[#This Row],[Pumped Hydro]]/Capacity_Entsoe_SFS_2014[[#This Row],[Pumped Hydro]]*10^6,0)</f>
        <v>0</v>
      </c>
      <c r="AM76" s="549">
        <f>IFERROR(Generation_Entsoe_SFS_2014[[#This Row],[Other sources]]/Capacity_Entsoe_SFS_2014[[#This Row],[Other sources]]*10^6,0)</f>
        <v>0</v>
      </c>
      <c r="AP76" s="1"/>
      <c r="AQ76" s="1"/>
    </row>
    <row r="77" spans="1:43" x14ac:dyDescent="0.25">
      <c r="A77" s="366" t="str">
        <f t="shared" si="1"/>
        <v>NL</v>
      </c>
      <c r="B77" s="366">
        <f t="shared" si="56"/>
        <v>2014</v>
      </c>
      <c r="C77" s="366" t="str">
        <f t="shared" si="56"/>
        <v>TWh</v>
      </c>
      <c r="D77" s="144">
        <f t="shared" si="3"/>
        <v>4.0999999999999996</v>
      </c>
      <c r="E77" s="144">
        <f t="shared" ref="E77:G77" si="66">F30</f>
        <v>0</v>
      </c>
      <c r="F77" s="167">
        <f t="shared" si="66"/>
        <v>0</v>
      </c>
      <c r="G77" s="167">
        <f t="shared" si="66"/>
        <v>0</v>
      </c>
      <c r="H77" s="422">
        <f t="shared" si="5"/>
        <v>80.400000000000006</v>
      </c>
      <c r="I77" s="167">
        <f t="shared" si="6"/>
        <v>5.8</v>
      </c>
      <c r="J77" s="144">
        <v>0</v>
      </c>
      <c r="K77" s="422">
        <f t="shared" ref="K77:M77" si="67">N30</f>
        <v>0.1</v>
      </c>
      <c r="L77" s="422">
        <f t="shared" si="67"/>
        <v>5.8</v>
      </c>
      <c r="M77" s="422">
        <f t="shared" si="67"/>
        <v>0</v>
      </c>
      <c r="N77" s="167">
        <f t="shared" si="8"/>
        <v>0.1</v>
      </c>
      <c r="O77" s="167">
        <f t="shared" si="47"/>
        <v>0</v>
      </c>
      <c r="P77" s="422">
        <f t="shared" si="15"/>
        <v>0</v>
      </c>
      <c r="Q77" s="167">
        <f t="shared" si="0"/>
        <v>96.299999999999983</v>
      </c>
      <c r="R77" s="167">
        <f t="shared" si="59"/>
        <v>49</v>
      </c>
      <c r="S77" s="424">
        <f t="shared" si="11"/>
        <v>1.9653061224489792</v>
      </c>
      <c r="T77" s="516">
        <f>INDEX($A$4:$X$39,MATCH(Generation_Entsoe_SFS_2014[[#This Row],[Country]],$A$4:$A$39,0),MATCH(Generation_Entsoe_SFS_2014[[#Headers],[Consumption]],$A$2:$X$2,0))</f>
        <v>110.9</v>
      </c>
      <c r="U77" s="516">
        <f>INDEX($A$4:$X$39,MATCH(Generation_Entsoe_SFS_2014[[#This Row],[Country]],$A$4:$A$39,0),MATCH(Generation_Entsoe_SFS_2014[[#Headers],[Pumping]],$A$2:$X$2,0))</f>
        <v>0</v>
      </c>
      <c r="V77" s="516"/>
      <c r="W77" s="509"/>
      <c r="X77" s="544" t="str">
        <f t="shared" si="12"/>
        <v>NL</v>
      </c>
      <c r="Y77" s="544">
        <v>2015</v>
      </c>
      <c r="Z77" s="544" t="s">
        <v>648</v>
      </c>
      <c r="AA77" s="548">
        <f>IFERROR(Generation_Entsoe_SFS_2014[[#This Row],[Nuclear]]/Capacity_Entsoe_SFS_2014[[#This Row],[Nuclear]]*10^6,0)</f>
        <v>8333.3333333333339</v>
      </c>
      <c r="AB77" s="548">
        <f>IFERROR(Generation_Entsoe_SFS_2014[[#This Row],[Lignite]]/Capacity_Entsoe_SFS_2014[[#This Row],[Lignite]]*10^6,0)</f>
        <v>0</v>
      </c>
      <c r="AC77" s="548">
        <f>IFERROR(Generation_Entsoe_SFS_2014[[#This Row],[Hard coal]]/Capacity_Entsoe_SFS_2014[[#This Row],[Hard coal]]*10^6,0)</f>
        <v>0</v>
      </c>
      <c r="AD77" s="548">
        <f>IFERROR(Generation_Entsoe_SFS_2014[[#This Row],[Fossil gases]]/Capacity_Entsoe_SFS_2014[[#This Row],[Fossil gases]]*10^6,0)</f>
        <v>0</v>
      </c>
      <c r="AE77" s="554">
        <f>IFERROR(Generation_Entsoe_SFS_2014[[#This Row],[Other fossil fuels]]/Capacity_Entsoe_SFS_2014[[#This Row],[Other fossil fuels]]*10^6,0)</f>
        <v>92520.138089758359</v>
      </c>
      <c r="AF77" s="548">
        <f>IFERROR(Generation_Entsoe_SFS_2014[[#This Row],[Wind onshore]]/Capacity_Entsoe_SFS_2014[[#This Row],[Wind onshore]]*10^6,0)</f>
        <v>2018.0932498260265</v>
      </c>
      <c r="AG77" s="548">
        <f>IFERROR(Generation_Entsoe_SFS_2014[[#This Row],[Wind offshore]]/Capacity_Entsoe_SFS_2014[[#This Row],[Wind offshore]]*10^6,0)</f>
        <v>0</v>
      </c>
      <c r="AH77" s="548">
        <f>IFERROR(Generation_Entsoe_SFS_2014[[#This Row],[Solar PV]]/Capacity_Entsoe_SFS_2014[[#This Row],[Solar PV]]*10^6,0)</f>
        <v>100</v>
      </c>
      <c r="AI77" s="554">
        <f>IFERROR(Generation_Entsoe_SFS_2014[[#This Row],[Bioenergy]]/Capacity_Entsoe_SFS_2014[[#This Row],[Bioenergy]]*10^6,0)</f>
        <v>14499.999999999998</v>
      </c>
      <c r="AJ77" s="548">
        <f>IFERROR(Generation_Entsoe_SFS_2014[[#This Row],[Other RES]]/Capacity_Entsoe_SFS_2014[[#This Row],[Other RES]]*10^6,0)</f>
        <v>0</v>
      </c>
      <c r="AK77" s="548">
        <f>IFERROR(Generation_Entsoe_SFS_2014[[#This Row],[Renewable Hydro]]/Capacity_Entsoe_SFS_2014[[#This Row],[Renewable Hydro]]*10^6,0)</f>
        <v>2631.5789473684208</v>
      </c>
      <c r="AL77" s="557">
        <f>IFERROR(Generation_Entsoe_SFS_2014[[#This Row],[Pumped Hydro]]/Capacity_Entsoe_SFS_2014[[#This Row],[Pumped Hydro]]*10^6,0)</f>
        <v>0</v>
      </c>
      <c r="AM77" s="548">
        <f>IFERROR(Generation_Entsoe_SFS_2014[[#This Row],[Other sources]]/Capacity_Entsoe_SFS_2014[[#This Row],[Other sources]]*10^6,0)</f>
        <v>0</v>
      </c>
      <c r="AP77" s="1"/>
      <c r="AQ77" s="1"/>
    </row>
    <row r="78" spans="1:43" x14ac:dyDescent="0.25">
      <c r="A78" s="366" t="str">
        <f t="shared" si="1"/>
        <v>NO</v>
      </c>
      <c r="B78" s="366">
        <f t="shared" si="56"/>
        <v>2014</v>
      </c>
      <c r="C78" s="366" t="str">
        <f t="shared" si="56"/>
        <v>TWh</v>
      </c>
      <c r="D78" s="144">
        <f t="shared" si="3"/>
        <v>0</v>
      </c>
      <c r="E78" s="144">
        <f t="shared" ref="E78:G78" si="68">F31</f>
        <v>0</v>
      </c>
      <c r="F78" s="167">
        <f t="shared" si="68"/>
        <v>0</v>
      </c>
      <c r="G78" s="167">
        <f t="shared" si="68"/>
        <v>3.5</v>
      </c>
      <c r="H78" s="422">
        <f t="shared" si="5"/>
        <v>0</v>
      </c>
      <c r="I78" s="167">
        <f t="shared" si="6"/>
        <v>2.2999999999999998</v>
      </c>
      <c r="J78" s="144">
        <v>0</v>
      </c>
      <c r="K78" s="422">
        <f t="shared" ref="K78:M78" si="69">N31</f>
        <v>0</v>
      </c>
      <c r="L78" s="422">
        <f t="shared" si="69"/>
        <v>0</v>
      </c>
      <c r="M78" s="422">
        <f t="shared" si="69"/>
        <v>0</v>
      </c>
      <c r="N78" s="167">
        <f t="shared" si="8"/>
        <v>136.6</v>
      </c>
      <c r="O78" s="167">
        <f t="shared" si="47"/>
        <v>0</v>
      </c>
      <c r="P78" s="422">
        <f t="shared" si="15"/>
        <v>0</v>
      </c>
      <c r="Q78" s="167">
        <f t="shared" si="0"/>
        <v>142.4</v>
      </c>
      <c r="R78" s="167">
        <f t="shared" si="59"/>
        <v>60.7</v>
      </c>
      <c r="S78" s="424">
        <f t="shared" si="11"/>
        <v>2.3459637561779241</v>
      </c>
      <c r="T78" s="516">
        <f>INDEX($A$4:$X$39,MATCH(Generation_Entsoe_SFS_2014[[#This Row],[Country]],$A$4:$A$39,0),MATCH(Generation_Entsoe_SFS_2014[[#Headers],[Consumption]],$A$2:$X$2,0))</f>
        <v>125.2</v>
      </c>
      <c r="U78" s="516">
        <f>INDEX($A$4:$X$39,MATCH(Generation_Entsoe_SFS_2014[[#This Row],[Country]],$A$4:$A$39,0),MATCH(Generation_Entsoe_SFS_2014[[#Headers],[Pumping]],$A$2:$X$2,0))</f>
        <v>1.6</v>
      </c>
      <c r="V78" s="516"/>
      <c r="W78" s="509"/>
      <c r="X78" s="544" t="str">
        <f t="shared" si="12"/>
        <v>NO</v>
      </c>
      <c r="Y78" s="544">
        <v>2015</v>
      </c>
      <c r="Z78" s="544" t="s">
        <v>648</v>
      </c>
      <c r="AA78" s="549">
        <f>IFERROR(Generation_Entsoe_SFS_2014[[#This Row],[Nuclear]]/Capacity_Entsoe_SFS_2014[[#This Row],[Nuclear]]*10^6,0)</f>
        <v>0</v>
      </c>
      <c r="AB78" s="549">
        <f>IFERROR(Generation_Entsoe_SFS_2014[[#This Row],[Lignite]]/Capacity_Entsoe_SFS_2014[[#This Row],[Lignite]]*10^6,0)</f>
        <v>0</v>
      </c>
      <c r="AC78" s="549">
        <f>IFERROR(Generation_Entsoe_SFS_2014[[#This Row],[Hard coal]]/Capacity_Entsoe_SFS_2014[[#This Row],[Hard coal]]*10^6,0)</f>
        <v>0</v>
      </c>
      <c r="AD78" s="549">
        <f>IFERROR(Generation_Entsoe_SFS_2014[[#This Row],[Fossil gases]]/Capacity_Entsoe_SFS_2014[[#This Row],[Fossil gases]]*10^6,0)</f>
        <v>3211.0091743119269</v>
      </c>
      <c r="AE78" s="549">
        <f>IFERROR(Generation_Entsoe_SFS_2014[[#This Row],[Other fossil fuels]]/Capacity_Entsoe_SFS_2014[[#This Row],[Other fossil fuels]]*10^6,0)</f>
        <v>0</v>
      </c>
      <c r="AF78" s="549">
        <f>IFERROR(Generation_Entsoe_SFS_2014[[#This Row],[Wind onshore]]/Capacity_Entsoe_SFS_2014[[#This Row],[Wind onshore]]*10^6,0)</f>
        <v>2825.5528255528252</v>
      </c>
      <c r="AG78" s="549">
        <f>IFERROR(Generation_Entsoe_SFS_2014[[#This Row],[Wind offshore]]/Capacity_Entsoe_SFS_2014[[#This Row],[Wind offshore]]*10^6,0)</f>
        <v>0</v>
      </c>
      <c r="AH78" s="549">
        <f>IFERROR(Generation_Entsoe_SFS_2014[[#This Row],[Solar PV]]/Capacity_Entsoe_SFS_2014[[#This Row],[Solar PV]]*10^6,0)</f>
        <v>0</v>
      </c>
      <c r="AI78" s="549">
        <f>IFERROR(Generation_Entsoe_SFS_2014[[#This Row],[Bioenergy]]/Capacity_Entsoe_SFS_2014[[#This Row],[Bioenergy]]*10^6,0)</f>
        <v>0</v>
      </c>
      <c r="AJ78" s="549">
        <f>IFERROR(Generation_Entsoe_SFS_2014[[#This Row],[Other RES]]/Capacity_Entsoe_SFS_2014[[#This Row],[Other RES]]*10^6,0)</f>
        <v>0</v>
      </c>
      <c r="AK78" s="549">
        <f>IFERROR(Generation_Entsoe_SFS_2014[[#This Row],[Renewable Hydro]]/Capacity_Entsoe_SFS_2014[[#This Row],[Renewable Hydro]]*10^6,0)</f>
        <v>4397.6563003026204</v>
      </c>
      <c r="AL78" s="557">
        <f>IFERROR(Generation_Entsoe_SFS_2014[[#This Row],[Pumped Hydro]]/Capacity_Entsoe_SFS_2014[[#This Row],[Pumped Hydro]]*10^6,0)</f>
        <v>0</v>
      </c>
      <c r="AM78" s="549">
        <f>IFERROR(Generation_Entsoe_SFS_2014[[#This Row],[Other sources]]/Capacity_Entsoe_SFS_2014[[#This Row],[Other sources]]*10^6,0)</f>
        <v>0</v>
      </c>
      <c r="AP78" s="1"/>
      <c r="AQ78" s="1"/>
    </row>
    <row r="79" spans="1:43" x14ac:dyDescent="0.25">
      <c r="A79" s="366" t="str">
        <f t="shared" si="1"/>
        <v>PL</v>
      </c>
      <c r="B79" s="366">
        <f>B36</f>
        <v>2014</v>
      </c>
      <c r="C79" s="366" t="str">
        <f>C36</f>
        <v>TWh</v>
      </c>
      <c r="D79" s="144">
        <f t="shared" si="3"/>
        <v>0</v>
      </c>
      <c r="E79" s="144">
        <f t="shared" ref="E79:G79" si="70">F32</f>
        <v>49.6</v>
      </c>
      <c r="F79" s="167">
        <f t="shared" si="70"/>
        <v>67.2</v>
      </c>
      <c r="G79" s="167">
        <f t="shared" si="70"/>
        <v>3.2</v>
      </c>
      <c r="H79" s="422">
        <f t="shared" si="5"/>
        <v>8.6</v>
      </c>
      <c r="I79" s="167">
        <f t="shared" si="6"/>
        <v>7.3</v>
      </c>
      <c r="J79" s="144">
        <v>0</v>
      </c>
      <c r="K79" s="422">
        <f t="shared" ref="K79:M79" si="71">N32</f>
        <v>2E-3</v>
      </c>
      <c r="L79" s="422">
        <f t="shared" si="71"/>
        <v>7</v>
      </c>
      <c r="M79" s="422">
        <f t="shared" si="71"/>
        <v>0</v>
      </c>
      <c r="N79" s="167">
        <f t="shared" si="8"/>
        <v>2.2000000000000002</v>
      </c>
      <c r="O79" s="167">
        <f t="shared" si="47"/>
        <v>0.6</v>
      </c>
      <c r="P79" s="422">
        <f t="shared" si="15"/>
        <v>0</v>
      </c>
      <c r="Q79" s="167">
        <f t="shared" si="0"/>
        <v>145.70200000000003</v>
      </c>
      <c r="R79" s="167">
        <f>U36</f>
        <v>151.19999999999999</v>
      </c>
      <c r="S79" s="424">
        <f t="shared" si="11"/>
        <v>0.96363756613756635</v>
      </c>
      <c r="T79" s="516">
        <f>INDEX($A$4:$X$39,MATCH(Generation_Entsoe_SFS_2014[[#This Row],[Country]],$A$4:$A$39,0),MATCH(Generation_Entsoe_SFS_2014[[#Headers],[Consumption]],$A$2:$X$2,0))</f>
        <v>146.9</v>
      </c>
      <c r="U79" s="516">
        <f>INDEX($A$4:$X$39,MATCH(Generation_Entsoe_SFS_2014[[#This Row],[Country]],$A$4:$A$39,0),MATCH(Generation_Entsoe_SFS_2014[[#Headers],[Pumping]],$A$2:$X$2,0))</f>
        <v>0.8</v>
      </c>
      <c r="V79" s="516"/>
      <c r="W79" s="509"/>
      <c r="X79" s="544" t="str">
        <f t="shared" si="12"/>
        <v>PL</v>
      </c>
      <c r="Y79" s="544">
        <v>2015</v>
      </c>
      <c r="Z79" s="544" t="s">
        <v>648</v>
      </c>
      <c r="AA79" s="548">
        <f>IFERROR(Generation_Entsoe_SFS_2014[[#This Row],[Nuclear]]/Capacity_Entsoe_SFS_2014[[#This Row],[Nuclear]]*10^6,0)</f>
        <v>0</v>
      </c>
      <c r="AB79" s="548">
        <f>IFERROR(Generation_Entsoe_SFS_2014[[#This Row],[Lignite]]/Capacity_Entsoe_SFS_2014[[#This Row],[Lignite]]*10^6,0)</f>
        <v>5822.2796102828979</v>
      </c>
      <c r="AC79" s="548">
        <f>IFERROR(Generation_Entsoe_SFS_2014[[#This Row],[Hard coal]]/Capacity_Entsoe_SFS_2014[[#This Row],[Hard coal]]*10^6,0)</f>
        <v>3882.3733317927095</v>
      </c>
      <c r="AD79" s="548">
        <f>IFERROR(Generation_Entsoe_SFS_2014[[#This Row],[Fossil gases]]/Capacity_Entsoe_SFS_2014[[#This Row],[Fossil gases]]*10^6,0)</f>
        <v>3389.8305084745766</v>
      </c>
      <c r="AE79" s="548">
        <f>IFERROR(Generation_Entsoe_SFS_2014[[#This Row],[Other fossil fuels]]/Capacity_Entsoe_SFS_2014[[#This Row],[Other fossil fuels]]*10^6,0)</f>
        <v>3697.334479793637</v>
      </c>
      <c r="AF79" s="548">
        <f>IFERROR(Generation_Entsoe_SFS_2014[[#This Row],[Wind onshore]]/Capacity_Entsoe_SFS_2014[[#This Row],[Wind onshore]]*10^6,0)</f>
        <v>1945.1105782041034</v>
      </c>
      <c r="AG79" s="548">
        <f>IFERROR(Generation_Entsoe_SFS_2014[[#This Row],[Wind offshore]]/Capacity_Entsoe_SFS_2014[[#This Row],[Wind offshore]]*10^6,0)</f>
        <v>0</v>
      </c>
      <c r="AH79" s="548">
        <f>IFERROR(Generation_Entsoe_SFS_2014[[#This Row],[Solar PV]]/Capacity_Entsoe_SFS_2014[[#This Row],[Solar PV]]*10^6,0)</f>
        <v>86.956521739130437</v>
      </c>
      <c r="AI79" s="554">
        <f>IFERROR(Generation_Entsoe_SFS_2014[[#This Row],[Bioenergy]]/Capacity_Entsoe_SFS_2014[[#This Row],[Bioenergy]]*10^6,0)</f>
        <v>9067.3575129533674</v>
      </c>
      <c r="AJ79" s="548">
        <f>IFERROR(Generation_Entsoe_SFS_2014[[#This Row],[Other RES]]/Capacity_Entsoe_SFS_2014[[#This Row],[Other RES]]*10^6,0)</f>
        <v>0</v>
      </c>
      <c r="AK79" s="548">
        <f>IFERROR(Generation_Entsoe_SFS_2014[[#This Row],[Renewable Hydro]]/Capacity_Entsoe_SFS_2014[[#This Row],[Renewable Hydro]]*10^6,0)</f>
        <v>2337.9383634431456</v>
      </c>
      <c r="AL79" s="557">
        <f>IFERROR(Generation_Entsoe_SFS_2014[[#This Row],[Pumped Hydro]]/Capacity_Entsoe_SFS_2014[[#This Row],[Pumped Hydro]]*10^6,0)</f>
        <v>424.62845010615706</v>
      </c>
      <c r="AM79" s="548">
        <f>IFERROR(Generation_Entsoe_SFS_2014[[#This Row],[Other sources]]/Capacity_Entsoe_SFS_2014[[#This Row],[Other sources]]*10^6,0)</f>
        <v>0</v>
      </c>
      <c r="AP79" s="1"/>
      <c r="AQ79" s="1"/>
    </row>
    <row r="80" spans="1:43" x14ac:dyDescent="0.25">
      <c r="A80" s="366" t="str">
        <f t="shared" si="1"/>
        <v>PT</v>
      </c>
      <c r="B80" s="366">
        <f t="shared" ref="B80:C81" si="72">B37</f>
        <v>2014</v>
      </c>
      <c r="C80" s="366" t="str">
        <f t="shared" si="72"/>
        <v>TWh</v>
      </c>
      <c r="D80" s="144">
        <f t="shared" si="3"/>
        <v>0</v>
      </c>
      <c r="E80" s="144">
        <f t="shared" ref="E80:G80" si="73">F33</f>
        <v>0</v>
      </c>
      <c r="F80" s="167">
        <f t="shared" si="73"/>
        <v>11.1</v>
      </c>
      <c r="G80" s="167">
        <f t="shared" si="73"/>
        <v>6.3</v>
      </c>
      <c r="H80" s="422">
        <f t="shared" si="5"/>
        <v>0.30000000000000004</v>
      </c>
      <c r="I80" s="167">
        <f t="shared" si="6"/>
        <v>11.8</v>
      </c>
      <c r="J80" s="144">
        <v>0</v>
      </c>
      <c r="K80" s="422">
        <f t="shared" ref="K80:M80" si="74">N33</f>
        <v>0.6</v>
      </c>
      <c r="L80" s="422">
        <f t="shared" si="74"/>
        <v>2.7</v>
      </c>
      <c r="M80" s="422">
        <f t="shared" si="74"/>
        <v>0</v>
      </c>
      <c r="N80" s="167">
        <f t="shared" si="8"/>
        <v>15.3</v>
      </c>
      <c r="O80" s="167">
        <f t="shared" si="47"/>
        <v>0.9</v>
      </c>
      <c r="P80" s="422">
        <f t="shared" si="15"/>
        <v>0</v>
      </c>
      <c r="Q80" s="167">
        <f t="shared" si="0"/>
        <v>49.000000000000007</v>
      </c>
      <c r="R80" s="167">
        <f>U37</f>
        <v>16.3</v>
      </c>
      <c r="S80" s="424">
        <f t="shared" si="11"/>
        <v>3.0061349693251538</v>
      </c>
      <c r="T80" s="516">
        <f>INDEX($A$4:$X$39,MATCH(Generation_Entsoe_SFS_2014[[#This Row],[Country]],$A$4:$A$39,0),MATCH(Generation_Entsoe_SFS_2014[[#Headers],[Consumption]],$A$2:$X$2,0))</f>
        <v>48.8</v>
      </c>
      <c r="U80" s="516">
        <f>INDEX($A$4:$X$39,MATCH(Generation_Entsoe_SFS_2014[[#This Row],[Country]],$A$4:$A$39,0),MATCH(Generation_Entsoe_SFS_2014[[#Headers],[Pumping]],$A$2:$X$2,0))</f>
        <v>1.1000000000000001</v>
      </c>
      <c r="V80" s="516"/>
      <c r="W80" s="509"/>
      <c r="X80" s="544" t="str">
        <f t="shared" si="12"/>
        <v>PT</v>
      </c>
      <c r="Y80" s="544">
        <v>2015</v>
      </c>
      <c r="Z80" s="544" t="s">
        <v>648</v>
      </c>
      <c r="AA80" s="549">
        <f>IFERROR(Generation_Entsoe_SFS_2014[[#This Row],[Nuclear]]/Capacity_Entsoe_SFS_2014[[#This Row],[Nuclear]]*10^6,0)</f>
        <v>0</v>
      </c>
      <c r="AB80" s="549">
        <f>IFERROR(Generation_Entsoe_SFS_2014[[#This Row],[Lignite]]/Capacity_Entsoe_SFS_2014[[#This Row],[Lignite]]*10^6,0)</f>
        <v>0</v>
      </c>
      <c r="AC80" s="549">
        <f>IFERROR(Generation_Entsoe_SFS_2014[[#This Row],[Hard coal]]/Capacity_Entsoe_SFS_2014[[#This Row],[Hard coal]]*10^6,0)</f>
        <v>6321.1845102505686</v>
      </c>
      <c r="AD80" s="549">
        <f>IFERROR(Generation_Entsoe_SFS_2014[[#This Row],[Fossil gases]]/Capacity_Entsoe_SFS_2014[[#This Row],[Fossil gases]]*10^6,0)</f>
        <v>1335.5946576213696</v>
      </c>
      <c r="AE80" s="549">
        <f>IFERROR(Generation_Entsoe_SFS_2014[[#This Row],[Other fossil fuels]]/Capacity_Entsoe_SFS_2014[[#This Row],[Other fossil fuels]]*10^6,0)</f>
        <v>543.47826086956536</v>
      </c>
      <c r="AF80" s="549">
        <f>IFERROR(Generation_Entsoe_SFS_2014[[#This Row],[Wind onshore]]/Capacity_Entsoe_SFS_2014[[#This Row],[Wind onshore]]*10^6,0)</f>
        <v>2599.1189427312775</v>
      </c>
      <c r="AG80" s="549">
        <f>IFERROR(Generation_Entsoe_SFS_2014[[#This Row],[Wind offshore]]/Capacity_Entsoe_SFS_2014[[#This Row],[Wind offshore]]*10^6,0)</f>
        <v>0</v>
      </c>
      <c r="AH80" s="549">
        <f>IFERROR(Generation_Entsoe_SFS_2014[[#This Row],[Solar PV]]/Capacity_Entsoe_SFS_2014[[#This Row],[Solar PV]]*10^6,0)</f>
        <v>1515.1515151515152</v>
      </c>
      <c r="AI80" s="555">
        <f>IFERROR(Generation_Entsoe_SFS_2014[[#This Row],[Bioenergy]]/Capacity_Entsoe_SFS_2014[[#This Row],[Bioenergy]]*10^6,0)</f>
        <v>14438.502673796791</v>
      </c>
      <c r="AJ80" s="549">
        <f>IFERROR(Generation_Entsoe_SFS_2014[[#This Row],[Other RES]]/Capacity_Entsoe_SFS_2014[[#This Row],[Other RES]]*10^6,0)</f>
        <v>0</v>
      </c>
      <c r="AK80" s="549">
        <f>IFERROR(Generation_Entsoe_SFS_2014[[#This Row],[Renewable Hydro]]/Capacity_Entsoe_SFS_2014[[#This Row],[Renewable Hydro]]*10^6,0)</f>
        <v>2691.7663617171006</v>
      </c>
      <c r="AL80" s="557">
        <f>IFERROR(Generation_Entsoe_SFS_2014[[#This Row],[Pumped Hydro]]/Capacity_Entsoe_SFS_2014[[#This Row],[Pumped Hydro]]*10^6,0)</f>
        <v>0</v>
      </c>
      <c r="AM80" s="549">
        <f>IFERROR(Generation_Entsoe_SFS_2014[[#This Row],[Other sources]]/Capacity_Entsoe_SFS_2014[[#This Row],[Other sources]]*10^6,0)</f>
        <v>0</v>
      </c>
      <c r="AP80" s="1"/>
      <c r="AQ80" s="1"/>
    </row>
    <row r="81" spans="1:44" x14ac:dyDescent="0.25">
      <c r="A81" s="366" t="str">
        <f t="shared" si="1"/>
        <v>RO</v>
      </c>
      <c r="B81" s="366">
        <f t="shared" si="72"/>
        <v>2014</v>
      </c>
      <c r="C81" s="366" t="str">
        <f t="shared" si="72"/>
        <v>TWh</v>
      </c>
      <c r="D81" s="144">
        <f t="shared" si="3"/>
        <v>10.7</v>
      </c>
      <c r="E81" s="144">
        <f t="shared" ref="E81:G81" si="75">F34</f>
        <v>13.3</v>
      </c>
      <c r="F81" s="167">
        <f t="shared" si="75"/>
        <v>2.5</v>
      </c>
      <c r="G81" s="167">
        <f t="shared" si="75"/>
        <v>2.7</v>
      </c>
      <c r="H81" s="422">
        <f t="shared" si="5"/>
        <v>4.5</v>
      </c>
      <c r="I81" s="167">
        <f t="shared" si="6"/>
        <v>6.1</v>
      </c>
      <c r="J81" s="144">
        <v>0</v>
      </c>
      <c r="K81" s="422">
        <f t="shared" ref="K81:M81" si="76">N34</f>
        <v>1.6</v>
      </c>
      <c r="L81" s="422">
        <f t="shared" si="76"/>
        <v>0.5</v>
      </c>
      <c r="M81" s="422">
        <f t="shared" si="76"/>
        <v>0</v>
      </c>
      <c r="N81" s="167">
        <f t="shared" si="8"/>
        <v>18.600000000000001</v>
      </c>
      <c r="O81" s="167">
        <f t="shared" si="47"/>
        <v>0</v>
      </c>
      <c r="P81" s="422">
        <f t="shared" si="15"/>
        <v>0</v>
      </c>
      <c r="Q81" s="167">
        <f t="shared" si="0"/>
        <v>60.500000000000007</v>
      </c>
      <c r="R81" s="167">
        <f>U38</f>
        <v>25.4</v>
      </c>
      <c r="S81" s="424">
        <f t="shared" si="11"/>
        <v>2.3818897637795278</v>
      </c>
      <c r="T81" s="516">
        <f>INDEX($A$4:$X$39,MATCH(Generation_Entsoe_SFS_2014[[#This Row],[Country]],$A$4:$A$39,0),MATCH(Generation_Entsoe_SFS_2014[[#Headers],[Consumption]],$A$2:$X$2,0))</f>
        <v>53.3</v>
      </c>
      <c r="U81" s="516">
        <f>INDEX($A$4:$X$39,MATCH(Generation_Entsoe_SFS_2014[[#This Row],[Country]],$A$4:$A$39,0),MATCH(Generation_Entsoe_SFS_2014[[#Headers],[Pumping]],$A$2:$X$2,0))</f>
        <v>0.3</v>
      </c>
      <c r="V81" s="516"/>
      <c r="W81" s="509"/>
      <c r="X81" s="544" t="str">
        <f t="shared" si="12"/>
        <v>RO</v>
      </c>
      <c r="Y81" s="544">
        <v>2015</v>
      </c>
      <c r="Z81" s="544" t="s">
        <v>648</v>
      </c>
      <c r="AA81" s="548">
        <f>IFERROR(Generation_Entsoe_SFS_2014[[#This Row],[Nuclear]]/Capacity_Entsoe_SFS_2014[[#This Row],[Nuclear]]*10^6,0)</f>
        <v>8230.7692307692305</v>
      </c>
      <c r="AB81" s="548">
        <f>IFERROR(Generation_Entsoe_SFS_2014[[#This Row],[Lignite]]/Capacity_Entsoe_SFS_2014[[#This Row],[Lignite]]*10^6,0)</f>
        <v>3248.6565705911089</v>
      </c>
      <c r="AC81" s="548">
        <f>IFERROR(Generation_Entsoe_SFS_2014[[#This Row],[Hard coal]]/Capacity_Entsoe_SFS_2014[[#This Row],[Hard coal]]*10^6,0)</f>
        <v>2177.7003484320558</v>
      </c>
      <c r="AD81" s="548">
        <f>IFERROR(Generation_Entsoe_SFS_2014[[#This Row],[Fossil gases]]/Capacity_Entsoe_SFS_2014[[#This Row],[Fossil gases]]*10^6,0)</f>
        <v>1129.7071129707113</v>
      </c>
      <c r="AE81" s="548">
        <f>IFERROR(Generation_Entsoe_SFS_2014[[#This Row],[Other fossil fuels]]/Capacity_Entsoe_SFS_2014[[#This Row],[Other fossil fuels]]*10^6,0)</f>
        <v>2611.72373766686</v>
      </c>
      <c r="AF81" s="548">
        <f>IFERROR(Generation_Entsoe_SFS_2014[[#This Row],[Wind onshore]]/Capacity_Entsoe_SFS_2014[[#This Row],[Wind onshore]]*10^6,0)</f>
        <v>2107.8092605390461</v>
      </c>
      <c r="AG81" s="548">
        <f>IFERROR(Generation_Entsoe_SFS_2014[[#This Row],[Wind offshore]]/Capacity_Entsoe_SFS_2014[[#This Row],[Wind offshore]]*10^6,0)</f>
        <v>0</v>
      </c>
      <c r="AH81" s="548">
        <f>IFERROR(Generation_Entsoe_SFS_2014[[#This Row],[Solar PV]]/Capacity_Entsoe_SFS_2014[[#This Row],[Solar PV]]*10^6,0)</f>
        <v>1376.9363166953528</v>
      </c>
      <c r="AI81" s="548">
        <f>IFERROR(Generation_Entsoe_SFS_2014[[#This Row],[Bioenergy]]/Capacity_Entsoe_SFS_2014[[#This Row],[Bioenergy]]*10^6,0)</f>
        <v>5319.1489361702124</v>
      </c>
      <c r="AJ81" s="548">
        <f>IFERROR(Generation_Entsoe_SFS_2014[[#This Row],[Other RES]]/Capacity_Entsoe_SFS_2014[[#This Row],[Other RES]]*10^6,0)</f>
        <v>0</v>
      </c>
      <c r="AK81" s="548">
        <f>IFERROR(Generation_Entsoe_SFS_2014[[#This Row],[Renewable Hydro]]/Capacity_Entsoe_SFS_2014[[#This Row],[Renewable Hydro]]*10^6,0)</f>
        <v>2937.4605180037902</v>
      </c>
      <c r="AL81" s="557">
        <f>IFERROR(Generation_Entsoe_SFS_2014[[#This Row],[Pumped Hydro]]/Capacity_Entsoe_SFS_2014[[#This Row],[Pumped Hydro]]*10^6,0)</f>
        <v>0</v>
      </c>
      <c r="AM81" s="548">
        <f>IFERROR(Generation_Entsoe_SFS_2014[[#This Row],[Other sources]]/Capacity_Entsoe_SFS_2014[[#This Row],[Other sources]]*10^6,0)</f>
        <v>0</v>
      </c>
      <c r="AP81" s="1"/>
      <c r="AQ81" s="1"/>
    </row>
    <row r="82" spans="1:44" x14ac:dyDescent="0.25">
      <c r="A82" s="366" t="str">
        <f t="shared" si="1"/>
        <v>RS</v>
      </c>
      <c r="B82" s="366">
        <f>B5</f>
        <v>2014</v>
      </c>
      <c r="C82" s="366" t="str">
        <f>C5</f>
        <v>TWh</v>
      </c>
      <c r="D82" s="144">
        <f t="shared" si="3"/>
        <v>0</v>
      </c>
      <c r="E82" s="144">
        <f t="shared" ref="E82:G82" si="77">F35</f>
        <v>25.3</v>
      </c>
      <c r="F82" s="167">
        <f t="shared" si="77"/>
        <v>0</v>
      </c>
      <c r="G82" s="167">
        <f t="shared" si="77"/>
        <v>0.1</v>
      </c>
      <c r="H82" s="422">
        <f t="shared" si="5"/>
        <v>0</v>
      </c>
      <c r="I82" s="167">
        <f t="shared" si="6"/>
        <v>0</v>
      </c>
      <c r="J82" s="144">
        <v>0</v>
      </c>
      <c r="K82" s="422">
        <f t="shared" ref="K82:M82" si="78">N35</f>
        <v>0</v>
      </c>
      <c r="L82" s="422">
        <f t="shared" si="78"/>
        <v>0</v>
      </c>
      <c r="M82" s="422">
        <f t="shared" si="78"/>
        <v>0</v>
      </c>
      <c r="N82" s="167">
        <f t="shared" si="8"/>
        <v>10.9</v>
      </c>
      <c r="O82" s="167">
        <f t="shared" si="47"/>
        <v>0.6</v>
      </c>
      <c r="P82" s="422">
        <f t="shared" si="15"/>
        <v>0</v>
      </c>
      <c r="Q82" s="167">
        <f t="shared" si="0"/>
        <v>36.900000000000006</v>
      </c>
      <c r="R82" s="167">
        <f>U5</f>
        <v>14.5</v>
      </c>
      <c r="S82" s="424">
        <f>Q82/R82</f>
        <v>2.544827586206897</v>
      </c>
      <c r="T82" s="516">
        <f>INDEX($A$4:$X$39,MATCH(Generation_Entsoe_SFS_2014[[#This Row],[Country]],$A$4:$A$39,0),MATCH(Generation_Entsoe_SFS_2014[[#Headers],[Consumption]],$A$2:$X$2,0))</f>
        <v>38.200000000000003</v>
      </c>
      <c r="U82" s="516">
        <f>INDEX($A$4:$X$39,MATCH(Generation_Entsoe_SFS_2014[[#This Row],[Country]],$A$4:$A$39,0),MATCH(Generation_Entsoe_SFS_2014[[#Headers],[Pumping]],$A$2:$X$2,0))</f>
        <v>0.9</v>
      </c>
      <c r="V82" s="516"/>
      <c r="W82" s="509"/>
      <c r="X82" s="544" t="str">
        <f t="shared" si="12"/>
        <v>RS</v>
      </c>
      <c r="Y82" s="544">
        <v>2015</v>
      </c>
      <c r="Z82" s="544" t="s">
        <v>648</v>
      </c>
      <c r="AA82" s="549">
        <f>IFERROR(Generation_Entsoe_SFS_2014[[#This Row],[Nuclear]]/Capacity_Entsoe_SFS_2014[[#This Row],[Nuclear]]*10^6,0)</f>
        <v>0</v>
      </c>
      <c r="AB82" s="549">
        <f>IFERROR(Generation_Entsoe_SFS_2014[[#This Row],[Lignite]]/Capacity_Entsoe_SFS_2014[[#This Row],[Lignite]]*10^6,0)</f>
        <v>4807.1442143264303</v>
      </c>
      <c r="AC82" s="549">
        <f>IFERROR(Generation_Entsoe_SFS_2014[[#This Row],[Hard coal]]/Capacity_Entsoe_SFS_2014[[#This Row],[Hard coal]]*10^6,0)</f>
        <v>0</v>
      </c>
      <c r="AD82" s="549">
        <f>IFERROR(Generation_Entsoe_SFS_2014[[#This Row],[Fossil gases]]/Capacity_Entsoe_SFS_2014[[#This Row],[Fossil gases]]*10^6,0)</f>
        <v>0</v>
      </c>
      <c r="AE82" s="549">
        <f>IFERROR(Generation_Entsoe_SFS_2014[[#This Row],[Other fossil fuels]]/Capacity_Entsoe_SFS_2014[[#This Row],[Other fossil fuels]]*10^6,0)</f>
        <v>0</v>
      </c>
      <c r="AF82" s="549">
        <f>IFERROR(Generation_Entsoe_SFS_2014[[#This Row],[Wind onshore]]/Capacity_Entsoe_SFS_2014[[#This Row],[Wind onshore]]*10^6,0)</f>
        <v>0</v>
      </c>
      <c r="AG82" s="549">
        <f>IFERROR(Generation_Entsoe_SFS_2014[[#This Row],[Wind offshore]]/Capacity_Entsoe_SFS_2014[[#This Row],[Wind offshore]]*10^6,0)</f>
        <v>0</v>
      </c>
      <c r="AH82" s="549">
        <f>IFERROR(Generation_Entsoe_SFS_2014[[#This Row],[Solar PV]]/Capacity_Entsoe_SFS_2014[[#This Row],[Solar PV]]*10^6,0)</f>
        <v>0</v>
      </c>
      <c r="AI82" s="549">
        <f>IFERROR(Generation_Entsoe_SFS_2014[[#This Row],[Bioenergy]]/Capacity_Entsoe_SFS_2014[[#This Row],[Bioenergy]]*10^6,0)</f>
        <v>0</v>
      </c>
      <c r="AJ82" s="549">
        <f>IFERROR(Generation_Entsoe_SFS_2014[[#This Row],[Other RES]]/Capacity_Entsoe_SFS_2014[[#This Row],[Other RES]]*10^6,0)</f>
        <v>0</v>
      </c>
      <c r="AK82" s="549">
        <f>IFERROR(Generation_Entsoe_SFS_2014[[#This Row],[Renewable Hydro]]/Capacity_Entsoe_SFS_2014[[#This Row],[Renewable Hydro]]*10^6,0)</f>
        <v>4599.1561181434599</v>
      </c>
      <c r="AL82" s="557">
        <f>IFERROR(Generation_Entsoe_SFS_2014[[#This Row],[Pumped Hydro]]/Capacity_Entsoe_SFS_2014[[#This Row],[Pumped Hydro]]*10^6,0)</f>
        <v>967.74193548387098</v>
      </c>
      <c r="AM82" s="549">
        <f>IFERROR(Generation_Entsoe_SFS_2014[[#This Row],[Other sources]]/Capacity_Entsoe_SFS_2014[[#This Row],[Other sources]]*10^6,0)</f>
        <v>0</v>
      </c>
      <c r="AP82" s="1"/>
      <c r="AQ82" s="1"/>
    </row>
    <row r="83" spans="1:44" x14ac:dyDescent="0.25">
      <c r="A83" s="366" t="str">
        <f t="shared" si="1"/>
        <v>SE</v>
      </c>
      <c r="B83" s="366">
        <f t="shared" ref="B83:C84" si="79">B27</f>
        <v>2014</v>
      </c>
      <c r="C83" s="366" t="str">
        <f t="shared" si="79"/>
        <v>TWh</v>
      </c>
      <c r="D83" s="144">
        <f t="shared" si="3"/>
        <v>62.2</v>
      </c>
      <c r="E83" s="144">
        <f t="shared" ref="E83:G83" si="80">F36</f>
        <v>0</v>
      </c>
      <c r="F83" s="167">
        <f t="shared" si="80"/>
        <v>0.5</v>
      </c>
      <c r="G83" s="167">
        <f t="shared" si="80"/>
        <v>0.9</v>
      </c>
      <c r="H83" s="422">
        <f t="shared" si="5"/>
        <v>2.1</v>
      </c>
      <c r="I83" s="167">
        <f t="shared" si="6"/>
        <v>11.5</v>
      </c>
      <c r="J83" s="144">
        <v>0</v>
      </c>
      <c r="K83" s="422">
        <f t="shared" ref="K83:M83" si="81">N36</f>
        <v>0</v>
      </c>
      <c r="L83" s="422">
        <f t="shared" si="81"/>
        <v>9.8000000000000007</v>
      </c>
      <c r="M83" s="422">
        <f t="shared" si="81"/>
        <v>0</v>
      </c>
      <c r="N83" s="167">
        <f t="shared" si="8"/>
        <v>64.2</v>
      </c>
      <c r="O83" s="167">
        <f t="shared" si="47"/>
        <v>0</v>
      </c>
      <c r="P83" s="422">
        <f t="shared" si="15"/>
        <v>0</v>
      </c>
      <c r="Q83" s="167">
        <f t="shared" si="0"/>
        <v>151.19999999999999</v>
      </c>
      <c r="R83" s="167">
        <f>U27</f>
        <v>4.0999999999999996</v>
      </c>
      <c r="S83" s="424">
        <f>Q83/R83</f>
        <v>36.878048780487802</v>
      </c>
      <c r="T83" s="516">
        <f>INDEX($A$4:$X$39,MATCH(Generation_Entsoe_SFS_2014[[#This Row],[Country]],$A$4:$A$39,0),MATCH(Generation_Entsoe_SFS_2014[[#Headers],[Consumption]],$A$2:$X$2,0))</f>
        <v>135.6</v>
      </c>
      <c r="U83" s="516">
        <f>INDEX($A$4:$X$39,MATCH(Generation_Entsoe_SFS_2014[[#This Row],[Country]],$A$4:$A$39,0),MATCH(Generation_Entsoe_SFS_2014[[#Headers],[Pumping]],$A$2:$X$2,0))</f>
        <v>0</v>
      </c>
      <c r="V83" s="516"/>
      <c r="W83" s="509"/>
      <c r="X83" s="544" t="str">
        <f t="shared" si="12"/>
        <v>SE</v>
      </c>
      <c r="Y83" s="544">
        <v>2015</v>
      </c>
      <c r="Z83" s="544" t="s">
        <v>648</v>
      </c>
      <c r="AA83" s="548">
        <f>IFERROR(Generation_Entsoe_SFS_2014[[#This Row],[Nuclear]]/Capacity_Entsoe_SFS_2014[[#This Row],[Nuclear]]*10^6,0)</f>
        <v>6528.1276238455084</v>
      </c>
      <c r="AB83" s="548">
        <f>IFERROR(Generation_Entsoe_SFS_2014[[#This Row],[Lignite]]/Capacity_Entsoe_SFS_2014[[#This Row],[Lignite]]*10^6,0)</f>
        <v>0</v>
      </c>
      <c r="AC83" s="548">
        <f>IFERROR(Generation_Entsoe_SFS_2014[[#This Row],[Hard coal]]/Capacity_Entsoe_SFS_2014[[#This Row],[Hard coal]]*10^6,0)</f>
        <v>2222.2222222222222</v>
      </c>
      <c r="AD83" s="548">
        <f>IFERROR(Generation_Entsoe_SFS_2014[[#This Row],[Fossil gases]]/Capacity_Entsoe_SFS_2014[[#This Row],[Fossil gases]]*10^6,0)</f>
        <v>1023.8907849829352</v>
      </c>
      <c r="AE83" s="548">
        <f>IFERROR(Generation_Entsoe_SFS_2014[[#This Row],[Other fossil fuels]]/Capacity_Entsoe_SFS_2014[[#This Row],[Other fossil fuels]]*10^6,0)</f>
        <v>502.27218368811288</v>
      </c>
      <c r="AF83" s="548">
        <f>IFERROR(Generation_Entsoe_SFS_2014[[#This Row],[Wind onshore]]/Capacity_Entsoe_SFS_2014[[#This Row],[Wind onshore]]*10^6,0)</f>
        <v>2121.7712177121771</v>
      </c>
      <c r="AG83" s="548">
        <f>IFERROR(Generation_Entsoe_SFS_2014[[#This Row],[Wind offshore]]/Capacity_Entsoe_SFS_2014[[#This Row],[Wind offshore]]*10^6,0)</f>
        <v>0</v>
      </c>
      <c r="AH83" s="548">
        <f>IFERROR(Generation_Entsoe_SFS_2014[[#This Row],[Solar PV]]/Capacity_Entsoe_SFS_2014[[#This Row],[Solar PV]]*10^6,0)</f>
        <v>0</v>
      </c>
      <c r="AI83" s="548">
        <f>IFERROR(Generation_Entsoe_SFS_2014[[#This Row],[Bioenergy]]/Capacity_Entsoe_SFS_2014[[#This Row],[Bioenergy]]*10^6,0)</f>
        <v>3179.7534068786504</v>
      </c>
      <c r="AJ83" s="548">
        <f>IFERROR(Generation_Entsoe_SFS_2014[[#This Row],[Other RES]]/Capacity_Entsoe_SFS_2014[[#This Row],[Other RES]]*10^6,0)</f>
        <v>0</v>
      </c>
      <c r="AK83" s="548">
        <f>IFERROR(Generation_Entsoe_SFS_2014[[#This Row],[Renewable Hydro]]/Capacity_Entsoe_SFS_2014[[#This Row],[Renewable Hydro]]*10^6,0)</f>
        <v>3974.0018570102143</v>
      </c>
      <c r="AL83" s="557">
        <f>IFERROR(Generation_Entsoe_SFS_2014[[#This Row],[Pumped Hydro]]/Capacity_Entsoe_SFS_2014[[#This Row],[Pumped Hydro]]*10^6,0)</f>
        <v>0</v>
      </c>
      <c r="AM83" s="548">
        <f>IFERROR(Generation_Entsoe_SFS_2014[[#This Row],[Other sources]]/Capacity_Entsoe_SFS_2014[[#This Row],[Other sources]]*10^6,0)</f>
        <v>0</v>
      </c>
      <c r="AP83" s="1"/>
      <c r="AQ83" s="1"/>
    </row>
    <row r="84" spans="1:44" x14ac:dyDescent="0.25">
      <c r="A84" s="366" t="str">
        <f t="shared" si="1"/>
        <v>SI</v>
      </c>
      <c r="B84" s="366">
        <f t="shared" si="79"/>
        <v>2014</v>
      </c>
      <c r="C84" s="366" t="str">
        <f t="shared" si="79"/>
        <v>TWh</v>
      </c>
      <c r="D84" s="144">
        <f t="shared" si="3"/>
        <v>6.1</v>
      </c>
      <c r="E84" s="144">
        <f t="shared" ref="E84:G84" si="82">F37</f>
        <v>2.8</v>
      </c>
      <c r="F84" s="167">
        <f t="shared" si="82"/>
        <v>0.5</v>
      </c>
      <c r="G84" s="167">
        <f t="shared" si="82"/>
        <v>0.01</v>
      </c>
      <c r="H84" s="422">
        <f t="shared" si="5"/>
        <v>0.1</v>
      </c>
      <c r="I84" s="167">
        <f t="shared" si="6"/>
        <v>2E-3</v>
      </c>
      <c r="J84" s="144">
        <v>0</v>
      </c>
      <c r="K84" s="422">
        <f t="shared" ref="K84:M84" si="83">N37</f>
        <v>0.2</v>
      </c>
      <c r="L84" s="422">
        <f t="shared" si="83"/>
        <v>0.1</v>
      </c>
      <c r="M84" s="422">
        <f t="shared" si="83"/>
        <v>0.1</v>
      </c>
      <c r="N84" s="167">
        <f t="shared" si="8"/>
        <v>6</v>
      </c>
      <c r="O84" s="167">
        <f t="shared" si="47"/>
        <v>0.3</v>
      </c>
      <c r="P84" s="422">
        <f t="shared" si="15"/>
        <v>0.1</v>
      </c>
      <c r="Q84" s="167">
        <f t="shared" si="0"/>
        <v>16.311999999999998</v>
      </c>
      <c r="R84" s="167">
        <f>U28</f>
        <v>4.9000000000000004</v>
      </c>
      <c r="S84" s="424">
        <f>Q84/R84</f>
        <v>3.3289795918367338</v>
      </c>
      <c r="T84" s="516">
        <f>INDEX($A$4:$X$39,MATCH(Generation_Entsoe_SFS_2014[[#This Row],[Country]],$A$4:$A$39,0),MATCH(Generation_Entsoe_SFS_2014[[#Headers],[Consumption]],$A$2:$X$2,0))</f>
        <v>13.2</v>
      </c>
      <c r="U84" s="516">
        <f>INDEX($A$4:$X$39,MATCH(Generation_Entsoe_SFS_2014[[#This Row],[Country]],$A$4:$A$39,0),MATCH(Generation_Entsoe_SFS_2014[[#Headers],[Pumping]],$A$2:$X$2,0))</f>
        <v>0.4</v>
      </c>
      <c r="V84" s="516"/>
      <c r="W84" s="509"/>
      <c r="X84" s="544" t="str">
        <f t="shared" si="12"/>
        <v>SI</v>
      </c>
      <c r="Y84" s="544">
        <v>2015</v>
      </c>
      <c r="Z84" s="544" t="s">
        <v>648</v>
      </c>
      <c r="AA84" s="549">
        <f>IFERROR(Generation_Entsoe_SFS_2014[[#This Row],[Nuclear]]/Capacity_Entsoe_SFS_2014[[#This Row],[Nuclear]]*10^6,0)</f>
        <v>8764.3678160919535</v>
      </c>
      <c r="AB84" s="549">
        <f>IFERROR(Generation_Entsoe_SFS_2014[[#This Row],[Lignite]]/Capacity_Entsoe_SFS_2014[[#This Row],[Lignite]]*10^6,0)</f>
        <v>5063.2911392405067</v>
      </c>
      <c r="AC84" s="549">
        <f>IFERROR(Generation_Entsoe_SFS_2014[[#This Row],[Hard coal]]/Capacity_Entsoe_SFS_2014[[#This Row],[Hard coal]]*10^6,0)</f>
        <v>2252.2522522522522</v>
      </c>
      <c r="AD84" s="549">
        <f>IFERROR(Generation_Entsoe_SFS_2014[[#This Row],[Fossil gases]]/Capacity_Entsoe_SFS_2014[[#This Row],[Fossil gases]]*10^6,0)</f>
        <v>119.04761904761905</v>
      </c>
      <c r="AE84" s="549">
        <f>IFERROR(Generation_Entsoe_SFS_2014[[#This Row],[Other fossil fuels]]/Capacity_Entsoe_SFS_2014[[#This Row],[Other fossil fuels]]*10^6,0)</f>
        <v>281.69014084507046</v>
      </c>
      <c r="AF84" s="549">
        <f>IFERROR(Generation_Entsoe_SFS_2014[[#This Row],[Wind onshore]]/Capacity_Entsoe_SFS_2014[[#This Row],[Wind onshore]]*10^6,0)</f>
        <v>1000</v>
      </c>
      <c r="AG84" s="549">
        <f>IFERROR(Generation_Entsoe_SFS_2014[[#This Row],[Wind offshore]]/Capacity_Entsoe_SFS_2014[[#This Row],[Wind offshore]]*10^6,0)</f>
        <v>0</v>
      </c>
      <c r="AH84" s="549">
        <f>IFERROR(Generation_Entsoe_SFS_2014[[#This Row],[Solar PV]]/Capacity_Entsoe_SFS_2014[[#This Row],[Solar PV]]*10^6,0)</f>
        <v>769.23076923076928</v>
      </c>
      <c r="AI84" s="549">
        <f>IFERROR(Generation_Entsoe_SFS_2014[[#This Row],[Bioenergy]]/Capacity_Entsoe_SFS_2014[[#This Row],[Bioenergy]]*10^6,0)</f>
        <v>2500</v>
      </c>
      <c r="AJ84" s="549">
        <f>IFERROR(Generation_Entsoe_SFS_2014[[#This Row],[Other RES]]/Capacity_Entsoe_SFS_2014[[#This Row],[Other RES]]*10^6,0)</f>
        <v>0</v>
      </c>
      <c r="AK84" s="549">
        <f>IFERROR(Generation_Entsoe_SFS_2014[[#This Row],[Renewable Hydro]]/Capacity_Entsoe_SFS_2014[[#This Row],[Renewable Hydro]]*10^6,0)</f>
        <v>5633.8028169014087</v>
      </c>
      <c r="AL84" s="557">
        <f>IFERROR(Generation_Entsoe_SFS_2014[[#This Row],[Pumped Hydro]]/Capacity_Entsoe_SFS_2014[[#This Row],[Pumped Hydro]]*10^6,0)</f>
        <v>1666.6666666666665</v>
      </c>
      <c r="AM84" s="549">
        <f>IFERROR(Generation_Entsoe_SFS_2014[[#This Row],[Other sources]]/Capacity_Entsoe_SFS_2014[[#This Row],[Other sources]]*10^6,0)</f>
        <v>0</v>
      </c>
      <c r="AP84" s="1"/>
      <c r="AQ84" s="1"/>
    </row>
    <row r="85" spans="1:44" x14ac:dyDescent="0.25">
      <c r="A85" s="366" t="str">
        <f t="shared" si="1"/>
        <v>SK</v>
      </c>
      <c r="B85" s="366">
        <f>B35</f>
        <v>2014</v>
      </c>
      <c r="C85" s="366" t="str">
        <f>C35</f>
        <v>TWh</v>
      </c>
      <c r="D85" s="144">
        <f t="shared" si="3"/>
        <v>14.5</v>
      </c>
      <c r="E85" s="144">
        <f t="shared" ref="E85:G85" si="84">F38</f>
        <v>1.7</v>
      </c>
      <c r="F85" s="167">
        <f t="shared" si="84"/>
        <v>1</v>
      </c>
      <c r="G85" s="167">
        <f t="shared" si="84"/>
        <v>1.7</v>
      </c>
      <c r="H85" s="422">
        <f t="shared" si="5"/>
        <v>0.2</v>
      </c>
      <c r="I85" s="167">
        <f t="shared" si="6"/>
        <v>0.01</v>
      </c>
      <c r="J85" s="144">
        <v>0</v>
      </c>
      <c r="K85" s="422">
        <f t="shared" ref="K85:M85" si="85">N38</f>
        <v>0.5</v>
      </c>
      <c r="L85" s="422">
        <f t="shared" si="85"/>
        <v>0.9</v>
      </c>
      <c r="M85" s="422">
        <f t="shared" si="85"/>
        <v>0.3</v>
      </c>
      <c r="N85" s="167">
        <f t="shared" si="8"/>
        <v>4.3</v>
      </c>
      <c r="O85" s="167">
        <f t="shared" si="47"/>
        <v>0.2</v>
      </c>
      <c r="P85" s="422">
        <f t="shared" si="15"/>
        <v>0.1</v>
      </c>
      <c r="Q85" s="167">
        <f t="shared" si="0"/>
        <v>25.41</v>
      </c>
      <c r="R85" s="167">
        <f>U35</f>
        <v>36.799999999999997</v>
      </c>
      <c r="S85" s="424">
        <f>Q85/R85</f>
        <v>0.69048913043478266</v>
      </c>
      <c r="T85" s="516">
        <f>INDEX($A$4:$X$39,MATCH(Generation_Entsoe_SFS_2014[[#This Row],[Country]],$A$4:$A$39,0),MATCH(Generation_Entsoe_SFS_2014[[#Headers],[Consumption]],$A$2:$X$2,0))</f>
        <v>26.1</v>
      </c>
      <c r="U85" s="516">
        <f>INDEX($A$4:$X$39,MATCH(Generation_Entsoe_SFS_2014[[#This Row],[Country]],$A$4:$A$39,0),MATCH(Generation_Entsoe_SFS_2014[[#Headers],[Pumping]],$A$2:$X$2,0))</f>
        <v>0.3</v>
      </c>
      <c r="V85" s="516"/>
      <c r="W85" s="509"/>
      <c r="X85" s="544" t="str">
        <f t="shared" si="12"/>
        <v>SK</v>
      </c>
      <c r="Y85" s="544">
        <v>2015</v>
      </c>
      <c r="Z85" s="544" t="s">
        <v>648</v>
      </c>
      <c r="AA85" s="548">
        <f>IFERROR(Generation_Entsoe_SFS_2014[[#This Row],[Nuclear]]/Capacity_Entsoe_SFS_2014[[#This Row],[Nuclear]]*10^6,0)</f>
        <v>7474.2268041237121</v>
      </c>
      <c r="AB85" s="548">
        <f>IFERROR(Generation_Entsoe_SFS_2014[[#This Row],[Lignite]]/Capacity_Entsoe_SFS_2014[[#This Row],[Lignite]]*10^6,0)</f>
        <v>2992.9577464788731</v>
      </c>
      <c r="AC85" s="548">
        <f>IFERROR(Generation_Entsoe_SFS_2014[[#This Row],[Hard coal]]/Capacity_Entsoe_SFS_2014[[#This Row],[Hard coal]]*10^6,0)</f>
        <v>2272.7272727272725</v>
      </c>
      <c r="AD85" s="548">
        <f>IFERROR(Generation_Entsoe_SFS_2014[[#This Row],[Fossil gases]]/Capacity_Entsoe_SFS_2014[[#This Row],[Fossil gases]]*10^6,0)</f>
        <v>1579.9256505576209</v>
      </c>
      <c r="AE85" s="548">
        <f>IFERROR(Generation_Entsoe_SFS_2014[[#This Row],[Other fossil fuels]]/Capacity_Entsoe_SFS_2014[[#This Row],[Other fossil fuels]]*10^6,0)</f>
        <v>328.9473684210526</v>
      </c>
      <c r="AF85" s="548">
        <f>IFERROR(Generation_Entsoe_SFS_2014[[#This Row],[Wind onshore]]/Capacity_Entsoe_SFS_2014[[#This Row],[Wind onshore]]*10^6,0)</f>
        <v>3333.3333333333335</v>
      </c>
      <c r="AG85" s="548">
        <f>IFERROR(Generation_Entsoe_SFS_2014[[#This Row],[Wind offshore]]/Capacity_Entsoe_SFS_2014[[#This Row],[Wind offshore]]*10^6,0)</f>
        <v>0</v>
      </c>
      <c r="AH85" s="548">
        <f>IFERROR(Generation_Entsoe_SFS_2014[[#This Row],[Solar PV]]/Capacity_Entsoe_SFS_2014[[#This Row],[Solar PV]]*10^6,0)</f>
        <v>941.61958568738225</v>
      </c>
      <c r="AI85" s="548">
        <f>IFERROR(Generation_Entsoe_SFS_2014[[#This Row],[Bioenergy]]/Capacity_Entsoe_SFS_2014[[#This Row],[Bioenergy]]*10^6,0)</f>
        <v>3543.3070866141734</v>
      </c>
      <c r="AJ85" s="548">
        <f>IFERROR(Generation_Entsoe_SFS_2014[[#This Row],[Other RES]]/Capacity_Entsoe_SFS_2014[[#This Row],[Other RES]]*10^6,0)</f>
        <v>2500</v>
      </c>
      <c r="AK85" s="548">
        <f>IFERROR(Generation_Entsoe_SFS_2014[[#This Row],[Renewable Hydro]]/Capacity_Entsoe_SFS_2014[[#This Row],[Renewable Hydro]]*10^6,0)</f>
        <v>2655.9604694255709</v>
      </c>
      <c r="AL85" s="557">
        <f>IFERROR(Generation_Entsoe_SFS_2014[[#This Row],[Pumped Hydro]]/Capacity_Entsoe_SFS_2014[[#This Row],[Pumped Hydro]]*10^6,0)</f>
        <v>218.10250817884409</v>
      </c>
      <c r="AM85" s="548">
        <f>IFERROR(Generation_Entsoe_SFS_2014[[#This Row],[Other sources]]/Capacity_Entsoe_SFS_2014[[#This Row],[Other sources]]*10^6,0)</f>
        <v>0</v>
      </c>
      <c r="AP85" s="1"/>
      <c r="AQ85" s="1"/>
    </row>
    <row r="86" spans="1:44" ht="13.5" customHeight="1" x14ac:dyDescent="0.25">
      <c r="A86" s="366" t="str">
        <f t="shared" si="1"/>
        <v>ENTSO-E</v>
      </c>
      <c r="B86" s="520">
        <f>B39</f>
        <v>2014</v>
      </c>
      <c r="C86" s="520" t="str">
        <f>C39</f>
        <v>TWh</v>
      </c>
      <c r="D86" s="144">
        <f t="shared" si="3"/>
        <v>859</v>
      </c>
      <c r="E86" s="144">
        <f t="shared" ref="E86:G86" si="86">F39</f>
        <v>338.4</v>
      </c>
      <c r="F86" s="167">
        <f t="shared" si="86"/>
        <v>413.9</v>
      </c>
      <c r="G86" s="167">
        <f t="shared" si="86"/>
        <v>365.5</v>
      </c>
      <c r="H86" s="422">
        <f t="shared" si="5"/>
        <v>182.5</v>
      </c>
      <c r="I86" s="167">
        <f t="shared" si="6"/>
        <v>240</v>
      </c>
      <c r="J86" s="144">
        <v>0</v>
      </c>
      <c r="K86" s="422">
        <f t="shared" ref="K86:M86" si="87">N39</f>
        <v>90.9</v>
      </c>
      <c r="L86" s="422">
        <f t="shared" si="87"/>
        <v>102.7</v>
      </c>
      <c r="M86" s="422">
        <f t="shared" si="87"/>
        <v>19.899999999999999</v>
      </c>
      <c r="N86" s="167">
        <f t="shared" si="8"/>
        <v>523.29999999999995</v>
      </c>
      <c r="O86" s="167">
        <f t="shared" si="47"/>
        <v>79.7</v>
      </c>
      <c r="P86" s="422">
        <f t="shared" si="15"/>
        <v>9.6999999999999993</v>
      </c>
      <c r="Q86" s="521">
        <f t="shared" si="0"/>
        <v>3225.5</v>
      </c>
      <c r="R86" s="521">
        <f>U39</f>
        <v>3310.4</v>
      </c>
      <c r="S86" s="519">
        <f>Q86/R86</f>
        <v>0.97435355244079258</v>
      </c>
      <c r="T86" s="516">
        <f>INDEX($A$4:$X$39,MATCH(Generation_Entsoe_SFS_2014[[#This Row],[Country]],$A$4:$A$39,0),MATCH(Generation_Entsoe_SFS_2014[[#Headers],[Consumption]],$A$2:$X$2,0))</f>
        <v>3210.5</v>
      </c>
      <c r="U86" s="516">
        <f>INDEX($A$4:$X$39,MATCH(Generation_Entsoe_SFS_2014[[#This Row],[Country]],$A$4:$A$39,0),MATCH(Generation_Entsoe_SFS_2014[[#Headers],[Pumping]],$A$2:$X$2,0))</f>
        <v>47.6</v>
      </c>
      <c r="V86" s="521"/>
      <c r="X86" s="544" t="str">
        <f t="shared" si="12"/>
        <v>ENTSO-E</v>
      </c>
      <c r="Y86" s="544">
        <v>2015</v>
      </c>
      <c r="Z86" s="544" t="s">
        <v>648</v>
      </c>
      <c r="AA86" s="549">
        <f>IFERROR(Generation_Entsoe_SFS_2014[[#This Row],[Nuclear]]/Capacity_Entsoe_SFS_2014[[#This Row],[Nuclear]]*10^6,0)</f>
        <v>6780.5975450921578</v>
      </c>
      <c r="AB86" s="549">
        <f>IFERROR(Generation_Entsoe_SFS_2014[[#This Row],[Lignite]]/Capacity_Entsoe_SFS_2014[[#This Row],[Lignite]]*10^6,0)</f>
        <v>6322.161192691402</v>
      </c>
      <c r="AC86" s="549">
        <f>IFERROR(Generation_Entsoe_SFS_2014[[#This Row],[Hard coal]]/Capacity_Entsoe_SFS_2014[[#This Row],[Hard coal]]*10^6,0)</f>
        <v>3607.6004532380366</v>
      </c>
      <c r="AD86" s="549">
        <f>IFERROR(Generation_Entsoe_SFS_2014[[#This Row],[Fossil gases]]/Capacity_Entsoe_SFS_2014[[#This Row],[Fossil gases]]*10^6,0)</f>
        <v>1772.9980402429323</v>
      </c>
      <c r="AE86" s="549">
        <f>IFERROR(Generation_Entsoe_SFS_2014[[#This Row],[Other fossil fuels]]/Capacity_Entsoe_SFS_2014[[#This Row],[Other fossil fuels]]*10^6,0)</f>
        <v>2049.7557140450381</v>
      </c>
      <c r="AF86" s="549">
        <f>IFERROR(Generation_Entsoe_SFS_2014[[#This Row],[Wind onshore]]/Capacity_Entsoe_SFS_2014[[#This Row],[Wind onshore]]*10^6,0)</f>
        <v>1990.4458598726114</v>
      </c>
      <c r="AG86" s="549">
        <f>IFERROR(Generation_Entsoe_SFS_2014[[#This Row],[Wind offshore]]/Capacity_Entsoe_SFS_2014[[#This Row],[Wind offshore]]*10^6,0)</f>
        <v>0</v>
      </c>
      <c r="AH86" s="549">
        <f>IFERROR(Generation_Entsoe_SFS_2014[[#This Row],[Solar PV]]/Capacity_Entsoe_SFS_2014[[#This Row],[Solar PV]]*10^6,0)</f>
        <v>1103.8385408444547</v>
      </c>
      <c r="AI86" s="549">
        <f>IFERROR(Generation_Entsoe_SFS_2014[[#This Row],[Bioenergy]]/Capacity_Entsoe_SFS_2014[[#This Row],[Bioenergy]]*10^6,0)</f>
        <v>4263.0027811215805</v>
      </c>
      <c r="AJ86" s="555">
        <f>IFERROR(Generation_Entsoe_SFS_2014[[#This Row],[Other RES]]/Capacity_Entsoe_SFS_2014[[#This Row],[Other RES]]*10^6,0)</f>
        <v>9476.1904761904752</v>
      </c>
      <c r="AK86" s="549">
        <f>IFERROR(Generation_Entsoe_SFS_2014[[#This Row],[Renewable Hydro]]/Capacity_Entsoe_SFS_2014[[#This Row],[Renewable Hydro]]*10^6,0)</f>
        <v>3447.2536593720765</v>
      </c>
      <c r="AL86" s="557">
        <f>IFERROR(Generation_Entsoe_SFS_2014[[#This Row],[Pumped Hydro]]/Capacity_Entsoe_SFS_2014[[#This Row],[Pumped Hydro]]*10^6,0)</f>
        <v>1581.1609729000515</v>
      </c>
      <c r="AM86" s="549">
        <f>IFERROR(Generation_Entsoe_SFS_2014[[#This Row],[Other sources]]/Capacity_Entsoe_SFS_2014[[#This Row],[Other sources]]*10^6,0)</f>
        <v>4679.2088760250836</v>
      </c>
      <c r="AP86" s="1"/>
      <c r="AQ86" s="1"/>
      <c r="AR86" s="1"/>
    </row>
  </sheetData>
  <mergeCells count="2">
    <mergeCell ref="W1:Y1"/>
    <mergeCell ref="A1:N1"/>
  </mergeCell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tabColor theme="7"/>
  </sheetPr>
  <dimension ref="A1:AP86"/>
  <sheetViews>
    <sheetView topLeftCell="A38" zoomScale="85" zoomScaleNormal="85" workbookViewId="0">
      <selection activeCell="U51" sqref="U51:U86"/>
    </sheetView>
  </sheetViews>
  <sheetFormatPr baseColWidth="10" defaultColWidth="11.42578125" defaultRowHeight="12.75" x14ac:dyDescent="0.25"/>
  <cols>
    <col min="1" max="6" width="11.42578125" style="1"/>
    <col min="7" max="7" width="13.28515625" style="1" customWidth="1"/>
    <col min="8" max="8" width="17" style="1" customWidth="1"/>
    <col min="9" max="9" width="14.28515625" style="1" customWidth="1"/>
    <col min="10" max="10" width="14.42578125" style="1" customWidth="1"/>
    <col min="11" max="13" width="11.42578125" style="1"/>
    <col min="14" max="14" width="20.5703125" style="1" customWidth="1"/>
    <col min="15" max="15" width="16.85546875" style="1" customWidth="1"/>
    <col min="16" max="16" width="14.7109375" style="1" customWidth="1"/>
    <col min="17" max="18" width="11.42578125" style="1"/>
    <col min="19" max="19" width="17.42578125" style="1" customWidth="1"/>
    <col min="20" max="21" width="11.42578125" style="1"/>
    <col min="22" max="22" width="11.5703125" style="1" customWidth="1"/>
    <col min="23" max="26" width="11.42578125" style="1"/>
    <col min="27" max="27" width="12.28515625" style="1" customWidth="1"/>
    <col min="28" max="28" width="15.140625" style="1" customWidth="1"/>
    <col min="29" max="29" width="19.5703125" style="1" customWidth="1"/>
    <col min="30" max="30" width="16.140625" style="1" customWidth="1"/>
    <col min="31" max="31" width="16.7109375" style="1" customWidth="1"/>
    <col min="32" max="32" width="11.5703125" style="1" customWidth="1"/>
    <col min="33" max="33" width="12.85546875" style="1" customWidth="1"/>
    <col min="34" max="34" width="13" style="1" customWidth="1"/>
    <col min="35" max="35" width="11.42578125" style="1"/>
    <col min="36" max="36" width="16.7109375" style="1" customWidth="1"/>
    <col min="37" max="37" width="16.28515625" style="1" customWidth="1"/>
    <col min="38" max="16384" width="11.42578125" style="1"/>
  </cols>
  <sheetData>
    <row r="1" spans="1:42" x14ac:dyDescent="0.25">
      <c r="A1" s="571" t="s">
        <v>363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2" t="s">
        <v>364</v>
      </c>
      <c r="O1" s="572"/>
      <c r="P1" s="572"/>
      <c r="Q1" s="572"/>
      <c r="R1" s="572"/>
      <c r="S1" s="572"/>
      <c r="T1" s="572"/>
      <c r="U1" s="572"/>
      <c r="V1" s="572"/>
      <c r="W1" s="572"/>
      <c r="X1" s="572"/>
      <c r="Y1" s="572"/>
      <c r="Z1" s="572"/>
      <c r="AA1" s="572"/>
      <c r="AB1" s="572"/>
      <c r="AC1" s="572"/>
      <c r="AD1" s="572"/>
      <c r="AE1" s="572"/>
      <c r="AF1" s="572"/>
      <c r="AG1" s="572"/>
      <c r="AH1" s="572"/>
      <c r="AI1" s="572"/>
      <c r="AJ1" s="572"/>
      <c r="AK1" s="572"/>
      <c r="AL1" s="572"/>
      <c r="AM1" s="572"/>
      <c r="AN1" s="572"/>
      <c r="AO1" s="572"/>
      <c r="AP1" s="572"/>
    </row>
    <row r="2" spans="1:42" ht="95.25" x14ac:dyDescent="0.25">
      <c r="A2" s="343" t="s">
        <v>365</v>
      </c>
      <c r="B2" s="343"/>
      <c r="C2" s="343"/>
      <c r="D2" s="343" t="s">
        <v>347</v>
      </c>
      <c r="E2" s="343" t="s">
        <v>58</v>
      </c>
      <c r="F2" s="344" t="s">
        <v>348</v>
      </c>
      <c r="G2" s="345" t="s">
        <v>349</v>
      </c>
      <c r="H2" s="345" t="s">
        <v>75</v>
      </c>
      <c r="I2" s="344" t="s">
        <v>350</v>
      </c>
      <c r="J2" s="345" t="s">
        <v>351</v>
      </c>
      <c r="K2" s="344" t="s">
        <v>352</v>
      </c>
      <c r="L2" s="343" t="s">
        <v>353</v>
      </c>
      <c r="M2" s="346" t="s">
        <v>354</v>
      </c>
      <c r="N2" s="347" t="s">
        <v>355</v>
      </c>
      <c r="O2" s="347" t="s">
        <v>46</v>
      </c>
      <c r="P2" s="347" t="s">
        <v>356</v>
      </c>
      <c r="Q2" s="343" t="s">
        <v>133</v>
      </c>
      <c r="R2" s="347" t="s">
        <v>357</v>
      </c>
      <c r="S2" s="347" t="s">
        <v>358</v>
      </c>
      <c r="T2" s="343" t="s">
        <v>359</v>
      </c>
      <c r="U2" s="331" t="s">
        <v>360</v>
      </c>
      <c r="V2" s="343" t="s">
        <v>150</v>
      </c>
      <c r="W2" s="343" t="s">
        <v>151</v>
      </c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</row>
    <row r="3" spans="1:42" x14ac:dyDescent="0.2">
      <c r="A3" s="348"/>
      <c r="B3" s="349"/>
      <c r="C3" s="349"/>
      <c r="D3" s="144" t="s">
        <v>267</v>
      </c>
      <c r="E3" s="144" t="s">
        <v>267</v>
      </c>
      <c r="F3" s="144" t="s">
        <v>267</v>
      </c>
      <c r="G3" s="144" t="s">
        <v>267</v>
      </c>
      <c r="H3" s="144" t="s">
        <v>267</v>
      </c>
      <c r="I3" s="350" t="s">
        <v>267</v>
      </c>
      <c r="J3" s="351" t="s">
        <v>152</v>
      </c>
      <c r="K3" s="144" t="s">
        <v>267</v>
      </c>
      <c r="L3" s="144" t="s">
        <v>267</v>
      </c>
      <c r="M3" s="144" t="s">
        <v>267</v>
      </c>
      <c r="N3" s="144" t="s">
        <v>267</v>
      </c>
      <c r="O3" s="144" t="s">
        <v>267</v>
      </c>
      <c r="P3" s="144" t="s">
        <v>267</v>
      </c>
      <c r="Q3" s="144" t="s">
        <v>267</v>
      </c>
      <c r="R3" s="144" t="s">
        <v>267</v>
      </c>
      <c r="S3" s="144" t="s">
        <v>267</v>
      </c>
      <c r="T3" s="144" t="s">
        <v>267</v>
      </c>
      <c r="U3" s="144" t="s">
        <v>267</v>
      </c>
      <c r="V3" s="144" t="s">
        <v>267</v>
      </c>
      <c r="W3" s="144" t="s">
        <v>267</v>
      </c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</row>
    <row r="4" spans="1:42" x14ac:dyDescent="0.25">
      <c r="A4" s="352" t="s">
        <v>269</v>
      </c>
      <c r="B4" s="353">
        <v>2015</v>
      </c>
      <c r="C4" s="353" t="s">
        <v>152</v>
      </c>
      <c r="D4" s="144"/>
      <c r="E4" s="144">
        <v>14.1</v>
      </c>
      <c r="F4" s="144"/>
      <c r="G4" s="144">
        <v>3</v>
      </c>
      <c r="H4" s="144">
        <v>7.5</v>
      </c>
      <c r="I4" s="144">
        <v>0.9</v>
      </c>
      <c r="J4" s="144"/>
      <c r="K4" s="144">
        <v>2.7</v>
      </c>
      <c r="L4" s="144">
        <v>6.5</v>
      </c>
      <c r="M4" s="144">
        <v>3.6</v>
      </c>
      <c r="N4" s="144">
        <v>0.4</v>
      </c>
      <c r="O4" s="144">
        <v>2.5</v>
      </c>
      <c r="P4" s="144"/>
      <c r="Q4" s="144">
        <v>36.200000000000003</v>
      </c>
      <c r="R4" s="144">
        <v>32.6</v>
      </c>
      <c r="S4" s="144">
        <v>3.7</v>
      </c>
      <c r="T4" s="144">
        <v>7.8</v>
      </c>
      <c r="U4" s="144">
        <v>64.599999999999994</v>
      </c>
      <c r="V4" s="144">
        <v>5.0999999999999996</v>
      </c>
      <c r="W4" s="144">
        <v>69.599999999999994</v>
      </c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</row>
    <row r="5" spans="1:42" x14ac:dyDescent="0.25">
      <c r="A5" s="354" t="s">
        <v>270</v>
      </c>
      <c r="B5" s="353">
        <v>2015</v>
      </c>
      <c r="C5" s="353" t="s">
        <v>152</v>
      </c>
      <c r="D5" s="144"/>
      <c r="E5" s="144">
        <v>8.5</v>
      </c>
      <c r="F5" s="144">
        <v>8.5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>
        <v>5.7</v>
      </c>
      <c r="R5" s="144">
        <v>5.6</v>
      </c>
      <c r="S5" s="144">
        <v>0</v>
      </c>
      <c r="T5" s="144"/>
      <c r="U5" s="144">
        <v>14.2</v>
      </c>
      <c r="V5" s="144">
        <v>0</v>
      </c>
      <c r="W5" s="144">
        <v>12</v>
      </c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</row>
    <row r="6" spans="1:42" x14ac:dyDescent="0.25">
      <c r="A6" s="352" t="s">
        <v>272</v>
      </c>
      <c r="B6" s="353">
        <v>2015</v>
      </c>
      <c r="C6" s="353" t="s">
        <v>152</v>
      </c>
      <c r="D6" s="144">
        <v>24.6</v>
      </c>
      <c r="E6" s="144">
        <v>26.1</v>
      </c>
      <c r="F6" s="144"/>
      <c r="G6" s="144">
        <v>4</v>
      </c>
      <c r="H6" s="144">
        <v>20.8</v>
      </c>
      <c r="I6" s="144">
        <v>0.1</v>
      </c>
      <c r="J6" s="144"/>
      <c r="K6" s="144">
        <v>1.1000000000000001</v>
      </c>
      <c r="L6" s="144">
        <v>13.3</v>
      </c>
      <c r="M6" s="144">
        <v>5.4</v>
      </c>
      <c r="N6" s="144">
        <v>3</v>
      </c>
      <c r="O6" s="144">
        <v>2.8</v>
      </c>
      <c r="P6" s="144">
        <v>2</v>
      </c>
      <c r="Q6" s="144">
        <v>1.4</v>
      </c>
      <c r="R6" s="144">
        <v>0.3</v>
      </c>
      <c r="S6" s="144">
        <v>1.1000000000000001</v>
      </c>
      <c r="T6" s="144">
        <v>0.2</v>
      </c>
      <c r="U6" s="144">
        <v>65.5</v>
      </c>
      <c r="V6" s="144">
        <v>1.4</v>
      </c>
      <c r="W6" s="144">
        <v>85</v>
      </c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</row>
    <row r="7" spans="1:42" x14ac:dyDescent="0.25">
      <c r="A7" s="354" t="s">
        <v>273</v>
      </c>
      <c r="B7" s="353">
        <v>2015</v>
      </c>
      <c r="C7" s="353" t="s">
        <v>152</v>
      </c>
      <c r="D7" s="144">
        <v>14.3</v>
      </c>
      <c r="E7" s="144">
        <v>21.1</v>
      </c>
      <c r="F7" s="144">
        <v>18.8</v>
      </c>
      <c r="G7" s="144">
        <v>1</v>
      </c>
      <c r="H7" s="144">
        <v>1.3</v>
      </c>
      <c r="I7" s="144"/>
      <c r="J7" s="144"/>
      <c r="K7" s="144"/>
      <c r="L7" s="144">
        <v>3</v>
      </c>
      <c r="M7" s="144">
        <v>1.4</v>
      </c>
      <c r="N7" s="144">
        <v>1.4</v>
      </c>
      <c r="O7" s="144">
        <v>0.2</v>
      </c>
      <c r="P7" s="144"/>
      <c r="Q7" s="144">
        <v>6.2</v>
      </c>
      <c r="R7" s="144">
        <v>5.7</v>
      </c>
      <c r="S7" s="144">
        <v>0.5</v>
      </c>
      <c r="T7" s="144"/>
      <c r="U7" s="144">
        <v>44.5</v>
      </c>
      <c r="V7" s="144">
        <v>0.7</v>
      </c>
      <c r="W7" s="144">
        <v>33.200000000000003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</row>
    <row r="8" spans="1:42" x14ac:dyDescent="0.25">
      <c r="A8" s="352" t="s">
        <v>275</v>
      </c>
      <c r="B8" s="353">
        <v>2015</v>
      </c>
      <c r="C8" s="353" t="s">
        <v>152</v>
      </c>
      <c r="D8" s="144">
        <v>22.1</v>
      </c>
      <c r="E8" s="144">
        <v>2.2000000000000002</v>
      </c>
      <c r="F8" s="144"/>
      <c r="G8" s="144"/>
      <c r="H8" s="144"/>
      <c r="I8" s="144"/>
      <c r="J8" s="144"/>
      <c r="K8" s="144">
        <v>2.2000000000000002</v>
      </c>
      <c r="L8" s="144">
        <v>2.2000000000000002</v>
      </c>
      <c r="M8" s="144">
        <v>0.1</v>
      </c>
      <c r="N8" s="144"/>
      <c r="O8" s="144"/>
      <c r="P8" s="144">
        <v>2</v>
      </c>
      <c r="Q8" s="144">
        <v>39.6</v>
      </c>
      <c r="R8" s="144"/>
      <c r="S8" s="144">
        <v>39.6</v>
      </c>
      <c r="T8" s="144"/>
      <c r="U8" s="144">
        <v>66</v>
      </c>
      <c r="V8" s="144">
        <v>2.2999999999999998</v>
      </c>
      <c r="W8" s="144">
        <v>63.4</v>
      </c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</row>
    <row r="9" spans="1:42" x14ac:dyDescent="0.25">
      <c r="A9" s="354" t="s">
        <v>277</v>
      </c>
      <c r="B9" s="353">
        <v>2015</v>
      </c>
      <c r="C9" s="353" t="s">
        <v>152</v>
      </c>
      <c r="D9" s="144"/>
      <c r="E9" s="144">
        <v>4.2</v>
      </c>
      <c r="F9" s="144"/>
      <c r="G9" s="144"/>
      <c r="H9" s="144"/>
      <c r="I9" s="144">
        <v>4.2</v>
      </c>
      <c r="J9" s="144"/>
      <c r="K9" s="144"/>
      <c r="L9" s="144">
        <v>0.2</v>
      </c>
      <c r="M9" s="144">
        <v>0.2</v>
      </c>
      <c r="N9" s="144"/>
      <c r="O9" s="144"/>
      <c r="P9" s="144"/>
      <c r="Q9" s="144"/>
      <c r="R9" s="144"/>
      <c r="S9" s="144"/>
      <c r="T9" s="144"/>
      <c r="U9" s="144">
        <v>4.4000000000000004</v>
      </c>
      <c r="V9" s="144"/>
      <c r="W9" s="144">
        <v>4.4000000000000004</v>
      </c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</row>
    <row r="10" spans="1:42" x14ac:dyDescent="0.25">
      <c r="A10" s="352" t="s">
        <v>278</v>
      </c>
      <c r="B10" s="353">
        <v>2015</v>
      </c>
      <c r="C10" s="353" t="s">
        <v>152</v>
      </c>
      <c r="D10" s="144">
        <v>25.3</v>
      </c>
      <c r="E10" s="144">
        <v>42.1</v>
      </c>
      <c r="F10" s="144">
        <v>32.200000000000003</v>
      </c>
      <c r="G10" s="144">
        <v>4.8</v>
      </c>
      <c r="H10" s="144">
        <v>4.9000000000000004</v>
      </c>
      <c r="I10" s="144">
        <v>0</v>
      </c>
      <c r="J10" s="144"/>
      <c r="K10" s="144">
        <v>0.1</v>
      </c>
      <c r="L10" s="144">
        <v>7.1</v>
      </c>
      <c r="M10" s="144">
        <v>0.6</v>
      </c>
      <c r="N10" s="144">
        <v>2.2000000000000002</v>
      </c>
      <c r="O10" s="144">
        <v>1.9</v>
      </c>
      <c r="P10" s="144">
        <v>2.4</v>
      </c>
      <c r="Q10" s="144">
        <v>3</v>
      </c>
      <c r="R10" s="144">
        <v>1.8</v>
      </c>
      <c r="S10" s="144">
        <v>1.2</v>
      </c>
      <c r="T10" s="144"/>
      <c r="U10" s="144">
        <v>77.5</v>
      </c>
      <c r="V10" s="144">
        <v>1.6</v>
      </c>
      <c r="W10" s="144">
        <v>63.4</v>
      </c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</row>
    <row r="11" spans="1:42" x14ac:dyDescent="0.25">
      <c r="A11" s="354" t="s">
        <v>279</v>
      </c>
      <c r="B11" s="353">
        <v>2015</v>
      </c>
      <c r="C11" s="353" t="s">
        <v>152</v>
      </c>
      <c r="D11" s="144">
        <v>86.8</v>
      </c>
      <c r="E11" s="144">
        <v>319.5</v>
      </c>
      <c r="F11" s="144">
        <v>143.1</v>
      </c>
      <c r="G11" s="144">
        <v>107.1</v>
      </c>
      <c r="H11" s="144">
        <v>53.2</v>
      </c>
      <c r="I11" s="144">
        <v>5.2</v>
      </c>
      <c r="J11" s="144">
        <v>10.9</v>
      </c>
      <c r="K11" s="144"/>
      <c r="L11" s="144">
        <v>150.5</v>
      </c>
      <c r="M11" s="144">
        <v>75.7</v>
      </c>
      <c r="N11" s="144">
        <v>35.200000000000003</v>
      </c>
      <c r="O11" s="144">
        <v>38.5</v>
      </c>
      <c r="P11" s="144">
        <v>1.2</v>
      </c>
      <c r="Q11" s="144">
        <v>23.7</v>
      </c>
      <c r="R11" s="144">
        <v>16.100000000000001</v>
      </c>
      <c r="S11" s="144">
        <v>7.6</v>
      </c>
      <c r="T11" s="144">
        <v>0</v>
      </c>
      <c r="U11" s="144">
        <v>580.4</v>
      </c>
      <c r="V11" s="144">
        <v>8.1</v>
      </c>
      <c r="W11" s="144">
        <v>520.6</v>
      </c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</row>
    <row r="12" spans="1:42" x14ac:dyDescent="0.25">
      <c r="A12" s="352" t="s">
        <v>281</v>
      </c>
      <c r="B12" s="353">
        <v>2015</v>
      </c>
      <c r="C12" s="353" t="s">
        <v>152</v>
      </c>
      <c r="D12" s="144"/>
      <c r="E12" s="144">
        <v>10.5</v>
      </c>
      <c r="F12" s="144"/>
      <c r="G12" s="144">
        <v>6.9</v>
      </c>
      <c r="H12" s="144">
        <v>3.5</v>
      </c>
      <c r="I12" s="144">
        <v>0.1</v>
      </c>
      <c r="J12" s="144"/>
      <c r="K12" s="144"/>
      <c r="L12" s="144">
        <v>17</v>
      </c>
      <c r="M12" s="144">
        <v>14.1</v>
      </c>
      <c r="N12" s="144">
        <v>0.6</v>
      </c>
      <c r="O12" s="144">
        <v>2.2999999999999998</v>
      </c>
      <c r="P12" s="144"/>
      <c r="Q12" s="144">
        <v>0</v>
      </c>
      <c r="R12" s="144">
        <v>0</v>
      </c>
      <c r="S12" s="144"/>
      <c r="T12" s="144"/>
      <c r="U12" s="144">
        <v>27.6</v>
      </c>
      <c r="V12" s="144"/>
      <c r="W12" s="144">
        <v>32.4</v>
      </c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</row>
    <row r="13" spans="1:42" x14ac:dyDescent="0.25">
      <c r="A13" s="354" t="s">
        <v>282</v>
      </c>
      <c r="B13" s="353">
        <v>2015</v>
      </c>
      <c r="C13" s="353" t="s">
        <v>152</v>
      </c>
      <c r="D13" s="144"/>
      <c r="E13" s="144">
        <v>7.6</v>
      </c>
      <c r="F13" s="144"/>
      <c r="G13" s="144"/>
      <c r="H13" s="144"/>
      <c r="I13" s="144"/>
      <c r="J13" s="144"/>
      <c r="K13" s="144">
        <v>7.6</v>
      </c>
      <c r="L13" s="144">
        <v>1.5</v>
      </c>
      <c r="M13" s="144">
        <v>0.7</v>
      </c>
      <c r="N13" s="144"/>
      <c r="O13" s="144">
        <v>0.8</v>
      </c>
      <c r="P13" s="144"/>
      <c r="Q13" s="144">
        <v>0</v>
      </c>
      <c r="R13" s="144">
        <v>0</v>
      </c>
      <c r="S13" s="144"/>
      <c r="T13" s="144"/>
      <c r="U13" s="144">
        <v>9.1</v>
      </c>
      <c r="V13" s="144"/>
      <c r="W13" s="144">
        <v>8.1</v>
      </c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</row>
    <row r="14" spans="1:42" x14ac:dyDescent="0.25">
      <c r="A14" s="352" t="s">
        <v>283</v>
      </c>
      <c r="B14" s="353">
        <v>2015</v>
      </c>
      <c r="C14" s="353" t="s">
        <v>152</v>
      </c>
      <c r="D14" s="144">
        <v>54.8</v>
      </c>
      <c r="E14" s="144">
        <v>114.6</v>
      </c>
      <c r="F14" s="144">
        <v>4.5</v>
      </c>
      <c r="G14" s="144">
        <v>48.6</v>
      </c>
      <c r="H14" s="144">
        <v>48.6</v>
      </c>
      <c r="I14" s="144">
        <v>13</v>
      </c>
      <c r="J14" s="144"/>
      <c r="K14" s="144"/>
      <c r="L14" s="144">
        <v>66.099999999999994</v>
      </c>
      <c r="M14" s="144">
        <v>48.1</v>
      </c>
      <c r="N14" s="144">
        <v>13.3</v>
      </c>
      <c r="O14" s="144">
        <v>4.5999999999999996</v>
      </c>
      <c r="P14" s="144">
        <v>0</v>
      </c>
      <c r="Q14" s="144">
        <v>30.8</v>
      </c>
      <c r="R14" s="144">
        <v>27.6</v>
      </c>
      <c r="S14" s="144">
        <v>3.2</v>
      </c>
      <c r="T14" s="144">
        <v>1.3</v>
      </c>
      <c r="U14" s="144">
        <v>267.60000000000002</v>
      </c>
      <c r="V14" s="144">
        <v>4.5</v>
      </c>
      <c r="W14" s="144">
        <v>262.89999999999998</v>
      </c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</row>
    <row r="15" spans="1:42" x14ac:dyDescent="0.25">
      <c r="A15" s="354" t="s">
        <v>284</v>
      </c>
      <c r="B15" s="353">
        <v>2015</v>
      </c>
      <c r="C15" s="353" t="s">
        <v>152</v>
      </c>
      <c r="D15" s="144">
        <v>22.3</v>
      </c>
      <c r="E15" s="144">
        <v>13.5</v>
      </c>
      <c r="F15" s="144"/>
      <c r="G15" s="144">
        <v>5.5</v>
      </c>
      <c r="H15" s="144">
        <v>5</v>
      </c>
      <c r="I15" s="144">
        <v>0.2</v>
      </c>
      <c r="J15" s="144">
        <v>2.7</v>
      </c>
      <c r="K15" s="144"/>
      <c r="L15" s="144">
        <v>13</v>
      </c>
      <c r="M15" s="144">
        <v>2.2999999999999998</v>
      </c>
      <c r="N15" s="144"/>
      <c r="O15" s="144">
        <v>10.7</v>
      </c>
      <c r="P15" s="144"/>
      <c r="Q15" s="144">
        <v>16.600000000000001</v>
      </c>
      <c r="R15" s="144">
        <v>16.600000000000001</v>
      </c>
      <c r="S15" s="144"/>
      <c r="T15" s="144">
        <v>0.8</v>
      </c>
      <c r="U15" s="144">
        <v>66.2</v>
      </c>
      <c r="V15" s="144"/>
      <c r="W15" s="144">
        <v>82.5</v>
      </c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</row>
    <row r="16" spans="1:42" x14ac:dyDescent="0.25">
      <c r="A16" s="352" t="s">
        <v>285</v>
      </c>
      <c r="B16" s="353">
        <v>2015</v>
      </c>
      <c r="C16" s="353" t="s">
        <v>152</v>
      </c>
      <c r="D16" s="144">
        <v>416.8</v>
      </c>
      <c r="E16" s="144">
        <v>34.1</v>
      </c>
      <c r="F16" s="144"/>
      <c r="G16" s="144">
        <v>8.6</v>
      </c>
      <c r="H16" s="144">
        <v>22.1</v>
      </c>
      <c r="I16" s="144">
        <v>3.4</v>
      </c>
      <c r="J16" s="144"/>
      <c r="K16" s="144"/>
      <c r="L16" s="144">
        <v>36.4</v>
      </c>
      <c r="M16" s="144">
        <v>21.1</v>
      </c>
      <c r="N16" s="144">
        <v>7.4</v>
      </c>
      <c r="O16" s="144">
        <v>7.9</v>
      </c>
      <c r="P16" s="144"/>
      <c r="Q16" s="144">
        <v>58.7</v>
      </c>
      <c r="R16" s="144">
        <v>53.9</v>
      </c>
      <c r="S16" s="144">
        <v>4.8</v>
      </c>
      <c r="T16" s="144"/>
      <c r="U16" s="144">
        <v>546</v>
      </c>
      <c r="V16" s="144">
        <v>6.8</v>
      </c>
      <c r="W16" s="144">
        <v>475.4</v>
      </c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</row>
    <row r="17" spans="1:42" x14ac:dyDescent="0.25">
      <c r="A17" s="354" t="s">
        <v>287</v>
      </c>
      <c r="B17" s="353">
        <v>2015</v>
      </c>
      <c r="C17" s="353" t="s">
        <v>152</v>
      </c>
      <c r="D17" s="144">
        <v>65.7</v>
      </c>
      <c r="E17" s="144">
        <v>189.9</v>
      </c>
      <c r="F17" s="144"/>
      <c r="G17" s="144">
        <v>95</v>
      </c>
      <c r="H17" s="144">
        <v>94.9</v>
      </c>
      <c r="I17" s="144"/>
      <c r="J17" s="144"/>
      <c r="K17" s="144"/>
      <c r="L17" s="144">
        <v>59.9</v>
      </c>
      <c r="M17" s="144">
        <v>52.4</v>
      </c>
      <c r="N17" s="144">
        <v>7.5</v>
      </c>
      <c r="O17" s="144"/>
      <c r="P17" s="144"/>
      <c r="Q17" s="144">
        <v>8</v>
      </c>
      <c r="R17" s="144">
        <v>4.7</v>
      </c>
      <c r="S17" s="144">
        <v>3.2</v>
      </c>
      <c r="T17" s="144">
        <v>1.4</v>
      </c>
      <c r="U17" s="144">
        <v>324.89999999999998</v>
      </c>
      <c r="V17" s="144">
        <v>3.7</v>
      </c>
      <c r="W17" s="144">
        <v>340.2</v>
      </c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</row>
    <row r="18" spans="1:42" x14ac:dyDescent="0.25">
      <c r="A18" s="352" t="s">
        <v>289</v>
      </c>
      <c r="B18" s="353">
        <v>2015</v>
      </c>
      <c r="C18" s="353" t="s">
        <v>152</v>
      </c>
      <c r="D18" s="144"/>
      <c r="E18" s="144">
        <v>26.7</v>
      </c>
      <c r="F18" s="144">
        <v>19.399999999999999</v>
      </c>
      <c r="G18" s="144"/>
      <c r="H18" s="144">
        <v>7.3</v>
      </c>
      <c r="I18" s="144"/>
      <c r="J18" s="144"/>
      <c r="K18" s="144"/>
      <c r="L18" s="144">
        <v>8.8000000000000007</v>
      </c>
      <c r="M18" s="144">
        <v>3.7</v>
      </c>
      <c r="N18" s="144">
        <v>3.6</v>
      </c>
      <c r="O18" s="144">
        <v>0.2</v>
      </c>
      <c r="P18" s="144">
        <v>1.3</v>
      </c>
      <c r="Q18" s="144">
        <v>6.1</v>
      </c>
      <c r="R18" s="144">
        <v>0.7</v>
      </c>
      <c r="S18" s="144">
        <v>5.4</v>
      </c>
      <c r="T18" s="144"/>
      <c r="U18" s="144">
        <v>41.6</v>
      </c>
      <c r="V18" s="144">
        <v>0.1</v>
      </c>
      <c r="W18" s="144">
        <v>51.2</v>
      </c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</row>
    <row r="19" spans="1:42" x14ac:dyDescent="0.25">
      <c r="A19" s="354" t="s">
        <v>291</v>
      </c>
      <c r="B19" s="353">
        <v>2015</v>
      </c>
      <c r="C19" s="353" t="s">
        <v>152</v>
      </c>
      <c r="D19" s="144"/>
      <c r="E19" s="144">
        <v>3.2</v>
      </c>
      <c r="F19" s="144"/>
      <c r="G19" s="144">
        <v>2.1</v>
      </c>
      <c r="H19" s="144">
        <v>0.8</v>
      </c>
      <c r="I19" s="144"/>
      <c r="J19" s="144">
        <v>0.2</v>
      </c>
      <c r="K19" s="144"/>
      <c r="L19" s="144">
        <v>0.8</v>
      </c>
      <c r="M19" s="144">
        <v>0.8</v>
      </c>
      <c r="N19" s="144"/>
      <c r="O19" s="144"/>
      <c r="P19" s="144"/>
      <c r="Q19" s="144">
        <v>5.7</v>
      </c>
      <c r="R19" s="144">
        <v>5.7</v>
      </c>
      <c r="S19" s="144"/>
      <c r="T19" s="144"/>
      <c r="U19" s="144">
        <v>9.6</v>
      </c>
      <c r="V19" s="144">
        <v>0.2</v>
      </c>
      <c r="W19" s="144">
        <v>17</v>
      </c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</row>
    <row r="20" spans="1:42" x14ac:dyDescent="0.25">
      <c r="A20" s="352" t="s">
        <v>292</v>
      </c>
      <c r="B20" s="353">
        <v>2015</v>
      </c>
      <c r="C20" s="353" t="s">
        <v>152</v>
      </c>
      <c r="D20" s="144">
        <v>14.9</v>
      </c>
      <c r="E20" s="144">
        <v>9.1999999999999993</v>
      </c>
      <c r="F20" s="144">
        <v>5.5</v>
      </c>
      <c r="G20" s="144">
        <v>0.5</v>
      </c>
      <c r="H20" s="144">
        <v>3.2</v>
      </c>
      <c r="I20" s="144"/>
      <c r="J20" s="144"/>
      <c r="K20" s="144"/>
      <c r="L20" s="144">
        <v>2.8</v>
      </c>
      <c r="M20" s="144">
        <v>0.7</v>
      </c>
      <c r="N20" s="144">
        <v>0</v>
      </c>
      <c r="O20" s="144">
        <v>1.6</v>
      </c>
      <c r="P20" s="144">
        <v>0.5</v>
      </c>
      <c r="Q20" s="144">
        <v>0.2</v>
      </c>
      <c r="R20" s="144">
        <v>0.2</v>
      </c>
      <c r="S20" s="144"/>
      <c r="T20" s="144"/>
      <c r="U20" s="144">
        <v>27.1</v>
      </c>
      <c r="V20" s="144"/>
      <c r="W20" s="144">
        <v>40.799999999999997</v>
      </c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</row>
    <row r="21" spans="1:42" x14ac:dyDescent="0.25">
      <c r="A21" s="354" t="s">
        <v>293</v>
      </c>
      <c r="B21" s="353">
        <v>2015</v>
      </c>
      <c r="C21" s="353" t="s">
        <v>152</v>
      </c>
      <c r="D21" s="144"/>
      <c r="E21" s="144">
        <v>18.899999999999999</v>
      </c>
      <c r="F21" s="144">
        <v>2.5</v>
      </c>
      <c r="G21" s="144">
        <v>4.8</v>
      </c>
      <c r="H21" s="144">
        <v>11.5</v>
      </c>
      <c r="I21" s="144"/>
      <c r="J21" s="144"/>
      <c r="K21" s="144">
        <v>0.1</v>
      </c>
      <c r="L21" s="144">
        <v>6.8</v>
      </c>
      <c r="M21" s="144">
        <v>6.5</v>
      </c>
      <c r="N21" s="144"/>
      <c r="O21" s="144"/>
      <c r="P21" s="144">
        <v>0.2</v>
      </c>
      <c r="Q21" s="144">
        <v>1.1000000000000001</v>
      </c>
      <c r="R21" s="144">
        <v>0.8</v>
      </c>
      <c r="S21" s="144">
        <v>0.3</v>
      </c>
      <c r="T21" s="144"/>
      <c r="U21" s="144">
        <v>26.8</v>
      </c>
      <c r="V21" s="144">
        <v>0.5</v>
      </c>
      <c r="W21" s="144">
        <v>27</v>
      </c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</row>
    <row r="22" spans="1:42" x14ac:dyDescent="0.25">
      <c r="A22" s="352" t="s">
        <v>294</v>
      </c>
      <c r="B22" s="353">
        <v>2015</v>
      </c>
      <c r="C22" s="353" t="s">
        <v>152</v>
      </c>
      <c r="D22" s="144"/>
      <c r="E22" s="144">
        <v>0</v>
      </c>
      <c r="F22" s="144"/>
      <c r="G22" s="144"/>
      <c r="H22" s="144"/>
      <c r="I22" s="144"/>
      <c r="J22" s="144"/>
      <c r="K22" s="144"/>
      <c r="L22" s="144">
        <v>4.7</v>
      </c>
      <c r="M22" s="144"/>
      <c r="N22" s="144"/>
      <c r="O22" s="144"/>
      <c r="P22" s="144">
        <v>4.7</v>
      </c>
      <c r="Q22" s="144">
        <v>13.7</v>
      </c>
      <c r="R22" s="144">
        <v>13.7</v>
      </c>
      <c r="S22" s="144"/>
      <c r="T22" s="144"/>
      <c r="U22" s="144">
        <v>18.3</v>
      </c>
      <c r="V22" s="144"/>
      <c r="W22" s="144">
        <v>18.3</v>
      </c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</row>
    <row r="23" spans="1:42" x14ac:dyDescent="0.25">
      <c r="A23" s="354" t="s">
        <v>295</v>
      </c>
      <c r="B23" s="353">
        <v>2015</v>
      </c>
      <c r="C23" s="353" t="s">
        <v>152</v>
      </c>
      <c r="D23" s="144"/>
      <c r="E23" s="144">
        <v>162</v>
      </c>
      <c r="F23" s="144"/>
      <c r="G23" s="144">
        <v>38.4</v>
      </c>
      <c r="H23" s="144">
        <v>91.5</v>
      </c>
      <c r="I23" s="144">
        <v>4.2</v>
      </c>
      <c r="J23" s="144">
        <v>28</v>
      </c>
      <c r="K23" s="144"/>
      <c r="L23" s="144">
        <v>63.3</v>
      </c>
      <c r="M23" s="144">
        <v>14.7</v>
      </c>
      <c r="N23" s="144">
        <v>23.9</v>
      </c>
      <c r="O23" s="144">
        <v>18.8</v>
      </c>
      <c r="P23" s="144">
        <v>5.8</v>
      </c>
      <c r="Q23" s="144">
        <v>44.6</v>
      </c>
      <c r="R23" s="144">
        <v>43.3</v>
      </c>
      <c r="S23" s="144">
        <v>1.3</v>
      </c>
      <c r="T23" s="144"/>
      <c r="U23" s="144">
        <v>269.8</v>
      </c>
      <c r="V23" s="144">
        <v>1.9</v>
      </c>
      <c r="W23" s="144">
        <v>314.3</v>
      </c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</row>
    <row r="24" spans="1:42" x14ac:dyDescent="0.25">
      <c r="A24" s="352" t="s">
        <v>296</v>
      </c>
      <c r="B24" s="353">
        <v>2015</v>
      </c>
      <c r="C24" s="353" t="s">
        <v>152</v>
      </c>
      <c r="D24" s="144"/>
      <c r="E24" s="144">
        <v>2.2999999999999998</v>
      </c>
      <c r="F24" s="144"/>
      <c r="G24" s="144"/>
      <c r="H24" s="144">
        <v>1.5</v>
      </c>
      <c r="I24" s="144"/>
      <c r="J24" s="144">
        <v>0.6</v>
      </c>
      <c r="K24" s="144">
        <v>0.3</v>
      </c>
      <c r="L24" s="144">
        <v>1.3</v>
      </c>
      <c r="M24" s="144">
        <v>0.8</v>
      </c>
      <c r="N24" s="144">
        <v>0.1</v>
      </c>
      <c r="O24" s="144">
        <v>0.4</v>
      </c>
      <c r="P24" s="144"/>
      <c r="Q24" s="144">
        <v>1</v>
      </c>
      <c r="R24" s="144">
        <v>0.3</v>
      </c>
      <c r="S24" s="144">
        <v>0.7</v>
      </c>
      <c r="T24" s="144"/>
      <c r="U24" s="144">
        <v>4.5999999999999996</v>
      </c>
      <c r="V24" s="144">
        <v>0.9</v>
      </c>
      <c r="W24" s="144">
        <v>10.9</v>
      </c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</row>
    <row r="25" spans="1:42" x14ac:dyDescent="0.25">
      <c r="A25" s="354" t="s">
        <v>297</v>
      </c>
      <c r="B25" s="353">
        <v>2015</v>
      </c>
      <c r="C25" s="353" t="s">
        <v>152</v>
      </c>
      <c r="D25" s="144"/>
      <c r="E25" s="144">
        <v>0.8</v>
      </c>
      <c r="F25" s="144"/>
      <c r="G25" s="144"/>
      <c r="H25" s="144">
        <v>0.8</v>
      </c>
      <c r="I25" s="144"/>
      <c r="J25" s="144"/>
      <c r="K25" s="144"/>
      <c r="L25" s="144">
        <v>0.2</v>
      </c>
      <c r="M25" s="144">
        <v>0.1</v>
      </c>
      <c r="N25" s="144">
        <v>0.1</v>
      </c>
      <c r="O25" s="144">
        <v>0.1</v>
      </c>
      <c r="P25" s="144"/>
      <c r="Q25" s="144">
        <v>1.5</v>
      </c>
      <c r="R25" s="144">
        <v>0.1</v>
      </c>
      <c r="S25" s="144">
        <v>1.4</v>
      </c>
      <c r="T25" s="144">
        <v>0.1</v>
      </c>
      <c r="U25" s="144">
        <v>2.7</v>
      </c>
      <c r="V25" s="144">
        <v>1.9</v>
      </c>
      <c r="W25" s="144">
        <v>6.4</v>
      </c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</row>
    <row r="26" spans="1:42" x14ac:dyDescent="0.25">
      <c r="A26" s="352" t="s">
        <v>299</v>
      </c>
      <c r="B26" s="353">
        <v>2015</v>
      </c>
      <c r="C26" s="353" t="s">
        <v>152</v>
      </c>
      <c r="D26" s="144"/>
      <c r="E26" s="144">
        <v>2.6</v>
      </c>
      <c r="F26" s="144"/>
      <c r="G26" s="144"/>
      <c r="H26" s="144">
        <v>2</v>
      </c>
      <c r="I26" s="144"/>
      <c r="J26" s="144">
        <v>0.6</v>
      </c>
      <c r="K26" s="144"/>
      <c r="L26" s="144">
        <v>0.9</v>
      </c>
      <c r="M26" s="144">
        <v>0.1</v>
      </c>
      <c r="N26" s="144"/>
      <c r="O26" s="144">
        <v>0.4</v>
      </c>
      <c r="P26" s="144">
        <v>0.4</v>
      </c>
      <c r="Q26" s="144">
        <v>1.9</v>
      </c>
      <c r="R26" s="144">
        <v>1.9</v>
      </c>
      <c r="S26" s="144"/>
      <c r="T26" s="144"/>
      <c r="U26" s="144">
        <v>5.4</v>
      </c>
      <c r="V26" s="144"/>
      <c r="W26" s="144">
        <v>7.2</v>
      </c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</row>
    <row r="27" spans="1:42" x14ac:dyDescent="0.25">
      <c r="A27" s="354" t="s">
        <v>300</v>
      </c>
      <c r="B27" s="353">
        <v>2015</v>
      </c>
      <c r="C27" s="353" t="s">
        <v>152</v>
      </c>
      <c r="D27" s="144"/>
      <c r="E27" s="144">
        <v>1.4</v>
      </c>
      <c r="F27" s="144">
        <v>1.4</v>
      </c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>
        <v>1.4</v>
      </c>
      <c r="R27" s="144"/>
      <c r="S27" s="144">
        <v>1.4</v>
      </c>
      <c r="T27" s="144"/>
      <c r="U27" s="144">
        <v>2.8</v>
      </c>
      <c r="V27" s="144"/>
      <c r="W27" s="144">
        <v>3.4</v>
      </c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</row>
    <row r="28" spans="1:42" x14ac:dyDescent="0.25">
      <c r="A28" s="352" t="s">
        <v>301</v>
      </c>
      <c r="B28" s="353">
        <v>2015</v>
      </c>
      <c r="C28" s="353" t="s">
        <v>152</v>
      </c>
      <c r="D28" s="144"/>
      <c r="E28" s="144">
        <v>3.3</v>
      </c>
      <c r="F28" s="144">
        <v>3.1</v>
      </c>
      <c r="G28" s="144"/>
      <c r="H28" s="144">
        <v>0.2</v>
      </c>
      <c r="I28" s="144"/>
      <c r="J28" s="144"/>
      <c r="K28" s="144"/>
      <c r="L28" s="144">
        <v>0.1</v>
      </c>
      <c r="M28" s="144">
        <v>0.1</v>
      </c>
      <c r="N28" s="144"/>
      <c r="O28" s="144"/>
      <c r="P28" s="144"/>
      <c r="Q28" s="144">
        <v>1.5</v>
      </c>
      <c r="R28" s="144"/>
      <c r="S28" s="144">
        <v>1.5</v>
      </c>
      <c r="T28" s="144"/>
      <c r="U28" s="144">
        <v>4.9000000000000004</v>
      </c>
      <c r="V28" s="144"/>
      <c r="W28" s="144">
        <v>7.4</v>
      </c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</row>
    <row r="29" spans="1:42" x14ac:dyDescent="0.25">
      <c r="A29" s="354" t="s">
        <v>362</v>
      </c>
      <c r="B29" s="353">
        <v>2015</v>
      </c>
      <c r="C29" s="353" t="s">
        <v>152</v>
      </c>
      <c r="D29" s="144"/>
      <c r="E29" s="144">
        <v>6.7</v>
      </c>
      <c r="F29" s="144"/>
      <c r="G29" s="144">
        <v>2</v>
      </c>
      <c r="H29" s="144">
        <v>4.0999999999999996</v>
      </c>
      <c r="I29" s="144"/>
      <c r="J29" s="144">
        <v>0.5</v>
      </c>
      <c r="K29" s="144"/>
      <c r="L29" s="144">
        <v>2</v>
      </c>
      <c r="M29" s="144">
        <v>1.8</v>
      </c>
      <c r="N29" s="144"/>
      <c r="O29" s="144">
        <v>0.1</v>
      </c>
      <c r="P29" s="144">
        <v>0.1</v>
      </c>
      <c r="Q29" s="144"/>
      <c r="R29" s="144"/>
      <c r="S29" s="144">
        <v>0</v>
      </c>
      <c r="T29" s="144"/>
      <c r="U29" s="144">
        <v>8.6999999999999993</v>
      </c>
      <c r="V29" s="144"/>
      <c r="W29" s="144">
        <v>9.4</v>
      </c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</row>
    <row r="30" spans="1:42" x14ac:dyDescent="0.25">
      <c r="A30" s="352" t="s">
        <v>303</v>
      </c>
      <c r="B30" s="353">
        <v>2015</v>
      </c>
      <c r="C30" s="353" t="s">
        <v>152</v>
      </c>
      <c r="D30" s="144">
        <v>4</v>
      </c>
      <c r="E30" s="144">
        <v>88.4</v>
      </c>
      <c r="F30" s="144"/>
      <c r="G30" s="144"/>
      <c r="H30" s="144"/>
      <c r="I30" s="144"/>
      <c r="J30" s="144"/>
      <c r="K30" s="144">
        <v>88.4</v>
      </c>
      <c r="L30" s="144">
        <v>11.2</v>
      </c>
      <c r="M30" s="144">
        <v>7.1</v>
      </c>
      <c r="N30" s="144">
        <v>0.1</v>
      </c>
      <c r="O30" s="144">
        <v>4</v>
      </c>
      <c r="P30" s="144"/>
      <c r="Q30" s="144">
        <v>0.1</v>
      </c>
      <c r="R30" s="144">
        <v>0.1</v>
      </c>
      <c r="S30" s="144"/>
      <c r="T30" s="144"/>
      <c r="U30" s="144">
        <v>103.8</v>
      </c>
      <c r="V30" s="144"/>
      <c r="W30" s="144">
        <v>112.5</v>
      </c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</row>
    <row r="31" spans="1:42" x14ac:dyDescent="0.25">
      <c r="A31" s="354" t="s">
        <v>304</v>
      </c>
      <c r="B31" s="353">
        <v>2015</v>
      </c>
      <c r="C31" s="353" t="s">
        <v>152</v>
      </c>
      <c r="D31" s="144"/>
      <c r="E31" s="144">
        <v>3.5</v>
      </c>
      <c r="F31" s="144"/>
      <c r="G31" s="144"/>
      <c r="H31" s="144">
        <v>3.5</v>
      </c>
      <c r="I31" s="144"/>
      <c r="J31" s="144"/>
      <c r="K31" s="144"/>
      <c r="L31" s="144">
        <v>2.5</v>
      </c>
      <c r="M31" s="144">
        <v>2.5</v>
      </c>
      <c r="N31" s="144"/>
      <c r="O31" s="144"/>
      <c r="P31" s="144"/>
      <c r="Q31" s="144">
        <v>139</v>
      </c>
      <c r="R31" s="144">
        <v>139</v>
      </c>
      <c r="S31" s="144"/>
      <c r="T31" s="144"/>
      <c r="U31" s="144">
        <v>145</v>
      </c>
      <c r="V31" s="144">
        <v>2.1</v>
      </c>
      <c r="W31" s="144">
        <v>128.30000000000001</v>
      </c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</row>
    <row r="32" spans="1:42" x14ac:dyDescent="0.25">
      <c r="A32" s="352" t="s">
        <v>305</v>
      </c>
      <c r="B32" s="353">
        <v>2015</v>
      </c>
      <c r="C32" s="353" t="s">
        <v>152</v>
      </c>
      <c r="D32" s="144"/>
      <c r="E32" s="144">
        <v>132.1</v>
      </c>
      <c r="F32" s="144">
        <v>49.5</v>
      </c>
      <c r="G32" s="144">
        <v>69.099999999999994</v>
      </c>
      <c r="H32" s="144">
        <v>4.0999999999999996</v>
      </c>
      <c r="I32" s="144"/>
      <c r="J32" s="144"/>
      <c r="K32" s="144">
        <v>9.4</v>
      </c>
      <c r="L32" s="144">
        <v>17.7</v>
      </c>
      <c r="M32" s="144">
        <v>10.5</v>
      </c>
      <c r="N32" s="144"/>
      <c r="O32" s="144">
        <v>6.7</v>
      </c>
      <c r="P32" s="144">
        <v>0.5</v>
      </c>
      <c r="Q32" s="144">
        <v>2.5</v>
      </c>
      <c r="R32" s="144">
        <v>1.8</v>
      </c>
      <c r="S32" s="144">
        <v>0.6</v>
      </c>
      <c r="T32" s="144"/>
      <c r="U32" s="144">
        <v>152.30000000000001</v>
      </c>
      <c r="V32" s="144">
        <v>0.9</v>
      </c>
      <c r="W32" s="144">
        <v>151.1</v>
      </c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</row>
    <row r="33" spans="1:42" x14ac:dyDescent="0.25">
      <c r="A33" s="354" t="s">
        <v>306</v>
      </c>
      <c r="B33" s="353">
        <v>2015</v>
      </c>
      <c r="C33" s="353" t="s">
        <v>152</v>
      </c>
      <c r="D33" s="144"/>
      <c r="E33" s="144">
        <v>23.8</v>
      </c>
      <c r="F33" s="144"/>
      <c r="G33" s="144">
        <v>13.7</v>
      </c>
      <c r="H33" s="144">
        <v>9.8000000000000007</v>
      </c>
      <c r="I33" s="144">
        <v>0.1</v>
      </c>
      <c r="J33" s="144"/>
      <c r="K33" s="144">
        <v>0.2</v>
      </c>
      <c r="L33" s="144">
        <v>14.7</v>
      </c>
      <c r="M33" s="144">
        <v>11.3</v>
      </c>
      <c r="N33" s="144">
        <v>0.8</v>
      </c>
      <c r="O33" s="144">
        <v>2.6</v>
      </c>
      <c r="P33" s="144"/>
      <c r="Q33" s="144">
        <v>9.6</v>
      </c>
      <c r="R33" s="144">
        <v>8.5</v>
      </c>
      <c r="S33" s="144">
        <v>1.2</v>
      </c>
      <c r="T33" s="144"/>
      <c r="U33" s="144">
        <v>48.2</v>
      </c>
      <c r="V33" s="144">
        <v>1.5</v>
      </c>
      <c r="W33" s="144">
        <v>49</v>
      </c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</row>
    <row r="34" spans="1:42" x14ac:dyDescent="0.25">
      <c r="A34" s="352" t="s">
        <v>307</v>
      </c>
      <c r="B34" s="353">
        <v>2015</v>
      </c>
      <c r="C34" s="353" t="s">
        <v>152</v>
      </c>
      <c r="D34" s="144">
        <v>10.7</v>
      </c>
      <c r="E34" s="144">
        <v>25</v>
      </c>
      <c r="F34" s="144">
        <v>14.5</v>
      </c>
      <c r="G34" s="144">
        <v>1.7</v>
      </c>
      <c r="H34" s="144">
        <v>4.5</v>
      </c>
      <c r="I34" s="144"/>
      <c r="J34" s="144">
        <v>4.3</v>
      </c>
      <c r="K34" s="144"/>
      <c r="L34" s="144">
        <v>9.5</v>
      </c>
      <c r="M34" s="144">
        <v>7</v>
      </c>
      <c r="N34" s="144">
        <v>2</v>
      </c>
      <c r="O34" s="144">
        <v>0.5</v>
      </c>
      <c r="P34" s="144"/>
      <c r="Q34" s="144">
        <v>16.5</v>
      </c>
      <c r="R34" s="144">
        <v>16.5</v>
      </c>
      <c r="S34" s="144"/>
      <c r="T34" s="144"/>
      <c r="U34" s="144">
        <v>61.7</v>
      </c>
      <c r="V34" s="144">
        <v>0.2</v>
      </c>
      <c r="W34" s="144">
        <v>54.8</v>
      </c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</row>
    <row r="35" spans="1:42" x14ac:dyDescent="0.25">
      <c r="A35" s="354" t="s">
        <v>308</v>
      </c>
      <c r="B35" s="353">
        <v>2015</v>
      </c>
      <c r="C35" s="353" t="s">
        <v>152</v>
      </c>
      <c r="D35" s="144"/>
      <c r="E35" s="144">
        <v>30.5</v>
      </c>
      <c r="F35" s="144">
        <v>30.5</v>
      </c>
      <c r="G35" s="144"/>
      <c r="H35" s="144">
        <v>0</v>
      </c>
      <c r="I35" s="144"/>
      <c r="J35" s="144"/>
      <c r="K35" s="144"/>
      <c r="L35" s="144"/>
      <c r="M35" s="144"/>
      <c r="N35" s="144"/>
      <c r="O35" s="144"/>
      <c r="P35" s="144"/>
      <c r="Q35" s="144">
        <v>10.6</v>
      </c>
      <c r="R35" s="144">
        <v>9.9</v>
      </c>
      <c r="S35" s="144">
        <v>0.7</v>
      </c>
      <c r="T35" s="144"/>
      <c r="U35" s="144">
        <v>41.2</v>
      </c>
      <c r="V35" s="144">
        <v>1.1000000000000001</v>
      </c>
      <c r="W35" s="144">
        <v>39.299999999999997</v>
      </c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</row>
    <row r="36" spans="1:42" x14ac:dyDescent="0.25">
      <c r="A36" s="352" t="s">
        <v>310</v>
      </c>
      <c r="B36" s="353">
        <v>2015</v>
      </c>
      <c r="C36" s="353" t="s">
        <v>152</v>
      </c>
      <c r="D36" s="144">
        <v>54.3</v>
      </c>
      <c r="E36" s="144">
        <v>3.8</v>
      </c>
      <c r="F36" s="144"/>
      <c r="G36" s="144">
        <v>0.5</v>
      </c>
      <c r="H36" s="144">
        <v>1</v>
      </c>
      <c r="I36" s="144">
        <v>0.1</v>
      </c>
      <c r="J36" s="144">
        <v>1</v>
      </c>
      <c r="K36" s="144">
        <v>1.1000000000000001</v>
      </c>
      <c r="L36" s="144">
        <v>26.4</v>
      </c>
      <c r="M36" s="144">
        <v>16.600000000000001</v>
      </c>
      <c r="N36" s="144"/>
      <c r="O36" s="144">
        <v>9.8000000000000007</v>
      </c>
      <c r="P36" s="144"/>
      <c r="Q36" s="144">
        <v>74</v>
      </c>
      <c r="R36" s="144">
        <v>74</v>
      </c>
      <c r="S36" s="144"/>
      <c r="T36" s="144"/>
      <c r="U36" s="144">
        <v>158.5</v>
      </c>
      <c r="V36" s="144"/>
      <c r="W36" s="144">
        <v>135.9</v>
      </c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</row>
    <row r="37" spans="1:42" x14ac:dyDescent="0.25">
      <c r="A37" s="354" t="s">
        <v>311</v>
      </c>
      <c r="B37" s="353">
        <v>2015</v>
      </c>
      <c r="C37" s="353" t="s">
        <v>152</v>
      </c>
      <c r="D37" s="144">
        <v>5.4</v>
      </c>
      <c r="E37" s="144">
        <v>3.9</v>
      </c>
      <c r="F37" s="144">
        <v>3.8</v>
      </c>
      <c r="G37" s="144"/>
      <c r="H37" s="144">
        <v>0</v>
      </c>
      <c r="I37" s="144"/>
      <c r="J37" s="144"/>
      <c r="K37" s="144">
        <v>0.1</v>
      </c>
      <c r="L37" s="144">
        <v>0.5</v>
      </c>
      <c r="M37" s="144">
        <v>0</v>
      </c>
      <c r="N37" s="144">
        <v>0.2</v>
      </c>
      <c r="O37" s="144">
        <v>0.2</v>
      </c>
      <c r="P37" s="144">
        <v>0.1</v>
      </c>
      <c r="Q37" s="144">
        <v>4.0999999999999996</v>
      </c>
      <c r="R37" s="144">
        <v>3.8</v>
      </c>
      <c r="S37" s="144">
        <v>0.3</v>
      </c>
      <c r="T37" s="144">
        <v>0.1</v>
      </c>
      <c r="U37" s="144">
        <v>14</v>
      </c>
      <c r="V37" s="144">
        <v>0.4</v>
      </c>
      <c r="W37" s="144">
        <v>13.6</v>
      </c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</row>
    <row r="38" spans="1:42" x14ac:dyDescent="0.25">
      <c r="A38" s="352" t="s">
        <v>312</v>
      </c>
      <c r="B38" s="353">
        <v>2015</v>
      </c>
      <c r="C38" s="353" t="s">
        <v>152</v>
      </c>
      <c r="D38" s="144">
        <v>14.1</v>
      </c>
      <c r="E38" s="144">
        <v>4.5999999999999996</v>
      </c>
      <c r="F38" s="144">
        <v>1.6</v>
      </c>
      <c r="G38" s="144">
        <v>0.9</v>
      </c>
      <c r="H38" s="144">
        <v>1.8</v>
      </c>
      <c r="I38" s="144">
        <v>0.3</v>
      </c>
      <c r="J38" s="144"/>
      <c r="K38" s="144"/>
      <c r="L38" s="144">
        <v>2.2000000000000002</v>
      </c>
      <c r="M38" s="144">
        <v>0</v>
      </c>
      <c r="N38" s="144">
        <v>0.5</v>
      </c>
      <c r="O38" s="144">
        <v>1.1000000000000001</v>
      </c>
      <c r="P38" s="144">
        <v>0.5</v>
      </c>
      <c r="Q38" s="144">
        <v>4.3</v>
      </c>
      <c r="R38" s="144">
        <v>4</v>
      </c>
      <c r="S38" s="144">
        <v>0.3</v>
      </c>
      <c r="T38" s="144">
        <v>0.1</v>
      </c>
      <c r="U38" s="144">
        <v>25.2</v>
      </c>
      <c r="V38" s="144">
        <v>0.4</v>
      </c>
      <c r="W38" s="144">
        <v>27.2</v>
      </c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</row>
    <row r="39" spans="1:42" x14ac:dyDescent="0.25">
      <c r="A39" s="355" t="s">
        <v>315</v>
      </c>
      <c r="B39" s="353">
        <v>2015</v>
      </c>
      <c r="C39" s="353" t="s">
        <v>152</v>
      </c>
      <c r="D39" s="144">
        <v>836</v>
      </c>
      <c r="E39" s="144">
        <v>1360.6</v>
      </c>
      <c r="F39" s="144">
        <v>338.9</v>
      </c>
      <c r="G39" s="144">
        <v>418.3</v>
      </c>
      <c r="H39" s="144">
        <v>409.4</v>
      </c>
      <c r="I39" s="144">
        <v>31.9</v>
      </c>
      <c r="J39" s="144">
        <v>48.8</v>
      </c>
      <c r="K39" s="144">
        <v>113.3</v>
      </c>
      <c r="L39" s="144">
        <v>553.1</v>
      </c>
      <c r="M39" s="144">
        <v>310.2</v>
      </c>
      <c r="N39" s="144">
        <v>102.3</v>
      </c>
      <c r="O39" s="144">
        <v>118.7</v>
      </c>
      <c r="P39" s="144">
        <v>21.9</v>
      </c>
      <c r="Q39" s="144">
        <v>569.1</v>
      </c>
      <c r="R39" s="144">
        <v>489.2</v>
      </c>
      <c r="S39" s="144">
        <v>79.8</v>
      </c>
      <c r="T39" s="144">
        <v>11.7</v>
      </c>
      <c r="U39" s="144">
        <v>3330.5</v>
      </c>
      <c r="V39" s="144">
        <v>46.4</v>
      </c>
      <c r="W39" s="144">
        <v>3278.1</v>
      </c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</row>
    <row r="50" spans="1:38" x14ac:dyDescent="0.25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15" t="s">
        <v>151</v>
      </c>
      <c r="U50" s="565" t="s">
        <v>150</v>
      </c>
      <c r="W50" s="546" t="s">
        <v>197</v>
      </c>
      <c r="X50" s="546" t="s">
        <v>63</v>
      </c>
      <c r="Y50" s="546" t="s">
        <v>393</v>
      </c>
      <c r="Z50" s="547" t="s">
        <v>57</v>
      </c>
      <c r="AA50" s="547" t="s">
        <v>348</v>
      </c>
      <c r="AB50" s="547" t="s">
        <v>349</v>
      </c>
      <c r="AC50" s="547" t="s">
        <v>595</v>
      </c>
      <c r="AD50" s="547" t="s">
        <v>352</v>
      </c>
      <c r="AE50" s="547" t="s">
        <v>43</v>
      </c>
      <c r="AF50" s="547" t="s">
        <v>42</v>
      </c>
      <c r="AG50" s="547" t="s">
        <v>44</v>
      </c>
      <c r="AH50" s="547" t="s">
        <v>397</v>
      </c>
      <c r="AI50" s="547" t="s">
        <v>394</v>
      </c>
      <c r="AJ50" s="547" t="s">
        <v>133</v>
      </c>
      <c r="AK50" s="547" t="s">
        <v>647</v>
      </c>
      <c r="AL50" s="547" t="s">
        <v>359</v>
      </c>
    </row>
    <row r="51" spans="1:38" x14ac:dyDescent="0.25">
      <c r="A51" s="366" t="str">
        <f>$A4</f>
        <v>AT</v>
      </c>
      <c r="B51" s="366">
        <f>B4</f>
        <v>2015</v>
      </c>
      <c r="C51" s="366" t="str">
        <f>C4</f>
        <v>TWh</v>
      </c>
      <c r="D51" s="144">
        <f>D4</f>
        <v>0</v>
      </c>
      <c r="E51" s="144">
        <f>F4</f>
        <v>0</v>
      </c>
      <c r="F51" s="167">
        <f>G4</f>
        <v>3</v>
      </c>
      <c r="G51" s="167">
        <f>H4</f>
        <v>7.5</v>
      </c>
      <c r="H51" s="422">
        <f>I4+J4+K4</f>
        <v>3.6</v>
      </c>
      <c r="I51" s="167">
        <f>M4</f>
        <v>3.6</v>
      </c>
      <c r="J51" s="144">
        <v>0</v>
      </c>
      <c r="K51" s="422">
        <f>N4</f>
        <v>0.4</v>
      </c>
      <c r="L51" s="422">
        <f>O4</f>
        <v>2.5</v>
      </c>
      <c r="M51" s="422">
        <f>P4</f>
        <v>0</v>
      </c>
      <c r="N51" s="167">
        <f>R4</f>
        <v>32.6</v>
      </c>
      <c r="O51" s="167">
        <f>S4</f>
        <v>3.7</v>
      </c>
      <c r="P51" s="422">
        <f>T4</f>
        <v>7.8</v>
      </c>
      <c r="Q51" s="167">
        <f t="shared" ref="Q51:Q86" si="0">SUM(D51:P51)</f>
        <v>64.7</v>
      </c>
      <c r="R51" s="167">
        <f>U4</f>
        <v>64.599999999999994</v>
      </c>
      <c r="S51" s="424">
        <f>Q51/R51</f>
        <v>1.0015479876160993</v>
      </c>
      <c r="T51" s="516">
        <f>INDEX($A$4:$W$39,MATCH(Generation_Entsoe_SFS_2015[[#This Row],[Country]],$A$4:$A$39,0),MATCH(Generation_Entsoe_SFS_2015[[#Headers],[Consumption]],$A$2:$W$2,0))</f>
        <v>69.599999999999994</v>
      </c>
      <c r="U51" s="516">
        <f>INDEX($A$4:$W$39,MATCH(Generation_Entsoe_SFS_2015[[#This Row],[Country]],$A$4:$A$39,0),MATCH(Generation_Entsoe_SFS_2015[[#Headers],[Pumping]],$A$2:$W$2,0))</f>
        <v>5.0999999999999996</v>
      </c>
      <c r="W51" s="544" t="str">
        <f>$A4</f>
        <v>AT</v>
      </c>
      <c r="X51" s="544">
        <v>2015</v>
      </c>
      <c r="Y51" s="544" t="s">
        <v>648</v>
      </c>
      <c r="Z51" s="548">
        <f>IFERROR(Generation_Entsoe_SFS_2015[[#This Row],[Nuclear]]/'Capacity_Entsoe_SFS_2015'!D49*10^6,0)</f>
        <v>0</v>
      </c>
      <c r="AA51" s="548">
        <f>IFERROR(Generation_Entsoe_SFS_2015[[#This Row],[Lignite]]/'Capacity_Entsoe_SFS_2015'!E49*10^6,0)</f>
        <v>0</v>
      </c>
      <c r="AB51" s="548">
        <f>IFERROR(Generation_Entsoe_SFS_2015[[#This Row],[Hard coal]]/'Capacity_Entsoe_SFS_2015'!F49*10^6,0)</f>
        <v>2561.9128949615715</v>
      </c>
      <c r="AC51" s="548">
        <f>IFERROR(Generation_Entsoe_SFS_2015[[#This Row],[Fossil gases]]/'Capacity_Entsoe_SFS_2015'!G49*10^6,0)</f>
        <v>1534.3698854337151</v>
      </c>
      <c r="AD51" s="548">
        <f>IFERROR(Generation_Entsoe_SFS_2015[[#This Row],[Other fossil fuels]]/'Capacity_Entsoe_SFS_2015'!H49*10^6,0)</f>
        <v>2430.7900067521946</v>
      </c>
      <c r="AE51" s="548">
        <f>IFERROR(Generation_Entsoe_SFS_2015[[#This Row],[Wind onshore]]/'Capacity_Entsoe_SFS_2015'!I49*10^6,0)</f>
        <v>1817.2640080767289</v>
      </c>
      <c r="AF51" s="548">
        <f>IFERROR(Generation_Entsoe_SFS_2015[[#This Row],[Wind offshore]]/'Capacity_Entsoe_SFS_2015'!J49*10^6,0)</f>
        <v>0</v>
      </c>
      <c r="AG51" s="548">
        <f>IFERROR(Generation_Entsoe_SFS_2015[[#This Row],[Solar PV]]/'Capacity_Entsoe_SFS_2015'!K49*10^6,0)</f>
        <v>990.09900990099015</v>
      </c>
      <c r="AH51" s="548">
        <f>IFERROR(Generation_Entsoe_SFS_2015[[#This Row],[Bioenergy]]/'Capacity_Entsoe_SFS_2015'!L49*10^6,0)</f>
        <v>5995.2038369304555</v>
      </c>
      <c r="AI51" s="548">
        <f>IFERROR(Generation_Entsoe_SFS_2015[[#This Row],[Other RES]]/'Capacity_Entsoe_SFS_2015'!M49*10^6,0)</f>
        <v>0</v>
      </c>
      <c r="AJ51" s="548">
        <f>IFERROR(Generation_Entsoe_SFS_2015[[#This Row],[Renewable Hydro]]/'Capacity_Entsoe_SFS_2015'!N49*10^6,0)</f>
        <v>2402.535190507775</v>
      </c>
      <c r="AK51" s="548">
        <f>IFERROR(Generation_Entsoe_SFS_2015[[#This Row],[Pumped Hydro]]/'Capacity_Entsoe_SFS_2015'!O49*10^6,0)</f>
        <v>0</v>
      </c>
      <c r="AL51" s="548">
        <f>IFERROR(Generation_Entsoe_SFS_2015[[#This Row],[Other sources]]/'Capacity_Entsoe_SFS_2015'!P49*10^6,0)</f>
        <v>24761.904761904763</v>
      </c>
    </row>
    <row r="52" spans="1:38" x14ac:dyDescent="0.25">
      <c r="A52" s="366" t="str">
        <f t="shared" ref="A52:A86" si="1">$A5</f>
        <v>BA</v>
      </c>
      <c r="B52" s="366">
        <f t="shared" ref="B52:C66" si="2">B6</f>
        <v>2015</v>
      </c>
      <c r="C52" s="366" t="str">
        <f t="shared" si="2"/>
        <v>TWh</v>
      </c>
      <c r="D52" s="144">
        <f t="shared" ref="D52:D86" si="3">D5</f>
        <v>0</v>
      </c>
      <c r="E52" s="144">
        <f t="shared" ref="E52:G52" si="4">F5</f>
        <v>8.5</v>
      </c>
      <c r="F52" s="167">
        <f t="shared" si="4"/>
        <v>0</v>
      </c>
      <c r="G52" s="167">
        <f t="shared" si="4"/>
        <v>0</v>
      </c>
      <c r="H52" s="422">
        <f t="shared" ref="H52:H86" si="5">I5+J5+K5</f>
        <v>0</v>
      </c>
      <c r="I52" s="167">
        <f t="shared" ref="I52:I86" si="6">M5</f>
        <v>0</v>
      </c>
      <c r="J52" s="144">
        <v>0</v>
      </c>
      <c r="K52" s="422">
        <f t="shared" ref="K52:M52" si="7">N5</f>
        <v>0</v>
      </c>
      <c r="L52" s="422">
        <f t="shared" si="7"/>
        <v>0</v>
      </c>
      <c r="M52" s="422">
        <f t="shared" si="7"/>
        <v>0</v>
      </c>
      <c r="N52" s="167">
        <f t="shared" ref="N52:P52" si="8">R5</f>
        <v>5.6</v>
      </c>
      <c r="O52" s="167">
        <f t="shared" si="8"/>
        <v>0</v>
      </c>
      <c r="P52" s="422">
        <f t="shared" si="8"/>
        <v>0</v>
      </c>
      <c r="Q52" s="167">
        <f t="shared" si="0"/>
        <v>14.1</v>
      </c>
      <c r="R52" s="167">
        <f t="shared" ref="R52:R72" si="9">U6</f>
        <v>65.5</v>
      </c>
      <c r="S52" s="424">
        <f t="shared" ref="S52:S81" si="10">Q52/R52</f>
        <v>0.21526717557251906</v>
      </c>
      <c r="T52" s="516">
        <f>INDEX($A$4:$W$39,MATCH(Generation_Entsoe_SFS_2015[[#This Row],[Country]],$A$4:$A$39,0),MATCH(Generation_Entsoe_SFS_2015[[#Headers],[Consumption]],$A$2:$W$2,0))</f>
        <v>12</v>
      </c>
      <c r="U52" s="516">
        <f>INDEX($A$4:$W$39,MATCH(Generation_Entsoe_SFS_2015[[#This Row],[Country]],$A$4:$A$39,0),MATCH(Generation_Entsoe_SFS_2015[[#Headers],[Pumping]],$A$2:$W$2,0))</f>
        <v>0</v>
      </c>
      <c r="W52" s="544" t="str">
        <f t="shared" ref="W52:W86" si="11">$A5</f>
        <v>BA</v>
      </c>
      <c r="X52" s="544">
        <v>2015</v>
      </c>
      <c r="Y52" s="544" t="s">
        <v>648</v>
      </c>
      <c r="Z52" s="549">
        <f>IFERROR(Generation_Entsoe_SFS_2015[[#This Row],[Nuclear]]/'Capacity_Entsoe_SFS_2015'!D50*10^6,0)</f>
        <v>0</v>
      </c>
      <c r="AA52" s="549">
        <f>IFERROR(Generation_Entsoe_SFS_2015[[#This Row],[Lignite]]/'Capacity_Entsoe_SFS_2015'!E50*10^6,0)</f>
        <v>5386.5652724968322</v>
      </c>
      <c r="AB52" s="549">
        <f>IFERROR(Generation_Entsoe_SFS_2015[[#This Row],[Hard coal]]/'Capacity_Entsoe_SFS_2015'!F50*10^6,0)</f>
        <v>0</v>
      </c>
      <c r="AC52" s="549">
        <f>IFERROR(Generation_Entsoe_SFS_2015[[#This Row],[Fossil gases]]/'Capacity_Entsoe_SFS_2015'!G50*10^6,0)</f>
        <v>0</v>
      </c>
      <c r="AD52" s="549">
        <f>IFERROR(Generation_Entsoe_SFS_2015[[#This Row],[Other fossil fuels]]/'Capacity_Entsoe_SFS_2015'!H50*10^6,0)</f>
        <v>0</v>
      </c>
      <c r="AE52" s="549">
        <f>IFERROR(Generation_Entsoe_SFS_2015[[#This Row],[Wind onshore]]/'Capacity_Entsoe_SFS_2015'!I50*10^6,0)</f>
        <v>0</v>
      </c>
      <c r="AF52" s="549">
        <f>IFERROR(Generation_Entsoe_SFS_2015[[#This Row],[Wind offshore]]/'Capacity_Entsoe_SFS_2015'!J50*10^6,0)</f>
        <v>0</v>
      </c>
      <c r="AG52" s="549">
        <f>IFERROR(Generation_Entsoe_SFS_2015[[#This Row],[Solar PV]]/'Capacity_Entsoe_SFS_2015'!K50*10^6,0)</f>
        <v>0</v>
      </c>
      <c r="AH52" s="549">
        <f>IFERROR(Generation_Entsoe_SFS_2015[[#This Row],[Bioenergy]]/'Capacity_Entsoe_SFS_2015'!L50*10^6,0)</f>
        <v>0</v>
      </c>
      <c r="AI52" s="549">
        <f>IFERROR(Generation_Entsoe_SFS_2015[[#This Row],[Other RES]]/'Capacity_Entsoe_SFS_2015'!M50*10^6,0)</f>
        <v>0</v>
      </c>
      <c r="AJ52" s="549">
        <f>IFERROR(Generation_Entsoe_SFS_2015[[#This Row],[Renewable Hydro]]/'Capacity_Entsoe_SFS_2015'!N50*10^6,0)</f>
        <v>3456.7901234567898</v>
      </c>
      <c r="AK52" s="549">
        <f>IFERROR(Generation_Entsoe_SFS_2015[[#This Row],[Pumped Hydro]]/'Capacity_Entsoe_SFS_2015'!O50*10^6,0)</f>
        <v>0</v>
      </c>
      <c r="AL52" s="549">
        <f>IFERROR(Generation_Entsoe_SFS_2015[[#This Row],[Other sources]]/'Capacity_Entsoe_SFS_2015'!P50*10^6,0)</f>
        <v>0</v>
      </c>
    </row>
    <row r="53" spans="1:38" x14ac:dyDescent="0.25">
      <c r="A53" s="366" t="str">
        <f t="shared" si="1"/>
        <v>BE</v>
      </c>
      <c r="B53" s="366">
        <f t="shared" si="2"/>
        <v>2015</v>
      </c>
      <c r="C53" s="366" t="str">
        <f t="shared" si="2"/>
        <v>TWh</v>
      </c>
      <c r="D53" s="144">
        <f t="shared" si="3"/>
        <v>24.6</v>
      </c>
      <c r="E53" s="144">
        <f t="shared" ref="E53:G53" si="12">F6</f>
        <v>0</v>
      </c>
      <c r="F53" s="167">
        <f t="shared" si="12"/>
        <v>4</v>
      </c>
      <c r="G53" s="167">
        <f t="shared" si="12"/>
        <v>20.8</v>
      </c>
      <c r="H53" s="422">
        <f t="shared" si="5"/>
        <v>1.2000000000000002</v>
      </c>
      <c r="I53" s="167">
        <f t="shared" si="6"/>
        <v>5.4</v>
      </c>
      <c r="J53" s="144">
        <v>0</v>
      </c>
      <c r="K53" s="422">
        <f t="shared" ref="K53:M53" si="13">N6</f>
        <v>3</v>
      </c>
      <c r="L53" s="422">
        <f t="shared" si="13"/>
        <v>2.8</v>
      </c>
      <c r="M53" s="422">
        <f t="shared" si="13"/>
        <v>2</v>
      </c>
      <c r="N53" s="167">
        <f t="shared" ref="N53:P53" si="14">R6</f>
        <v>0.3</v>
      </c>
      <c r="O53" s="167">
        <f t="shared" si="14"/>
        <v>1.1000000000000001</v>
      </c>
      <c r="P53" s="422">
        <f t="shared" si="14"/>
        <v>0.2</v>
      </c>
      <c r="Q53" s="167">
        <f t="shared" si="0"/>
        <v>65.400000000000006</v>
      </c>
      <c r="R53" s="167">
        <f t="shared" si="9"/>
        <v>44.5</v>
      </c>
      <c r="S53" s="424">
        <f t="shared" si="10"/>
        <v>1.4696629213483148</v>
      </c>
      <c r="T53" s="516">
        <f>INDEX($A$4:$W$39,MATCH(Generation_Entsoe_SFS_2015[[#This Row],[Country]],$A$4:$A$39,0),MATCH(Generation_Entsoe_SFS_2015[[#Headers],[Consumption]],$A$2:$W$2,0))</f>
        <v>85</v>
      </c>
      <c r="U53" s="516">
        <f>INDEX($A$4:$W$39,MATCH(Generation_Entsoe_SFS_2015[[#This Row],[Country]],$A$4:$A$39,0),MATCH(Generation_Entsoe_SFS_2015[[#Headers],[Pumping]],$A$2:$W$2,0))</f>
        <v>1.4</v>
      </c>
      <c r="W53" s="544" t="str">
        <f t="shared" si="11"/>
        <v>BE</v>
      </c>
      <c r="X53" s="544">
        <v>2015</v>
      </c>
      <c r="Y53" s="544" t="s">
        <v>648</v>
      </c>
      <c r="Z53" s="548">
        <f>IFERROR(Generation_Entsoe_SFS_2015[[#This Row],[Nuclear]]/'Capacity_Entsoe_SFS_2015'!D51*10^6,0)</f>
        <v>4151.1981100236244</v>
      </c>
      <c r="AA53" s="548">
        <f>IFERROR(Generation_Entsoe_SFS_2015[[#This Row],[Lignite]]/'Capacity_Entsoe_SFS_2015'!E51*10^6,0)</f>
        <v>0</v>
      </c>
      <c r="AB53" s="548">
        <f>IFERROR(Generation_Entsoe_SFS_2015[[#This Row],[Hard coal]]/'Capacity_Entsoe_SFS_2015'!F51*10^6,0)</f>
        <v>8510.6382978723414</v>
      </c>
      <c r="AC53" s="548">
        <f>IFERROR(Generation_Entsoe_SFS_2015[[#This Row],[Fossil gases]]/'Capacity_Entsoe_SFS_2015'!G51*10^6,0)</f>
        <v>3029.8616168973053</v>
      </c>
      <c r="AD53" s="548">
        <f>IFERROR(Generation_Entsoe_SFS_2015[[#This Row],[Other fossil fuels]]/'Capacity_Entsoe_SFS_2015'!H51*10^6,0)</f>
        <v>4545.454545454546</v>
      </c>
      <c r="AE53" s="548">
        <f>IFERROR(Generation_Entsoe_SFS_2015[[#This Row],[Wind onshore]]/'Capacity_Entsoe_SFS_2015'!I51*10^6,0)</f>
        <v>2486.1878453038676</v>
      </c>
      <c r="AF53" s="548">
        <f>IFERROR(Generation_Entsoe_SFS_2015[[#This Row],[Wind offshore]]/'Capacity_Entsoe_SFS_2015'!J51*10^6,0)</f>
        <v>0</v>
      </c>
      <c r="AG53" s="548">
        <f>IFERROR(Generation_Entsoe_SFS_2015[[#This Row],[Solar PV]]/'Capacity_Entsoe_SFS_2015'!K51*10^6,0)</f>
        <v>977.83572359843549</v>
      </c>
      <c r="AH53" s="548">
        <f>IFERROR(Generation_Entsoe_SFS_2015[[#This Row],[Bioenergy]]/'Capacity_Entsoe_SFS_2015'!L51*10^6,0)</f>
        <v>2314.0495867768591</v>
      </c>
      <c r="AI53" s="548">
        <f>IFERROR(Generation_Entsoe_SFS_2015[[#This Row],[Other RES]]/'Capacity_Entsoe_SFS_2015'!M51*10^6,0)</f>
        <v>0</v>
      </c>
      <c r="AJ53" s="548">
        <f>IFERROR(Generation_Entsoe_SFS_2015[[#This Row],[Renewable Hydro]]/'Capacity_Entsoe_SFS_2015'!N51*10^6,0)</f>
        <v>2586.2068965517242</v>
      </c>
      <c r="AK53" s="548">
        <f>IFERROR(Generation_Entsoe_SFS_2015[[#This Row],[Pumped Hydro]]/'Capacity_Entsoe_SFS_2015'!O51*10^6,0)</f>
        <v>840.97859327217134</v>
      </c>
      <c r="AL53" s="548">
        <f>IFERROR(Generation_Entsoe_SFS_2015[[#This Row],[Other sources]]/'Capacity_Entsoe_SFS_2015'!P51*10^6,0)</f>
        <v>0</v>
      </c>
    </row>
    <row r="54" spans="1:38" x14ac:dyDescent="0.25">
      <c r="A54" s="366" t="str">
        <f t="shared" si="1"/>
        <v>BG</v>
      </c>
      <c r="B54" s="366">
        <f t="shared" si="2"/>
        <v>2015</v>
      </c>
      <c r="C54" s="366" t="str">
        <f t="shared" si="2"/>
        <v>TWh</v>
      </c>
      <c r="D54" s="144">
        <f t="shared" si="3"/>
        <v>14.3</v>
      </c>
      <c r="E54" s="144">
        <f t="shared" ref="E54:G54" si="15">F7</f>
        <v>18.8</v>
      </c>
      <c r="F54" s="167">
        <f t="shared" si="15"/>
        <v>1</v>
      </c>
      <c r="G54" s="167">
        <f t="shared" si="15"/>
        <v>1.3</v>
      </c>
      <c r="H54" s="422">
        <f t="shared" si="5"/>
        <v>0</v>
      </c>
      <c r="I54" s="167">
        <f t="shared" si="6"/>
        <v>1.4</v>
      </c>
      <c r="J54" s="144">
        <v>0</v>
      </c>
      <c r="K54" s="422">
        <f t="shared" ref="K54:M54" si="16">N7</f>
        <v>1.4</v>
      </c>
      <c r="L54" s="422">
        <f t="shared" si="16"/>
        <v>0.2</v>
      </c>
      <c r="M54" s="422">
        <f t="shared" si="16"/>
        <v>0</v>
      </c>
      <c r="N54" s="167">
        <f t="shared" ref="N54:P54" si="17">R7</f>
        <v>5.7</v>
      </c>
      <c r="O54" s="167">
        <f t="shared" si="17"/>
        <v>0.5</v>
      </c>
      <c r="P54" s="422">
        <f t="shared" si="17"/>
        <v>0</v>
      </c>
      <c r="Q54" s="167">
        <f t="shared" si="0"/>
        <v>44.6</v>
      </c>
      <c r="R54" s="167">
        <f t="shared" si="9"/>
        <v>66</v>
      </c>
      <c r="S54" s="424">
        <f t="shared" si="10"/>
        <v>0.67575757575757578</v>
      </c>
      <c r="T54" s="516">
        <f>INDEX($A$4:$W$39,MATCH(Generation_Entsoe_SFS_2015[[#This Row],[Country]],$A$4:$A$39,0),MATCH(Generation_Entsoe_SFS_2015[[#Headers],[Consumption]],$A$2:$W$2,0))</f>
        <v>33.200000000000003</v>
      </c>
      <c r="U54" s="516">
        <f>INDEX($A$4:$W$39,MATCH(Generation_Entsoe_SFS_2015[[#This Row],[Country]],$A$4:$A$39,0),MATCH(Generation_Entsoe_SFS_2015[[#Headers],[Pumping]],$A$2:$W$2,0))</f>
        <v>0.7</v>
      </c>
      <c r="W54" s="544" t="str">
        <f t="shared" si="11"/>
        <v>BG</v>
      </c>
      <c r="X54" s="544">
        <v>2015</v>
      </c>
      <c r="Y54" s="544" t="s">
        <v>648</v>
      </c>
      <c r="Z54" s="549">
        <f>IFERROR(Generation_Entsoe_SFS_2015[[#This Row],[Nuclear]]/'Capacity_Entsoe_SFS_2015'!D52*10^6,0)</f>
        <v>7150</v>
      </c>
      <c r="AA54" s="549">
        <f>IFERROR(Generation_Entsoe_SFS_2015[[#This Row],[Lignite]]/'Capacity_Entsoe_SFS_2015'!E52*10^6,0)</f>
        <v>4477.2564896403901</v>
      </c>
      <c r="AB54" s="549">
        <f>IFERROR(Generation_Entsoe_SFS_2015[[#This Row],[Hard coal]]/'Capacity_Entsoe_SFS_2015'!F52*10^6,0)</f>
        <v>1412.4293785310736</v>
      </c>
      <c r="AC54" s="549">
        <f>IFERROR(Generation_Entsoe_SFS_2015[[#This Row],[Fossil gases]]/'Capacity_Entsoe_SFS_2015'!G52*10^6,0)</f>
        <v>1627.0337922403005</v>
      </c>
      <c r="AD54" s="549">
        <f>IFERROR(Generation_Entsoe_SFS_2015[[#This Row],[Other fossil fuels]]/'Capacity_Entsoe_SFS_2015'!H52*10^6,0)</f>
        <v>0</v>
      </c>
      <c r="AE54" s="549">
        <f>IFERROR(Generation_Entsoe_SFS_2015[[#This Row],[Wind onshore]]/'Capacity_Entsoe_SFS_2015'!I52*10^6,0)</f>
        <v>1997.1469329529241</v>
      </c>
      <c r="AF54" s="549">
        <f>IFERROR(Generation_Entsoe_SFS_2015[[#This Row],[Wind offshore]]/'Capacity_Entsoe_SFS_2015'!J52*10^6,0)</f>
        <v>0</v>
      </c>
      <c r="AG54" s="549">
        <f>IFERROR(Generation_Entsoe_SFS_2015[[#This Row],[Solar PV]]/'Capacity_Entsoe_SFS_2015'!K52*10^6,0)</f>
        <v>1344.860710854947</v>
      </c>
      <c r="AH54" s="549">
        <f>IFERROR(Generation_Entsoe_SFS_2015[[#This Row],[Bioenergy]]/'Capacity_Entsoe_SFS_2015'!L52*10^6,0)</f>
        <v>3125</v>
      </c>
      <c r="AI54" s="549">
        <f>IFERROR(Generation_Entsoe_SFS_2015[[#This Row],[Other RES]]/'Capacity_Entsoe_SFS_2015'!M52*10^6,0)</f>
        <v>0</v>
      </c>
      <c r="AJ54" s="549">
        <f>IFERROR(Generation_Entsoe_SFS_2015[[#This Row],[Renewable Hydro]]/'Capacity_Entsoe_SFS_2015'!N52*10^6,0)</f>
        <v>2442.1593830334191</v>
      </c>
      <c r="AK54" s="549">
        <f>IFERROR(Generation_Entsoe_SFS_2015[[#This Row],[Pumped Hydro]]/'Capacity_Entsoe_SFS_2015'!O52*10^6,0)</f>
        <v>578.7037037037037</v>
      </c>
      <c r="AL54" s="549">
        <f>IFERROR(Generation_Entsoe_SFS_2015[[#This Row],[Other sources]]/'Capacity_Entsoe_SFS_2015'!P52*10^6,0)</f>
        <v>0</v>
      </c>
    </row>
    <row r="55" spans="1:38" x14ac:dyDescent="0.25">
      <c r="A55" s="366" t="str">
        <f t="shared" si="1"/>
        <v>CH</v>
      </c>
      <c r="B55" s="366">
        <f t="shared" si="2"/>
        <v>2015</v>
      </c>
      <c r="C55" s="366" t="str">
        <f t="shared" si="2"/>
        <v>TWh</v>
      </c>
      <c r="D55" s="144">
        <f t="shared" si="3"/>
        <v>22.1</v>
      </c>
      <c r="E55" s="144">
        <f t="shared" ref="E55:G55" si="18">F8</f>
        <v>0</v>
      </c>
      <c r="F55" s="167">
        <f t="shared" si="18"/>
        <v>0</v>
      </c>
      <c r="G55" s="167">
        <f t="shared" si="18"/>
        <v>0</v>
      </c>
      <c r="H55" s="422">
        <f t="shared" si="5"/>
        <v>2.2000000000000002</v>
      </c>
      <c r="I55" s="167">
        <f t="shared" si="6"/>
        <v>0.1</v>
      </c>
      <c r="J55" s="144">
        <v>0</v>
      </c>
      <c r="K55" s="422">
        <f t="shared" ref="K55:M55" si="19">N8</f>
        <v>0</v>
      </c>
      <c r="L55" s="422">
        <f t="shared" si="19"/>
        <v>0</v>
      </c>
      <c r="M55" s="422">
        <f t="shared" si="19"/>
        <v>2</v>
      </c>
      <c r="N55" s="167">
        <f t="shared" ref="N55:P55" si="20">R8</f>
        <v>0</v>
      </c>
      <c r="O55" s="167">
        <f t="shared" si="20"/>
        <v>39.6</v>
      </c>
      <c r="P55" s="422">
        <f t="shared" si="20"/>
        <v>0</v>
      </c>
      <c r="Q55" s="167">
        <f t="shared" si="0"/>
        <v>66</v>
      </c>
      <c r="R55" s="167">
        <f t="shared" si="9"/>
        <v>4.4000000000000004</v>
      </c>
      <c r="S55" s="424">
        <f t="shared" si="10"/>
        <v>14.999999999999998</v>
      </c>
      <c r="T55" s="516">
        <f>INDEX($A$4:$W$39,MATCH(Generation_Entsoe_SFS_2015[[#This Row],[Country]],$A$4:$A$39,0),MATCH(Generation_Entsoe_SFS_2015[[#Headers],[Consumption]],$A$2:$W$2,0))</f>
        <v>63.4</v>
      </c>
      <c r="U55" s="516">
        <f>INDEX($A$4:$W$39,MATCH(Generation_Entsoe_SFS_2015[[#This Row],[Country]],$A$4:$A$39,0),MATCH(Generation_Entsoe_SFS_2015[[#Headers],[Pumping]],$A$2:$W$2,0))</f>
        <v>2.2999999999999998</v>
      </c>
      <c r="W55" s="544" t="str">
        <f t="shared" si="11"/>
        <v>CH</v>
      </c>
      <c r="X55" s="544">
        <v>2015</v>
      </c>
      <c r="Y55" s="544" t="s">
        <v>648</v>
      </c>
      <c r="Z55" s="548">
        <f>IFERROR(Generation_Entsoe_SFS_2015[[#This Row],[Nuclear]]/'Capacity_Entsoe_SFS_2015'!D53*10^6,0)</f>
        <v>6630.6630663066317</v>
      </c>
      <c r="AA55" s="548">
        <f>IFERROR(Generation_Entsoe_SFS_2015[[#This Row],[Lignite]]/'Capacity_Entsoe_SFS_2015'!E53*10^6,0)</f>
        <v>0</v>
      </c>
      <c r="AB55" s="548">
        <f>IFERROR(Generation_Entsoe_SFS_2015[[#This Row],[Hard coal]]/'Capacity_Entsoe_SFS_2015'!F53*10^6,0)</f>
        <v>0</v>
      </c>
      <c r="AC55" s="548">
        <f>IFERROR(Generation_Entsoe_SFS_2015[[#This Row],[Fossil gases]]/'Capacity_Entsoe_SFS_2015'!G53*10^6,0)</f>
        <v>0</v>
      </c>
      <c r="AD55" s="548">
        <f>IFERROR(Generation_Entsoe_SFS_2015[[#This Row],[Other fossil fuels]]/'Capacity_Entsoe_SFS_2015'!H53*10^6,0)</f>
        <v>4382.4701195219122</v>
      </c>
      <c r="AE55" s="548">
        <f>IFERROR(Generation_Entsoe_SFS_2015[[#This Row],[Wind onshore]]/'Capacity_Entsoe_SFS_2015'!I53*10^6,0)</f>
        <v>1666.6666666666667</v>
      </c>
      <c r="AF55" s="548">
        <f>IFERROR(Generation_Entsoe_SFS_2015[[#This Row],[Wind offshore]]/'Capacity_Entsoe_SFS_2015'!J53*10^6,0)</f>
        <v>0</v>
      </c>
      <c r="AG55" s="548">
        <f>IFERROR(Generation_Entsoe_SFS_2015[[#This Row],[Solar PV]]/'Capacity_Entsoe_SFS_2015'!K53*10^6,0)</f>
        <v>0</v>
      </c>
      <c r="AH55" s="548">
        <f>IFERROR(Generation_Entsoe_SFS_2015[[#This Row],[Bioenergy]]/'Capacity_Entsoe_SFS_2015'!L53*10^6,0)</f>
        <v>0</v>
      </c>
      <c r="AI55" s="548">
        <f>IFERROR(Generation_Entsoe_SFS_2015[[#This Row],[Other RES]]/'Capacity_Entsoe_SFS_2015'!M53*10^6,0)</f>
        <v>0</v>
      </c>
      <c r="AJ55" s="548">
        <f>IFERROR(Generation_Entsoe_SFS_2015[[#This Row],[Renewable Hydro]]/'Capacity_Entsoe_SFS_2015'!N53*10^6,0)</f>
        <v>0</v>
      </c>
      <c r="AK55" s="554">
        <f>IFERROR(Generation_Entsoe_SFS_2015[[#This Row],[Pumped Hydro]]/'Capacity_Entsoe_SFS_2015'!O53*10^6,0)</f>
        <v>28633.405639913235</v>
      </c>
      <c r="AL55" s="548">
        <f>IFERROR(Generation_Entsoe_SFS_2015[[#This Row],[Other sources]]/'Capacity_Entsoe_SFS_2015'!P53*10^6,0)</f>
        <v>0</v>
      </c>
    </row>
    <row r="56" spans="1:38" x14ac:dyDescent="0.25">
      <c r="A56" s="366" t="str">
        <f t="shared" si="1"/>
        <v>CY</v>
      </c>
      <c r="B56" s="366">
        <f t="shared" si="2"/>
        <v>2015</v>
      </c>
      <c r="C56" s="366" t="str">
        <f t="shared" si="2"/>
        <v>TWh</v>
      </c>
      <c r="D56" s="144">
        <f t="shared" si="3"/>
        <v>0</v>
      </c>
      <c r="E56" s="144">
        <f t="shared" ref="E56:G56" si="21">F9</f>
        <v>0</v>
      </c>
      <c r="F56" s="167">
        <f t="shared" si="21"/>
        <v>0</v>
      </c>
      <c r="G56" s="167">
        <f t="shared" si="21"/>
        <v>0</v>
      </c>
      <c r="H56" s="422">
        <f t="shared" si="5"/>
        <v>4.2</v>
      </c>
      <c r="I56" s="167">
        <f t="shared" si="6"/>
        <v>0.2</v>
      </c>
      <c r="J56" s="144">
        <v>0</v>
      </c>
      <c r="K56" s="422">
        <f t="shared" ref="K56:M56" si="22">N9</f>
        <v>0</v>
      </c>
      <c r="L56" s="422">
        <f t="shared" si="22"/>
        <v>0</v>
      </c>
      <c r="M56" s="422">
        <f t="shared" si="22"/>
        <v>0</v>
      </c>
      <c r="N56" s="167">
        <f t="shared" ref="N56:P56" si="23">R9</f>
        <v>0</v>
      </c>
      <c r="O56" s="167">
        <f t="shared" si="23"/>
        <v>0</v>
      </c>
      <c r="P56" s="422">
        <f t="shared" si="23"/>
        <v>0</v>
      </c>
      <c r="Q56" s="167">
        <f t="shared" si="0"/>
        <v>4.4000000000000004</v>
      </c>
      <c r="R56" s="167">
        <f t="shared" si="9"/>
        <v>77.5</v>
      </c>
      <c r="S56" s="424">
        <f t="shared" si="10"/>
        <v>5.67741935483871E-2</v>
      </c>
      <c r="T56" s="516">
        <f>INDEX($A$4:$W$39,MATCH(Generation_Entsoe_SFS_2015[[#This Row],[Country]],$A$4:$A$39,0),MATCH(Generation_Entsoe_SFS_2015[[#Headers],[Consumption]],$A$2:$W$2,0))</f>
        <v>4.4000000000000004</v>
      </c>
      <c r="U56" s="516">
        <f>INDEX($A$4:$W$39,MATCH(Generation_Entsoe_SFS_2015[[#This Row],[Country]],$A$4:$A$39,0),MATCH(Generation_Entsoe_SFS_2015[[#Headers],[Pumping]],$A$2:$W$2,0))</f>
        <v>0</v>
      </c>
      <c r="W56" s="544" t="str">
        <f t="shared" si="11"/>
        <v>CY</v>
      </c>
      <c r="X56" s="544">
        <v>2015</v>
      </c>
      <c r="Y56" s="544" t="s">
        <v>648</v>
      </c>
      <c r="Z56" s="549">
        <f>IFERROR(Generation_Entsoe_SFS_2015[[#This Row],[Nuclear]]/'Capacity_Entsoe_SFS_2015'!D54*10^6,0)</f>
        <v>0</v>
      </c>
      <c r="AA56" s="549">
        <f>IFERROR(Generation_Entsoe_SFS_2015[[#This Row],[Lignite]]/'Capacity_Entsoe_SFS_2015'!E54*10^6,0)</f>
        <v>0</v>
      </c>
      <c r="AB56" s="549">
        <f>IFERROR(Generation_Entsoe_SFS_2015[[#This Row],[Hard coal]]/'Capacity_Entsoe_SFS_2015'!F54*10^6,0)</f>
        <v>0</v>
      </c>
      <c r="AC56" s="549">
        <f>IFERROR(Generation_Entsoe_SFS_2015[[#This Row],[Fossil gases]]/'Capacity_Entsoe_SFS_2015'!G54*10^6,0)</f>
        <v>0</v>
      </c>
      <c r="AD56" s="549">
        <f>IFERROR(Generation_Entsoe_SFS_2015[[#This Row],[Other fossil fuels]]/'Capacity_Entsoe_SFS_2015'!H54*10^6,0)</f>
        <v>0</v>
      </c>
      <c r="AE56" s="549">
        <f>IFERROR(Generation_Entsoe_SFS_2015[[#This Row],[Wind onshore]]/'Capacity_Entsoe_SFS_2015'!I54*10^6,0)</f>
        <v>1290.3225806451612</v>
      </c>
      <c r="AF56" s="549">
        <f>IFERROR(Generation_Entsoe_SFS_2015[[#This Row],[Wind offshore]]/'Capacity_Entsoe_SFS_2015'!J54*10^6,0)</f>
        <v>0</v>
      </c>
      <c r="AG56" s="549">
        <f>IFERROR(Generation_Entsoe_SFS_2015[[#This Row],[Solar PV]]/'Capacity_Entsoe_SFS_2015'!K54*10^6,0)</f>
        <v>0</v>
      </c>
      <c r="AH56" s="549">
        <f>IFERROR(Generation_Entsoe_SFS_2015[[#This Row],[Bioenergy]]/'Capacity_Entsoe_SFS_2015'!L54*10^6,0)</f>
        <v>0</v>
      </c>
      <c r="AI56" s="549">
        <f>IFERROR(Generation_Entsoe_SFS_2015[[#This Row],[Other RES]]/'Capacity_Entsoe_SFS_2015'!M54*10^6,0)</f>
        <v>0</v>
      </c>
      <c r="AJ56" s="549">
        <f>IFERROR(Generation_Entsoe_SFS_2015[[#This Row],[Renewable Hydro]]/'Capacity_Entsoe_SFS_2015'!N54*10^6,0)</f>
        <v>0</v>
      </c>
      <c r="AK56" s="549">
        <f>IFERROR(Generation_Entsoe_SFS_2015[[#This Row],[Pumped Hydro]]/'Capacity_Entsoe_SFS_2015'!O54*10^6,0)</f>
        <v>0</v>
      </c>
      <c r="AL56" s="549">
        <f>IFERROR(Generation_Entsoe_SFS_2015[[#This Row],[Other sources]]/'Capacity_Entsoe_SFS_2015'!P54*10^6,0)</f>
        <v>0</v>
      </c>
    </row>
    <row r="57" spans="1:38" x14ac:dyDescent="0.25">
      <c r="A57" s="366" t="str">
        <f t="shared" si="1"/>
        <v>CZ</v>
      </c>
      <c r="B57" s="366">
        <f t="shared" si="2"/>
        <v>2015</v>
      </c>
      <c r="C57" s="366" t="str">
        <f t="shared" si="2"/>
        <v>TWh</v>
      </c>
      <c r="D57" s="144">
        <f t="shared" si="3"/>
        <v>25.3</v>
      </c>
      <c r="E57" s="144">
        <f t="shared" ref="E57:G57" si="24">F10</f>
        <v>32.200000000000003</v>
      </c>
      <c r="F57" s="167">
        <f t="shared" si="24"/>
        <v>4.8</v>
      </c>
      <c r="G57" s="167">
        <f t="shared" si="24"/>
        <v>4.9000000000000004</v>
      </c>
      <c r="H57" s="422">
        <f t="shared" si="5"/>
        <v>0.1</v>
      </c>
      <c r="I57" s="167">
        <f t="shared" si="6"/>
        <v>0.6</v>
      </c>
      <c r="J57" s="144">
        <v>0</v>
      </c>
      <c r="K57" s="422">
        <f t="shared" ref="K57:M57" si="25">N10</f>
        <v>2.2000000000000002</v>
      </c>
      <c r="L57" s="422">
        <f t="shared" si="25"/>
        <v>1.9</v>
      </c>
      <c r="M57" s="422">
        <f t="shared" si="25"/>
        <v>2.4</v>
      </c>
      <c r="N57" s="167">
        <f t="shared" ref="N57:P57" si="26">R10</f>
        <v>1.8</v>
      </c>
      <c r="O57" s="167">
        <f t="shared" si="26"/>
        <v>1.2</v>
      </c>
      <c r="P57" s="422">
        <f t="shared" si="26"/>
        <v>0</v>
      </c>
      <c r="Q57" s="167">
        <f t="shared" si="0"/>
        <v>77.400000000000006</v>
      </c>
      <c r="R57" s="167">
        <f t="shared" si="9"/>
        <v>580.4</v>
      </c>
      <c r="S57" s="424">
        <f t="shared" si="10"/>
        <v>0.13335630599586493</v>
      </c>
      <c r="T57" s="516">
        <f>INDEX($A$4:$W$39,MATCH(Generation_Entsoe_SFS_2015[[#This Row],[Country]],$A$4:$A$39,0),MATCH(Generation_Entsoe_SFS_2015[[#Headers],[Consumption]],$A$2:$W$2,0))</f>
        <v>63.4</v>
      </c>
      <c r="U57" s="516">
        <f>INDEX($A$4:$W$39,MATCH(Generation_Entsoe_SFS_2015[[#This Row],[Country]],$A$4:$A$39,0),MATCH(Generation_Entsoe_SFS_2015[[#Headers],[Pumping]],$A$2:$W$2,0))</f>
        <v>1.6</v>
      </c>
      <c r="W57" s="544" t="str">
        <f t="shared" si="11"/>
        <v>CZ</v>
      </c>
      <c r="X57" s="544">
        <v>2015</v>
      </c>
      <c r="Y57" s="544" t="s">
        <v>648</v>
      </c>
      <c r="Z57" s="548">
        <f>IFERROR(Generation_Entsoe_SFS_2015[[#This Row],[Nuclear]]/'Capacity_Entsoe_SFS_2015'!D55*10^6,0)</f>
        <v>6262.3762376237628</v>
      </c>
      <c r="AA57" s="548">
        <f>IFERROR(Generation_Entsoe_SFS_2015[[#This Row],[Lignite]]/'Capacity_Entsoe_SFS_2015'!E55*10^6,0)</f>
        <v>3863.6909047276222</v>
      </c>
      <c r="AB57" s="548">
        <f>IFERROR(Generation_Entsoe_SFS_2015[[#This Row],[Hard coal]]/'Capacity_Entsoe_SFS_2015'!F55*10^6,0)</f>
        <v>4000</v>
      </c>
      <c r="AC57" s="548">
        <f>IFERROR(Generation_Entsoe_SFS_2015[[#This Row],[Fossil gases]]/'Capacity_Entsoe_SFS_2015'!G55*10^6,0)</f>
        <v>3051.0585305105856</v>
      </c>
      <c r="AD57" s="548">
        <f>IFERROR(Generation_Entsoe_SFS_2015[[#This Row],[Other fossil fuels]]/'Capacity_Entsoe_SFS_2015'!H55*10^6,0)</f>
        <v>0</v>
      </c>
      <c r="AE57" s="548">
        <f>IFERROR(Generation_Entsoe_SFS_2015[[#This Row],[Wind onshore]]/'Capacity_Entsoe_SFS_2015'!I55*10^6,0)</f>
        <v>2166.0649819494583</v>
      </c>
      <c r="AF57" s="548">
        <f>IFERROR(Generation_Entsoe_SFS_2015[[#This Row],[Wind offshore]]/'Capacity_Entsoe_SFS_2015'!J55*10^6,0)</f>
        <v>0</v>
      </c>
      <c r="AG57" s="548">
        <f>IFERROR(Generation_Entsoe_SFS_2015[[#This Row],[Solar PV]]/'Capacity_Entsoe_SFS_2015'!K55*10^6,0)</f>
        <v>1064.3444605708758</v>
      </c>
      <c r="AH57" s="548">
        <f>IFERROR(Generation_Entsoe_SFS_2015[[#This Row],[Bioenergy]]/'Capacity_Entsoe_SFS_2015'!L55*10^6,0)</f>
        <v>2235.294117647059</v>
      </c>
      <c r="AI57" s="548">
        <f>IFERROR(Generation_Entsoe_SFS_2015[[#This Row],[Other RES]]/'Capacity_Entsoe_SFS_2015'!M55*10^6,0)</f>
        <v>0</v>
      </c>
      <c r="AJ57" s="548">
        <f>IFERROR(Generation_Entsoe_SFS_2015[[#This Row],[Renewable Hydro]]/'Capacity_Entsoe_SFS_2015'!N55*10^6,0)</f>
        <v>1665.1248843663277</v>
      </c>
      <c r="AK57" s="548">
        <f>IFERROR(Generation_Entsoe_SFS_2015[[#This Row],[Pumped Hydro]]/'Capacity_Entsoe_SFS_2015'!O55*10^6,0)</f>
        <v>1023.8907849829352</v>
      </c>
      <c r="AL57" s="548">
        <f>IFERROR(Generation_Entsoe_SFS_2015[[#This Row],[Other sources]]/'Capacity_Entsoe_SFS_2015'!P55*10^6,0)</f>
        <v>0</v>
      </c>
    </row>
    <row r="58" spans="1:38" x14ac:dyDescent="0.25">
      <c r="A58" s="366" t="str">
        <f t="shared" si="1"/>
        <v>DE</v>
      </c>
      <c r="B58" s="366">
        <f t="shared" si="2"/>
        <v>2015</v>
      </c>
      <c r="C58" s="366" t="str">
        <f t="shared" si="2"/>
        <v>TWh</v>
      </c>
      <c r="D58" s="144">
        <f t="shared" si="3"/>
        <v>86.8</v>
      </c>
      <c r="E58" s="144">
        <f t="shared" ref="E58:G58" si="27">F11</f>
        <v>143.1</v>
      </c>
      <c r="F58" s="167">
        <f t="shared" si="27"/>
        <v>107.1</v>
      </c>
      <c r="G58" s="167">
        <f t="shared" si="27"/>
        <v>53.2</v>
      </c>
      <c r="H58" s="422">
        <f t="shared" si="5"/>
        <v>16.100000000000001</v>
      </c>
      <c r="I58" s="167">
        <f t="shared" si="6"/>
        <v>75.7</v>
      </c>
      <c r="J58" s="144">
        <v>0</v>
      </c>
      <c r="K58" s="422">
        <f t="shared" ref="K58:M58" si="28">N11</f>
        <v>35.200000000000003</v>
      </c>
      <c r="L58" s="422">
        <f t="shared" si="28"/>
        <v>38.5</v>
      </c>
      <c r="M58" s="422">
        <f t="shared" si="28"/>
        <v>1.2</v>
      </c>
      <c r="N58" s="167">
        <f t="shared" ref="N58:P58" si="29">R11</f>
        <v>16.100000000000001</v>
      </c>
      <c r="O58" s="167">
        <f t="shared" si="29"/>
        <v>7.6</v>
      </c>
      <c r="P58" s="422">
        <f t="shared" si="29"/>
        <v>0</v>
      </c>
      <c r="Q58" s="167">
        <f t="shared" si="0"/>
        <v>580.60000000000014</v>
      </c>
      <c r="R58" s="167">
        <f t="shared" si="9"/>
        <v>27.6</v>
      </c>
      <c r="S58" s="424">
        <f t="shared" si="10"/>
        <v>21.036231884057976</v>
      </c>
      <c r="T58" s="516">
        <f>INDEX($A$4:$W$39,MATCH(Generation_Entsoe_SFS_2015[[#This Row],[Country]],$A$4:$A$39,0),MATCH(Generation_Entsoe_SFS_2015[[#Headers],[Consumption]],$A$2:$W$2,0))</f>
        <v>520.6</v>
      </c>
      <c r="U58" s="516">
        <f>INDEX($A$4:$W$39,MATCH(Generation_Entsoe_SFS_2015[[#This Row],[Country]],$A$4:$A$39,0),MATCH(Generation_Entsoe_SFS_2015[[#Headers],[Pumping]],$A$2:$W$2,0))</f>
        <v>8.1</v>
      </c>
      <c r="W58" s="544" t="str">
        <f t="shared" si="11"/>
        <v>DE</v>
      </c>
      <c r="X58" s="544">
        <v>2015</v>
      </c>
      <c r="Y58" s="544" t="s">
        <v>648</v>
      </c>
      <c r="Z58" s="549">
        <f>IFERROR(Generation_Entsoe_SFS_2015[[#This Row],[Nuclear]]/'Capacity_Entsoe_SFS_2015'!D56*10^6,0)</f>
        <v>8042.249606226258</v>
      </c>
      <c r="AA58" s="549">
        <f>IFERROR(Generation_Entsoe_SFS_2015[[#This Row],[Lignite]]/'Capacity_Entsoe_SFS_2015'!E56*10^6,0)</f>
        <v>6956.7331064657265</v>
      </c>
      <c r="AB58" s="549">
        <f>IFERROR(Generation_Entsoe_SFS_2015[[#This Row],[Hard coal]]/'Capacity_Entsoe_SFS_2015'!F56*10^6,0)</f>
        <v>4171.5354054685677</v>
      </c>
      <c r="AC58" s="549">
        <f>IFERROR(Generation_Entsoe_SFS_2015[[#This Row],[Fossil gases]]/'Capacity_Entsoe_SFS_2015'!G56*10^6,0)</f>
        <v>2123.9220696263178</v>
      </c>
      <c r="AD58" s="549">
        <f>IFERROR(Generation_Entsoe_SFS_2015[[#This Row],[Other fossil fuels]]/'Capacity_Entsoe_SFS_2015'!H56*10^6,0)</f>
        <v>2159.9141400590288</v>
      </c>
      <c r="AE58" s="549">
        <f>IFERROR(Generation_Entsoe_SFS_2015[[#This Row],[Wind onshore]]/'Capacity_Entsoe_SFS_2015'!I56*10^6,0)</f>
        <v>1743.0749038660804</v>
      </c>
      <c r="AF58" s="549">
        <f>IFERROR(Generation_Entsoe_SFS_2015[[#This Row],[Wind offshore]]/'Capacity_Entsoe_SFS_2015'!J56*10^6,0)</f>
        <v>0</v>
      </c>
      <c r="AG58" s="549">
        <f>IFERROR(Generation_Entsoe_SFS_2015[[#This Row],[Solar PV]]/'Capacity_Entsoe_SFS_2015'!K56*10^6,0)</f>
        <v>916.40415505974852</v>
      </c>
      <c r="AH58" s="549">
        <f>IFERROR(Generation_Entsoe_SFS_2015[[#This Row],[Bioenergy]]/'Capacity_Entsoe_SFS_2015'!L56*10^6,0)</f>
        <v>5567.6066522053507</v>
      </c>
      <c r="AI58" s="549">
        <f>IFERROR(Generation_Entsoe_SFS_2015[[#This Row],[Other RES]]/'Capacity_Entsoe_SFS_2015'!M56*10^6,0)</f>
        <v>2146.6905187835418</v>
      </c>
      <c r="AJ58" s="549">
        <f>IFERROR(Generation_Entsoe_SFS_2015[[#This Row],[Renewable Hydro]]/'Capacity_Entsoe_SFS_2015'!N56*10^6,0)</f>
        <v>4923.5474006116219</v>
      </c>
      <c r="AK58" s="549">
        <f>IFERROR(Generation_Entsoe_SFS_2015[[#This Row],[Pumped Hydro]]/'Capacity_Entsoe_SFS_2015'!O56*10^6,0)</f>
        <v>1198.7381703470032</v>
      </c>
      <c r="AL58" s="549">
        <f>IFERROR(Generation_Entsoe_SFS_2015[[#This Row],[Other sources]]/'Capacity_Entsoe_SFS_2015'!P56*10^6,0)</f>
        <v>0</v>
      </c>
    </row>
    <row r="59" spans="1:38" x14ac:dyDescent="0.25">
      <c r="A59" s="366" t="str">
        <f t="shared" si="1"/>
        <v>DK</v>
      </c>
      <c r="B59" s="366">
        <f t="shared" si="2"/>
        <v>2015</v>
      </c>
      <c r="C59" s="366" t="str">
        <f t="shared" si="2"/>
        <v>TWh</v>
      </c>
      <c r="D59" s="144">
        <f t="shared" si="3"/>
        <v>0</v>
      </c>
      <c r="E59" s="144">
        <f t="shared" ref="E59:G59" si="30">F12</f>
        <v>0</v>
      </c>
      <c r="F59" s="167">
        <f t="shared" si="30"/>
        <v>6.9</v>
      </c>
      <c r="G59" s="167">
        <f t="shared" si="30"/>
        <v>3.5</v>
      </c>
      <c r="H59" s="422">
        <f t="shared" si="5"/>
        <v>0.1</v>
      </c>
      <c r="I59" s="167">
        <f t="shared" si="6"/>
        <v>14.1</v>
      </c>
      <c r="J59" s="144">
        <v>0</v>
      </c>
      <c r="K59" s="422">
        <f t="shared" ref="K59:M59" si="31">N12</f>
        <v>0.6</v>
      </c>
      <c r="L59" s="422">
        <f t="shared" si="31"/>
        <v>2.2999999999999998</v>
      </c>
      <c r="M59" s="422">
        <f t="shared" si="31"/>
        <v>0</v>
      </c>
      <c r="N59" s="167">
        <f t="shared" ref="N59:P59" si="32">R12</f>
        <v>0</v>
      </c>
      <c r="O59" s="167">
        <f t="shared" si="32"/>
        <v>0</v>
      </c>
      <c r="P59" s="422">
        <f t="shared" si="32"/>
        <v>0</v>
      </c>
      <c r="Q59" s="167">
        <f t="shared" si="0"/>
        <v>27.500000000000004</v>
      </c>
      <c r="R59" s="167">
        <f t="shared" si="9"/>
        <v>9.1</v>
      </c>
      <c r="S59" s="424">
        <f t="shared" si="10"/>
        <v>3.0219780219780223</v>
      </c>
      <c r="T59" s="516">
        <f>INDEX($A$4:$W$39,MATCH(Generation_Entsoe_SFS_2015[[#This Row],[Country]],$A$4:$A$39,0),MATCH(Generation_Entsoe_SFS_2015[[#Headers],[Consumption]],$A$2:$W$2,0))</f>
        <v>32.4</v>
      </c>
      <c r="U59" s="516">
        <f>INDEX($A$4:$W$39,MATCH(Generation_Entsoe_SFS_2015[[#This Row],[Country]],$A$4:$A$39,0),MATCH(Generation_Entsoe_SFS_2015[[#Headers],[Pumping]],$A$2:$W$2,0))</f>
        <v>0</v>
      </c>
      <c r="W59" s="544" t="str">
        <f t="shared" si="11"/>
        <v>DK</v>
      </c>
      <c r="X59" s="544">
        <v>2015</v>
      </c>
      <c r="Y59" s="544" t="s">
        <v>648</v>
      </c>
      <c r="Z59" s="548">
        <f>IFERROR(Generation_Entsoe_SFS_2015[[#This Row],[Nuclear]]/'Capacity_Entsoe_SFS_2015'!D57*10^6,0)</f>
        <v>0</v>
      </c>
      <c r="AA59" s="548">
        <f>IFERROR(Generation_Entsoe_SFS_2015[[#This Row],[Lignite]]/'Capacity_Entsoe_SFS_2015'!E57*10^6,0)</f>
        <v>0</v>
      </c>
      <c r="AB59" s="548">
        <f>IFERROR(Generation_Entsoe_SFS_2015[[#This Row],[Hard coal]]/'Capacity_Entsoe_SFS_2015'!F57*10^6,0)</f>
        <v>1389.7280966767371</v>
      </c>
      <c r="AC59" s="548">
        <f>IFERROR(Generation_Entsoe_SFS_2015[[#This Row],[Fossil gases]]/'Capacity_Entsoe_SFS_2015'!G57*10^6,0)</f>
        <v>2049.1803278688526</v>
      </c>
      <c r="AD59" s="548">
        <f>IFERROR(Generation_Entsoe_SFS_2015[[#This Row],[Other fossil fuels]]/'Capacity_Entsoe_SFS_2015'!H57*10^6,0)</f>
        <v>115.34025374855825</v>
      </c>
      <c r="AE59" s="548">
        <f>IFERROR(Generation_Entsoe_SFS_2015[[#This Row],[Wind onshore]]/'Capacity_Entsoe_SFS_2015'!I57*10^6,0)</f>
        <v>2774.4982290436838</v>
      </c>
      <c r="AF59" s="548">
        <f>IFERROR(Generation_Entsoe_SFS_2015[[#This Row],[Wind offshore]]/'Capacity_Entsoe_SFS_2015'!J57*10^6,0)</f>
        <v>0</v>
      </c>
      <c r="AG59" s="548">
        <f>IFERROR(Generation_Entsoe_SFS_2015[[#This Row],[Solar PV]]/'Capacity_Entsoe_SFS_2015'!K57*10^6,0)</f>
        <v>768.24583866837384</v>
      </c>
      <c r="AH59" s="548">
        <f>IFERROR(Generation_Entsoe_SFS_2015[[#This Row],[Bioenergy]]/'Capacity_Entsoe_SFS_2015'!L57*10^6,0)</f>
        <v>4509.8039215686267</v>
      </c>
      <c r="AI59" s="548">
        <f>IFERROR(Generation_Entsoe_SFS_2015[[#This Row],[Other RES]]/'Capacity_Entsoe_SFS_2015'!M57*10^6,0)</f>
        <v>0</v>
      </c>
      <c r="AJ59" s="548">
        <f>IFERROR(Generation_Entsoe_SFS_2015[[#This Row],[Renewable Hydro]]/'Capacity_Entsoe_SFS_2015'!N57*10^6,0)</f>
        <v>0</v>
      </c>
      <c r="AK59" s="548">
        <f>IFERROR(Generation_Entsoe_SFS_2015[[#This Row],[Pumped Hydro]]/'Capacity_Entsoe_SFS_2015'!O57*10^6,0)</f>
        <v>0</v>
      </c>
      <c r="AL59" s="548">
        <f>IFERROR(Generation_Entsoe_SFS_2015[[#This Row],[Other sources]]/'Capacity_Entsoe_SFS_2015'!P57*10^6,0)</f>
        <v>0</v>
      </c>
    </row>
    <row r="60" spans="1:38" x14ac:dyDescent="0.25">
      <c r="A60" s="366" t="str">
        <f t="shared" si="1"/>
        <v>EE</v>
      </c>
      <c r="B60" s="366">
        <f t="shared" si="2"/>
        <v>2015</v>
      </c>
      <c r="C60" s="366" t="str">
        <f t="shared" si="2"/>
        <v>TWh</v>
      </c>
      <c r="D60" s="144">
        <f t="shared" si="3"/>
        <v>0</v>
      </c>
      <c r="E60" s="144">
        <f t="shared" ref="E60:G60" si="33">F13</f>
        <v>0</v>
      </c>
      <c r="F60" s="167">
        <f t="shared" si="33"/>
        <v>0</v>
      </c>
      <c r="G60" s="167">
        <f t="shared" si="33"/>
        <v>0</v>
      </c>
      <c r="H60" s="422">
        <f t="shared" si="5"/>
        <v>7.6</v>
      </c>
      <c r="I60" s="167">
        <f t="shared" si="6"/>
        <v>0.7</v>
      </c>
      <c r="J60" s="144">
        <v>0</v>
      </c>
      <c r="K60" s="422">
        <f t="shared" ref="K60:M60" si="34">N13</f>
        <v>0</v>
      </c>
      <c r="L60" s="422">
        <f t="shared" si="34"/>
        <v>0.8</v>
      </c>
      <c r="M60" s="422">
        <f t="shared" si="34"/>
        <v>0</v>
      </c>
      <c r="N60" s="167">
        <f t="shared" ref="N60:P60" si="35">R13</f>
        <v>0</v>
      </c>
      <c r="O60" s="167">
        <f t="shared" si="35"/>
        <v>0</v>
      </c>
      <c r="P60" s="422">
        <f t="shared" si="35"/>
        <v>0</v>
      </c>
      <c r="Q60" s="167">
        <f t="shared" si="0"/>
        <v>9.1</v>
      </c>
      <c r="R60" s="167">
        <f t="shared" si="9"/>
        <v>267.60000000000002</v>
      </c>
      <c r="S60" s="424">
        <f t="shared" si="10"/>
        <v>3.4005979073243646E-2</v>
      </c>
      <c r="T60" s="516">
        <f>INDEX($A$4:$W$39,MATCH(Generation_Entsoe_SFS_2015[[#This Row],[Country]],$A$4:$A$39,0),MATCH(Generation_Entsoe_SFS_2015[[#Headers],[Consumption]],$A$2:$W$2,0))</f>
        <v>8.1</v>
      </c>
      <c r="U60" s="516">
        <f>INDEX($A$4:$W$39,MATCH(Generation_Entsoe_SFS_2015[[#This Row],[Country]],$A$4:$A$39,0),MATCH(Generation_Entsoe_SFS_2015[[#Headers],[Pumping]],$A$2:$W$2,0))</f>
        <v>0</v>
      </c>
      <c r="W60" s="544" t="str">
        <f t="shared" si="11"/>
        <v>EE</v>
      </c>
      <c r="X60" s="544">
        <v>2015</v>
      </c>
      <c r="Y60" s="544" t="s">
        <v>648</v>
      </c>
      <c r="Z60" s="549">
        <f>IFERROR(Generation_Entsoe_SFS_2015[[#This Row],[Nuclear]]/'Capacity_Entsoe_SFS_2015'!D58*10^6,0)</f>
        <v>0</v>
      </c>
      <c r="AA60" s="549">
        <f>IFERROR(Generation_Entsoe_SFS_2015[[#This Row],[Lignite]]/'Capacity_Entsoe_SFS_2015'!E58*10^6,0)</f>
        <v>0</v>
      </c>
      <c r="AB60" s="549">
        <f>IFERROR(Generation_Entsoe_SFS_2015[[#This Row],[Hard coal]]/'Capacity_Entsoe_SFS_2015'!F58*10^6,0)</f>
        <v>0</v>
      </c>
      <c r="AC60" s="549">
        <f>IFERROR(Generation_Entsoe_SFS_2015[[#This Row],[Fossil gases]]/'Capacity_Entsoe_SFS_2015'!G58*10^6,0)</f>
        <v>0</v>
      </c>
      <c r="AD60" s="549">
        <f>IFERROR(Generation_Entsoe_SFS_2015[[#This Row],[Other fossil fuels]]/'Capacity_Entsoe_SFS_2015'!H58*10^6,0)</f>
        <v>3285.776048421963</v>
      </c>
      <c r="AE60" s="549">
        <f>IFERROR(Generation_Entsoe_SFS_2015[[#This Row],[Wind onshore]]/'Capacity_Entsoe_SFS_2015'!I58*10^6,0)</f>
        <v>2325.5813953488373</v>
      </c>
      <c r="AF60" s="549">
        <f>IFERROR(Generation_Entsoe_SFS_2015[[#This Row],[Wind offshore]]/'Capacity_Entsoe_SFS_2015'!J58*10^6,0)</f>
        <v>0</v>
      </c>
      <c r="AG60" s="549">
        <f>IFERROR(Generation_Entsoe_SFS_2015[[#This Row],[Solar PV]]/'Capacity_Entsoe_SFS_2015'!K58*10^6,0)</f>
        <v>0</v>
      </c>
      <c r="AH60" s="549">
        <f>IFERROR(Generation_Entsoe_SFS_2015[[#This Row],[Bioenergy]]/'Capacity_Entsoe_SFS_2015'!L58*10^6,0)</f>
        <v>7920.7920792079212</v>
      </c>
      <c r="AI60" s="549">
        <f>IFERROR(Generation_Entsoe_SFS_2015[[#This Row],[Other RES]]/'Capacity_Entsoe_SFS_2015'!M58*10^6,0)</f>
        <v>0</v>
      </c>
      <c r="AJ60" s="549">
        <f>IFERROR(Generation_Entsoe_SFS_2015[[#This Row],[Renewable Hydro]]/'Capacity_Entsoe_SFS_2015'!N58*10^6,0)</f>
        <v>0</v>
      </c>
      <c r="AK60" s="549">
        <f>IFERROR(Generation_Entsoe_SFS_2015[[#This Row],[Pumped Hydro]]/'Capacity_Entsoe_SFS_2015'!O58*10^6,0)</f>
        <v>0</v>
      </c>
      <c r="AL60" s="549">
        <f>IFERROR(Generation_Entsoe_SFS_2015[[#This Row],[Other sources]]/'Capacity_Entsoe_SFS_2015'!P58*10^6,0)</f>
        <v>0</v>
      </c>
    </row>
    <row r="61" spans="1:38" x14ac:dyDescent="0.25">
      <c r="A61" s="366" t="str">
        <f t="shared" si="1"/>
        <v>ES</v>
      </c>
      <c r="B61" s="366">
        <f t="shared" si="2"/>
        <v>2015</v>
      </c>
      <c r="C61" s="366" t="str">
        <f t="shared" si="2"/>
        <v>TWh</v>
      </c>
      <c r="D61" s="144">
        <f t="shared" si="3"/>
        <v>54.8</v>
      </c>
      <c r="E61" s="144">
        <f t="shared" ref="E61:G61" si="36">F14</f>
        <v>4.5</v>
      </c>
      <c r="F61" s="167">
        <f t="shared" si="36"/>
        <v>48.6</v>
      </c>
      <c r="G61" s="167">
        <f t="shared" si="36"/>
        <v>48.6</v>
      </c>
      <c r="H61" s="422">
        <f t="shared" si="5"/>
        <v>13</v>
      </c>
      <c r="I61" s="167">
        <f t="shared" si="6"/>
        <v>48.1</v>
      </c>
      <c r="J61" s="144">
        <v>0</v>
      </c>
      <c r="K61" s="422">
        <f t="shared" ref="K61:M61" si="37">N14</f>
        <v>13.3</v>
      </c>
      <c r="L61" s="422">
        <f t="shared" si="37"/>
        <v>4.5999999999999996</v>
      </c>
      <c r="M61" s="422">
        <f t="shared" si="37"/>
        <v>0</v>
      </c>
      <c r="N61" s="167">
        <f t="shared" ref="N61:P61" si="38">R14</f>
        <v>27.6</v>
      </c>
      <c r="O61" s="167">
        <f t="shared" si="38"/>
        <v>3.2</v>
      </c>
      <c r="P61" s="422">
        <f t="shared" si="38"/>
        <v>1.3</v>
      </c>
      <c r="Q61" s="167">
        <f t="shared" si="0"/>
        <v>267.60000000000002</v>
      </c>
      <c r="R61" s="167">
        <f t="shared" si="9"/>
        <v>66.2</v>
      </c>
      <c r="S61" s="424">
        <f t="shared" si="10"/>
        <v>4.0422960725075532</v>
      </c>
      <c r="T61" s="516">
        <f>INDEX($A$4:$W$39,MATCH(Generation_Entsoe_SFS_2015[[#This Row],[Country]],$A$4:$A$39,0),MATCH(Generation_Entsoe_SFS_2015[[#Headers],[Consumption]],$A$2:$W$2,0))</f>
        <v>262.89999999999998</v>
      </c>
      <c r="U61" s="516">
        <f>INDEX($A$4:$W$39,MATCH(Generation_Entsoe_SFS_2015[[#This Row],[Country]],$A$4:$A$39,0),MATCH(Generation_Entsoe_SFS_2015[[#Headers],[Pumping]],$A$2:$W$2,0))</f>
        <v>4.5</v>
      </c>
      <c r="W61" s="544" t="str">
        <f t="shared" si="11"/>
        <v>ES</v>
      </c>
      <c r="X61" s="544">
        <v>2015</v>
      </c>
      <c r="Y61" s="544" t="s">
        <v>648</v>
      </c>
      <c r="Z61" s="548">
        <f>IFERROR(Generation_Entsoe_SFS_2015[[#This Row],[Nuclear]]/'Capacity_Entsoe_SFS_2015'!D59*10^6,0)</f>
        <v>7236.2339891720585</v>
      </c>
      <c r="AA61" s="548">
        <f>IFERROR(Generation_Entsoe_SFS_2015[[#This Row],[Lignite]]/'Capacity_Entsoe_SFS_2015'!E59*10^6,0)</f>
        <v>4261.363636363636</v>
      </c>
      <c r="AB61" s="548">
        <f>IFERROR(Generation_Entsoe_SFS_2015[[#This Row],[Hard coal]]/'Capacity_Entsoe_SFS_2015'!F59*10^6,0)</f>
        <v>4872.1804511278197</v>
      </c>
      <c r="AC61" s="548">
        <f>IFERROR(Generation_Entsoe_SFS_2015[[#This Row],[Fossil gases]]/'Capacity_Entsoe_SFS_2015'!G59*10^6,0)</f>
        <v>1488.2866329811668</v>
      </c>
      <c r="AD61" s="548">
        <f>IFERROR(Generation_Entsoe_SFS_2015[[#This Row],[Other fossil fuels]]/'Capacity_Entsoe_SFS_2015'!H59*10^6,0)</f>
        <v>3952.569169960474</v>
      </c>
      <c r="AE61" s="548">
        <f>IFERROR(Generation_Entsoe_SFS_2015[[#This Row],[Wind onshore]]/'Capacity_Entsoe_SFS_2015'!I59*10^6,0)</f>
        <v>2091.0316045733166</v>
      </c>
      <c r="AF61" s="548">
        <f>IFERROR(Generation_Entsoe_SFS_2015[[#This Row],[Wind offshore]]/'Capacity_Entsoe_SFS_2015'!J59*10^6,0)</f>
        <v>0</v>
      </c>
      <c r="AG61" s="548">
        <f>IFERROR(Generation_Entsoe_SFS_2015[[#This Row],[Solar PV]]/'Capacity_Entsoe_SFS_2015'!K59*10^6,0)</f>
        <v>1908.9995693985936</v>
      </c>
      <c r="AH61" s="548">
        <f>IFERROR(Generation_Entsoe_SFS_2015[[#This Row],[Bioenergy]]/'Capacity_Entsoe_SFS_2015'!L59*10^6,0)</f>
        <v>6157.9651941097718</v>
      </c>
      <c r="AI61" s="548">
        <f>IFERROR(Generation_Entsoe_SFS_2015[[#This Row],[Other RES]]/'Capacity_Entsoe_SFS_2015'!M59*10^6,0)</f>
        <v>0</v>
      </c>
      <c r="AJ61" s="548">
        <f>IFERROR(Generation_Entsoe_SFS_2015[[#This Row],[Renewable Hydro]]/'Capacity_Entsoe_SFS_2015'!N59*10^6,0)</f>
        <v>1620.0986146982862</v>
      </c>
      <c r="AK61" s="548">
        <f>IFERROR(Generation_Entsoe_SFS_2015[[#This Row],[Pumped Hydro]]/'Capacity_Entsoe_SFS_2015'!O59*10^6,0)</f>
        <v>969.69696969696975</v>
      </c>
      <c r="AL61" s="548">
        <f>IFERROR(Generation_Entsoe_SFS_2015[[#This Row],[Other sources]]/'Capacity_Entsoe_SFS_2015'!P59*10^6,0)</f>
        <v>2210.8843537414969</v>
      </c>
    </row>
    <row r="62" spans="1:38" x14ac:dyDescent="0.25">
      <c r="A62" s="366" t="str">
        <f t="shared" si="1"/>
        <v>FI</v>
      </c>
      <c r="B62" s="366">
        <f t="shared" si="2"/>
        <v>2015</v>
      </c>
      <c r="C62" s="366" t="str">
        <f t="shared" si="2"/>
        <v>TWh</v>
      </c>
      <c r="D62" s="144">
        <f t="shared" si="3"/>
        <v>22.3</v>
      </c>
      <c r="E62" s="144">
        <f t="shared" ref="E62:G62" si="39">F15</f>
        <v>0</v>
      </c>
      <c r="F62" s="167">
        <f t="shared" si="39"/>
        <v>5.5</v>
      </c>
      <c r="G62" s="167">
        <f t="shared" si="39"/>
        <v>5</v>
      </c>
      <c r="H62" s="422">
        <f t="shared" si="5"/>
        <v>2.9000000000000004</v>
      </c>
      <c r="I62" s="167">
        <f t="shared" si="6"/>
        <v>2.2999999999999998</v>
      </c>
      <c r="J62" s="144">
        <v>0</v>
      </c>
      <c r="K62" s="422">
        <f t="shared" ref="K62:M62" si="40">N15</f>
        <v>0</v>
      </c>
      <c r="L62" s="422">
        <f t="shared" si="40"/>
        <v>10.7</v>
      </c>
      <c r="M62" s="422">
        <f t="shared" si="40"/>
        <v>0</v>
      </c>
      <c r="N62" s="167">
        <f t="shared" ref="N62:P62" si="41">R15</f>
        <v>16.600000000000001</v>
      </c>
      <c r="O62" s="167">
        <f t="shared" si="41"/>
        <v>0</v>
      </c>
      <c r="P62" s="422">
        <f t="shared" si="41"/>
        <v>0.8</v>
      </c>
      <c r="Q62" s="167">
        <f t="shared" si="0"/>
        <v>66.09999999999998</v>
      </c>
      <c r="R62" s="167">
        <f t="shared" si="9"/>
        <v>546</v>
      </c>
      <c r="S62" s="424">
        <f t="shared" si="10"/>
        <v>0.12106227106227102</v>
      </c>
      <c r="T62" s="516">
        <f>INDEX($A$4:$W$39,MATCH(Generation_Entsoe_SFS_2015[[#This Row],[Country]],$A$4:$A$39,0),MATCH(Generation_Entsoe_SFS_2015[[#Headers],[Consumption]],$A$2:$W$2,0))</f>
        <v>82.5</v>
      </c>
      <c r="U62" s="516">
        <f>INDEX($A$4:$W$39,MATCH(Generation_Entsoe_SFS_2015[[#This Row],[Country]],$A$4:$A$39,0),MATCH(Generation_Entsoe_SFS_2015[[#Headers],[Pumping]],$A$2:$W$2,0))</f>
        <v>0</v>
      </c>
      <c r="W62" s="544" t="str">
        <f t="shared" si="11"/>
        <v>FI</v>
      </c>
      <c r="X62" s="544">
        <v>2015</v>
      </c>
      <c r="Y62" s="544" t="s">
        <v>648</v>
      </c>
      <c r="Z62" s="549">
        <f>IFERROR(Generation_Entsoe_SFS_2015[[#This Row],[Nuclear]]/'Capacity_Entsoe_SFS_2015'!D60*10^6,0)</f>
        <v>8103.1976744186059</v>
      </c>
      <c r="AA62" s="549">
        <f>IFERROR(Generation_Entsoe_SFS_2015[[#This Row],[Lignite]]/'Capacity_Entsoe_SFS_2015'!E60*10^6,0)</f>
        <v>0</v>
      </c>
      <c r="AB62" s="549">
        <f>IFERROR(Generation_Entsoe_SFS_2015[[#This Row],[Hard coal]]/'Capacity_Entsoe_SFS_2015'!F60*10^6,0)</f>
        <v>1669.1957511380879</v>
      </c>
      <c r="AC62" s="549">
        <f>IFERROR(Generation_Entsoe_SFS_2015[[#This Row],[Fossil gases]]/'Capacity_Entsoe_SFS_2015'!G60*10^6,0)</f>
        <v>2868.617326448652</v>
      </c>
      <c r="AD62" s="549">
        <f>IFERROR(Generation_Entsoe_SFS_2015[[#This Row],[Other fossil fuels]]/'Capacity_Entsoe_SFS_2015'!H60*10^6,0)</f>
        <v>857.48078060319347</v>
      </c>
      <c r="AE62" s="549">
        <f>IFERROR(Generation_Entsoe_SFS_2015[[#This Row],[Wind onshore]]/'Capacity_Entsoe_SFS_2015'!I60*10^6,0)</f>
        <v>2125.6931608133086</v>
      </c>
      <c r="AF62" s="549">
        <f>IFERROR(Generation_Entsoe_SFS_2015[[#This Row],[Wind offshore]]/'Capacity_Entsoe_SFS_2015'!J60*10^6,0)</f>
        <v>0</v>
      </c>
      <c r="AG62" s="549">
        <f>IFERROR(Generation_Entsoe_SFS_2015[[#This Row],[Solar PV]]/'Capacity_Entsoe_SFS_2015'!K60*10^6,0)</f>
        <v>0</v>
      </c>
      <c r="AH62" s="549">
        <f>IFERROR(Generation_Entsoe_SFS_2015[[#This Row],[Bioenergy]]/'Capacity_Entsoe_SFS_2015'!L60*10^6,0)</f>
        <v>5575.8207399687335</v>
      </c>
      <c r="AI62" s="549">
        <f>IFERROR(Generation_Entsoe_SFS_2015[[#This Row],[Other RES]]/'Capacity_Entsoe_SFS_2015'!M60*10^6,0)</f>
        <v>0</v>
      </c>
      <c r="AJ62" s="549">
        <f>IFERROR(Generation_Entsoe_SFS_2015[[#This Row],[Renewable Hydro]]/'Capacity_Entsoe_SFS_2015'!N60*10^6,0)</f>
        <v>5087.3429359485135</v>
      </c>
      <c r="AK62" s="549">
        <f>IFERROR(Generation_Entsoe_SFS_2015[[#This Row],[Pumped Hydro]]/'Capacity_Entsoe_SFS_2015'!O60*10^6,0)</f>
        <v>0</v>
      </c>
      <c r="AL62" s="549">
        <f>IFERROR(Generation_Entsoe_SFS_2015[[#This Row],[Other sources]]/'Capacity_Entsoe_SFS_2015'!P60*10^6,0)</f>
        <v>3265.3061224489797</v>
      </c>
    </row>
    <row r="63" spans="1:38" x14ac:dyDescent="0.25">
      <c r="A63" s="366" t="str">
        <f t="shared" si="1"/>
        <v>FR</v>
      </c>
      <c r="B63" s="366">
        <f t="shared" si="2"/>
        <v>2015</v>
      </c>
      <c r="C63" s="366" t="str">
        <f t="shared" si="2"/>
        <v>TWh</v>
      </c>
      <c r="D63" s="144">
        <f t="shared" si="3"/>
        <v>416.8</v>
      </c>
      <c r="E63" s="144">
        <f t="shared" ref="E63:G63" si="42">F16</f>
        <v>0</v>
      </c>
      <c r="F63" s="167">
        <f t="shared" si="42"/>
        <v>8.6</v>
      </c>
      <c r="G63" s="167">
        <f t="shared" si="42"/>
        <v>22.1</v>
      </c>
      <c r="H63" s="422">
        <f t="shared" si="5"/>
        <v>3.4</v>
      </c>
      <c r="I63" s="167">
        <f t="shared" si="6"/>
        <v>21.1</v>
      </c>
      <c r="J63" s="144">
        <v>0</v>
      </c>
      <c r="K63" s="422">
        <f t="shared" ref="K63:M63" si="43">N16</f>
        <v>7.4</v>
      </c>
      <c r="L63" s="422">
        <f t="shared" si="43"/>
        <v>7.9</v>
      </c>
      <c r="M63" s="422">
        <f t="shared" si="43"/>
        <v>0</v>
      </c>
      <c r="N63" s="167">
        <f t="shared" ref="N63:P63" si="44">R16</f>
        <v>53.9</v>
      </c>
      <c r="O63" s="167">
        <f t="shared" si="44"/>
        <v>4.8</v>
      </c>
      <c r="P63" s="422">
        <f t="shared" si="44"/>
        <v>0</v>
      </c>
      <c r="Q63" s="167">
        <f t="shared" si="0"/>
        <v>546</v>
      </c>
      <c r="R63" s="167">
        <f t="shared" si="9"/>
        <v>324.89999999999998</v>
      </c>
      <c r="S63" s="424">
        <f t="shared" si="10"/>
        <v>1.6805170821791322</v>
      </c>
      <c r="T63" s="516">
        <f>INDEX($A$4:$W$39,MATCH(Generation_Entsoe_SFS_2015[[#This Row],[Country]],$A$4:$A$39,0),MATCH(Generation_Entsoe_SFS_2015[[#Headers],[Consumption]],$A$2:$W$2,0))</f>
        <v>475.4</v>
      </c>
      <c r="U63" s="516">
        <f>INDEX($A$4:$W$39,MATCH(Generation_Entsoe_SFS_2015[[#This Row],[Country]],$A$4:$A$39,0),MATCH(Generation_Entsoe_SFS_2015[[#Headers],[Pumping]],$A$2:$W$2,0))</f>
        <v>6.8</v>
      </c>
      <c r="W63" s="544" t="str">
        <f t="shared" si="11"/>
        <v>FR</v>
      </c>
      <c r="X63" s="544">
        <v>2015</v>
      </c>
      <c r="Y63" s="544" t="s">
        <v>648</v>
      </c>
      <c r="Z63" s="548">
        <f>IFERROR(Generation_Entsoe_SFS_2015[[#This Row],[Nuclear]]/'Capacity_Entsoe_SFS_2015'!D61*10^6,0)</f>
        <v>6602.2493267859973</v>
      </c>
      <c r="AA63" s="548">
        <f>IFERROR(Generation_Entsoe_SFS_2015[[#This Row],[Lignite]]/'Capacity_Entsoe_SFS_2015'!E61*10^6,0)</f>
        <v>0</v>
      </c>
      <c r="AB63" s="548">
        <f>IFERROR(Generation_Entsoe_SFS_2015[[#This Row],[Hard coal]]/'Capacity_Entsoe_SFS_2015'!F61*10^6,0)</f>
        <v>2859.9933488526772</v>
      </c>
      <c r="AC63" s="548">
        <f>IFERROR(Generation_Entsoe_SFS_2015[[#This Row],[Fossil gases]]/'Capacity_Entsoe_SFS_2015'!G61*10^6,0)</f>
        <v>2027.3369415649943</v>
      </c>
      <c r="AD63" s="548">
        <f>IFERROR(Generation_Entsoe_SFS_2015[[#This Row],[Other fossil fuels]]/'Capacity_Entsoe_SFS_2015'!H61*10^6,0)</f>
        <v>393.29091960670905</v>
      </c>
      <c r="AE63" s="548">
        <f>IFERROR(Generation_Entsoe_SFS_2015[[#This Row],[Wind onshore]]/'Capacity_Entsoe_SFS_2015'!I61*10^6,0)</f>
        <v>2046.1598138091547</v>
      </c>
      <c r="AF63" s="548">
        <f>IFERROR(Generation_Entsoe_SFS_2015[[#This Row],[Wind offshore]]/'Capacity_Entsoe_SFS_2015'!J61*10^6,0)</f>
        <v>0</v>
      </c>
      <c r="AG63" s="548">
        <f>IFERROR(Generation_Entsoe_SFS_2015[[#This Row],[Solar PV]]/'Capacity_Entsoe_SFS_2015'!K61*10^6,0)</f>
        <v>1195.2834760135681</v>
      </c>
      <c r="AH63" s="548">
        <f>IFERROR(Generation_Entsoe_SFS_2015[[#This Row],[Bioenergy]]/'Capacity_Entsoe_SFS_2015'!L61*10^6,0)</f>
        <v>4638.8725778038752</v>
      </c>
      <c r="AI63" s="548">
        <f>IFERROR(Generation_Entsoe_SFS_2015[[#This Row],[Other RES]]/'Capacity_Entsoe_SFS_2015'!M61*10^6,0)</f>
        <v>0</v>
      </c>
      <c r="AJ63" s="548">
        <f>IFERROR(Generation_Entsoe_SFS_2015[[#This Row],[Renewable Hydro]]/'Capacity_Entsoe_SFS_2015'!N61*10^6,0)</f>
        <v>2299.2918692944286</v>
      </c>
      <c r="AK63" s="548">
        <f>IFERROR(Generation_Entsoe_SFS_2015[[#This Row],[Pumped Hydro]]/'Capacity_Entsoe_SFS_2015'!O61*10^6,0)</f>
        <v>2425.4674077817081</v>
      </c>
      <c r="AL63" s="548">
        <f>IFERROR(Generation_Entsoe_SFS_2015[[#This Row],[Other sources]]/'Capacity_Entsoe_SFS_2015'!P61*10^6,0)</f>
        <v>0</v>
      </c>
    </row>
    <row r="64" spans="1:38" x14ac:dyDescent="0.25">
      <c r="A64" s="366" t="str">
        <f t="shared" si="1"/>
        <v>GB</v>
      </c>
      <c r="B64" s="366">
        <f t="shared" si="2"/>
        <v>2015</v>
      </c>
      <c r="C64" s="366" t="str">
        <f t="shared" si="2"/>
        <v>TWh</v>
      </c>
      <c r="D64" s="144">
        <f t="shared" si="3"/>
        <v>65.7</v>
      </c>
      <c r="E64" s="144">
        <f t="shared" ref="E64:G64" si="45">F17</f>
        <v>0</v>
      </c>
      <c r="F64" s="167">
        <f t="shared" si="45"/>
        <v>95</v>
      </c>
      <c r="G64" s="167">
        <f t="shared" si="45"/>
        <v>94.9</v>
      </c>
      <c r="H64" s="422">
        <f t="shared" si="5"/>
        <v>0</v>
      </c>
      <c r="I64" s="167">
        <f t="shared" si="6"/>
        <v>52.4</v>
      </c>
      <c r="J64" s="144">
        <v>0</v>
      </c>
      <c r="K64" s="422">
        <f t="shared" ref="K64:M64" si="46">N17</f>
        <v>7.5</v>
      </c>
      <c r="L64" s="422">
        <f t="shared" si="46"/>
        <v>0</v>
      </c>
      <c r="M64" s="422">
        <f t="shared" si="46"/>
        <v>0</v>
      </c>
      <c r="N64" s="167">
        <f t="shared" ref="N64:P64" si="47">R17</f>
        <v>4.7</v>
      </c>
      <c r="O64" s="167">
        <f t="shared" si="47"/>
        <v>3.2</v>
      </c>
      <c r="P64" s="422">
        <f t="shared" si="47"/>
        <v>1.4</v>
      </c>
      <c r="Q64" s="167">
        <f t="shared" si="0"/>
        <v>324.79999999999995</v>
      </c>
      <c r="R64" s="167">
        <f t="shared" si="9"/>
        <v>41.6</v>
      </c>
      <c r="S64" s="424">
        <f t="shared" si="10"/>
        <v>7.8076923076923066</v>
      </c>
      <c r="T64" s="516">
        <f>INDEX($A$4:$W$39,MATCH(Generation_Entsoe_SFS_2015[[#This Row],[Country]],$A$4:$A$39,0),MATCH(Generation_Entsoe_SFS_2015[[#Headers],[Consumption]],$A$2:$W$2,0))</f>
        <v>340.2</v>
      </c>
      <c r="U64" s="516">
        <f>INDEX($A$4:$W$39,MATCH(Generation_Entsoe_SFS_2015[[#This Row],[Country]],$A$4:$A$39,0),MATCH(Generation_Entsoe_SFS_2015[[#Headers],[Pumping]],$A$2:$W$2,0))</f>
        <v>3.7</v>
      </c>
      <c r="W64" s="544" t="str">
        <f t="shared" si="11"/>
        <v>GB</v>
      </c>
      <c r="X64" s="544">
        <v>2015</v>
      </c>
      <c r="Y64" s="544" t="s">
        <v>648</v>
      </c>
      <c r="Z64" s="549">
        <f>IFERROR(Generation_Entsoe_SFS_2015[[#This Row],[Nuclear]]/'Capacity_Entsoe_SFS_2015'!D62*10^6,0)</f>
        <v>7315.4437145084066</v>
      </c>
      <c r="AA64" s="549">
        <f>IFERROR(Generation_Entsoe_SFS_2015[[#This Row],[Lignite]]/'Capacity_Entsoe_SFS_2015'!E62*10^6,0)</f>
        <v>0</v>
      </c>
      <c r="AB64" s="549">
        <f>IFERROR(Generation_Entsoe_SFS_2015[[#This Row],[Hard coal]]/'Capacity_Entsoe_SFS_2015'!F62*10^6,0)</f>
        <v>5299.5648778310833</v>
      </c>
      <c r="AC64" s="549">
        <f>IFERROR(Generation_Entsoe_SFS_2015[[#This Row],[Fossil gases]]/'Capacity_Entsoe_SFS_2015'!G62*10^6,0)</f>
        <v>3266.7814113597246</v>
      </c>
      <c r="AD64" s="549">
        <f>IFERROR(Generation_Entsoe_SFS_2015[[#This Row],[Other fossil fuels]]/'Capacity_Entsoe_SFS_2015'!H62*10^6,0)</f>
        <v>0</v>
      </c>
      <c r="AE64" s="549">
        <f>IFERROR(Generation_Entsoe_SFS_2015[[#This Row],[Wind onshore]]/'Capacity_Entsoe_SFS_2015'!I62*10^6,0)</f>
        <v>6162.530871457132</v>
      </c>
      <c r="AF64" s="549">
        <f>IFERROR(Generation_Entsoe_SFS_2015[[#This Row],[Wind offshore]]/'Capacity_Entsoe_SFS_2015'!J62*10^6,0)</f>
        <v>0</v>
      </c>
      <c r="AG64" s="549">
        <f>IFERROR(Generation_Entsoe_SFS_2015[[#This Row],[Solar PV]]/'Capacity_Entsoe_SFS_2015'!K62*10^6,0)</f>
        <v>833.33333333333337</v>
      </c>
      <c r="AH64" s="549">
        <f>IFERROR(Generation_Entsoe_SFS_2015[[#This Row],[Bioenergy]]/'Capacity_Entsoe_SFS_2015'!L62*10^6,0)</f>
        <v>0</v>
      </c>
      <c r="AI64" s="549">
        <f>IFERROR(Generation_Entsoe_SFS_2015[[#This Row],[Other RES]]/'Capacity_Entsoe_SFS_2015'!M62*10^6,0)</f>
        <v>0</v>
      </c>
      <c r="AJ64" s="549">
        <f>IFERROR(Generation_Entsoe_SFS_2015[[#This Row],[Renewable Hydro]]/'Capacity_Entsoe_SFS_2015'!N62*10^6,0)</f>
        <v>4188.9483065953655</v>
      </c>
      <c r="AK64" s="549">
        <f>IFERROR(Generation_Entsoe_SFS_2015[[#This Row],[Pumped Hydro]]/'Capacity_Entsoe_SFS_2015'!O62*10^6,0)</f>
        <v>1166.1807580174927</v>
      </c>
      <c r="AL64" s="549">
        <f>IFERROR(Generation_Entsoe_SFS_2015[[#This Row],[Other sources]]/'Capacity_Entsoe_SFS_2015'!P62*10^6,0)</f>
        <v>0</v>
      </c>
    </row>
    <row r="65" spans="1:38" x14ac:dyDescent="0.25">
      <c r="A65" s="366" t="str">
        <f t="shared" si="1"/>
        <v>GR</v>
      </c>
      <c r="B65" s="366">
        <f t="shared" si="2"/>
        <v>2015</v>
      </c>
      <c r="C65" s="366" t="str">
        <f t="shared" si="2"/>
        <v>TWh</v>
      </c>
      <c r="D65" s="144">
        <f t="shared" si="3"/>
        <v>0</v>
      </c>
      <c r="E65" s="144">
        <f t="shared" ref="E65:G65" si="48">F18</f>
        <v>19.399999999999999</v>
      </c>
      <c r="F65" s="167">
        <f t="shared" si="48"/>
        <v>0</v>
      </c>
      <c r="G65" s="167">
        <f t="shared" si="48"/>
        <v>7.3</v>
      </c>
      <c r="H65" s="422">
        <f t="shared" si="5"/>
        <v>0</v>
      </c>
      <c r="I65" s="167">
        <f t="shared" si="6"/>
        <v>3.7</v>
      </c>
      <c r="J65" s="144">
        <v>0</v>
      </c>
      <c r="K65" s="422">
        <f t="shared" ref="K65:M65" si="49">N18</f>
        <v>3.6</v>
      </c>
      <c r="L65" s="422">
        <f t="shared" si="49"/>
        <v>0.2</v>
      </c>
      <c r="M65" s="422">
        <f t="shared" si="49"/>
        <v>1.3</v>
      </c>
      <c r="N65" s="167">
        <f t="shared" ref="N65:P65" si="50">R18</f>
        <v>0.7</v>
      </c>
      <c r="O65" s="167">
        <f t="shared" si="50"/>
        <v>5.4</v>
      </c>
      <c r="P65" s="422">
        <f t="shared" si="50"/>
        <v>0</v>
      </c>
      <c r="Q65" s="167">
        <f t="shared" si="0"/>
        <v>41.6</v>
      </c>
      <c r="R65" s="167">
        <f t="shared" si="9"/>
        <v>9.6</v>
      </c>
      <c r="S65" s="424">
        <f t="shared" si="10"/>
        <v>4.3333333333333339</v>
      </c>
      <c r="T65" s="516">
        <f>INDEX($A$4:$W$39,MATCH(Generation_Entsoe_SFS_2015[[#This Row],[Country]],$A$4:$A$39,0),MATCH(Generation_Entsoe_SFS_2015[[#Headers],[Consumption]],$A$2:$W$2,0))</f>
        <v>51.2</v>
      </c>
      <c r="U65" s="516">
        <f>INDEX($A$4:$W$39,MATCH(Generation_Entsoe_SFS_2015[[#This Row],[Country]],$A$4:$A$39,0),MATCH(Generation_Entsoe_SFS_2015[[#Headers],[Pumping]],$A$2:$W$2,0))</f>
        <v>0.1</v>
      </c>
      <c r="W65" s="544" t="str">
        <f t="shared" si="11"/>
        <v>GR</v>
      </c>
      <c r="X65" s="544">
        <v>2015</v>
      </c>
      <c r="Y65" s="544" t="s">
        <v>648</v>
      </c>
      <c r="Z65" s="548">
        <f>IFERROR(Generation_Entsoe_SFS_2015[[#This Row],[Nuclear]]/'Capacity_Entsoe_SFS_2015'!D63*10^6,0)</f>
        <v>0</v>
      </c>
      <c r="AA65" s="548">
        <f>IFERROR(Generation_Entsoe_SFS_2015[[#This Row],[Lignite]]/'Capacity_Entsoe_SFS_2015'!E63*10^6,0)</f>
        <v>4353.6804308797127</v>
      </c>
      <c r="AB65" s="548">
        <f>IFERROR(Generation_Entsoe_SFS_2015[[#This Row],[Hard coal]]/'Capacity_Entsoe_SFS_2015'!F63*10^6,0)</f>
        <v>0</v>
      </c>
      <c r="AC65" s="548">
        <f>IFERROR(Generation_Entsoe_SFS_2015[[#This Row],[Fossil gases]]/'Capacity_Entsoe_SFS_2015'!G63*10^6,0)</f>
        <v>1531.0402684563758</v>
      </c>
      <c r="AD65" s="548">
        <f>IFERROR(Generation_Entsoe_SFS_2015[[#This Row],[Other fossil fuels]]/'Capacity_Entsoe_SFS_2015'!H63*10^6,0)</f>
        <v>0</v>
      </c>
      <c r="AE65" s="548">
        <f>IFERROR(Generation_Entsoe_SFS_2015[[#This Row],[Wind onshore]]/'Capacity_Entsoe_SFS_2015'!I63*10^6,0)</f>
        <v>2084.5070422535214</v>
      </c>
      <c r="AF65" s="548">
        <f>IFERROR(Generation_Entsoe_SFS_2015[[#This Row],[Wind offshore]]/'Capacity_Entsoe_SFS_2015'!J63*10^6,0)</f>
        <v>0</v>
      </c>
      <c r="AG65" s="548">
        <f>IFERROR(Generation_Entsoe_SFS_2015[[#This Row],[Solar PV]]/'Capacity_Entsoe_SFS_2015'!K63*10^6,0)</f>
        <v>1472.9950900163667</v>
      </c>
      <c r="AH65" s="548">
        <f>IFERROR(Generation_Entsoe_SFS_2015[[#This Row],[Bioenergy]]/'Capacity_Entsoe_SFS_2015'!L63*10^6,0)</f>
        <v>3846.1538461538462</v>
      </c>
      <c r="AI65" s="548">
        <f>IFERROR(Generation_Entsoe_SFS_2015[[#This Row],[Other RES]]/'Capacity_Entsoe_SFS_2015'!M63*10^6,0)</f>
        <v>0</v>
      </c>
      <c r="AJ65" s="548">
        <f>IFERROR(Generation_Entsoe_SFS_2015[[#This Row],[Renewable Hydro]]/'Capacity_Entsoe_SFS_2015'!N63*10^6,0)</f>
        <v>3124.9999999999995</v>
      </c>
      <c r="AK65" s="548">
        <f>IFERROR(Generation_Entsoe_SFS_2015[[#This Row],[Pumped Hydro]]/'Capacity_Entsoe_SFS_2015'!O63*10^6,0)</f>
        <v>1789.2644135188866</v>
      </c>
      <c r="AL65" s="548">
        <f>IFERROR(Generation_Entsoe_SFS_2015[[#This Row],[Other sources]]/'Capacity_Entsoe_SFS_2015'!P63*10^6,0)</f>
        <v>0</v>
      </c>
    </row>
    <row r="66" spans="1:38" x14ac:dyDescent="0.25">
      <c r="A66" s="366" t="str">
        <f t="shared" si="1"/>
        <v>HR</v>
      </c>
      <c r="B66" s="366">
        <f t="shared" si="2"/>
        <v>2015</v>
      </c>
      <c r="C66" s="366" t="str">
        <f t="shared" si="2"/>
        <v>TWh</v>
      </c>
      <c r="D66" s="144">
        <f t="shared" si="3"/>
        <v>0</v>
      </c>
      <c r="E66" s="144">
        <f t="shared" ref="E66:G66" si="51">F19</f>
        <v>0</v>
      </c>
      <c r="F66" s="167">
        <f t="shared" si="51"/>
        <v>2.1</v>
      </c>
      <c r="G66" s="167">
        <f t="shared" si="51"/>
        <v>0.8</v>
      </c>
      <c r="H66" s="422">
        <f t="shared" si="5"/>
        <v>0.2</v>
      </c>
      <c r="I66" s="167">
        <f t="shared" si="6"/>
        <v>0.8</v>
      </c>
      <c r="J66" s="144">
        <v>0</v>
      </c>
      <c r="K66" s="422">
        <f t="shared" ref="K66:M66" si="52">N19</f>
        <v>0</v>
      </c>
      <c r="L66" s="422">
        <f t="shared" si="52"/>
        <v>0</v>
      </c>
      <c r="M66" s="422">
        <f t="shared" si="52"/>
        <v>0</v>
      </c>
      <c r="N66" s="167">
        <f t="shared" ref="N66:P66" si="53">R19</f>
        <v>5.7</v>
      </c>
      <c r="O66" s="167">
        <f t="shared" si="53"/>
        <v>0</v>
      </c>
      <c r="P66" s="422">
        <f t="shared" si="53"/>
        <v>0</v>
      </c>
      <c r="Q66" s="167">
        <f t="shared" si="0"/>
        <v>9.6000000000000014</v>
      </c>
      <c r="R66" s="167">
        <f t="shared" si="9"/>
        <v>27.1</v>
      </c>
      <c r="S66" s="424">
        <f t="shared" si="10"/>
        <v>0.35424354243542439</v>
      </c>
      <c r="T66" s="516">
        <f>INDEX($A$4:$W$39,MATCH(Generation_Entsoe_SFS_2015[[#This Row],[Country]],$A$4:$A$39,0),MATCH(Generation_Entsoe_SFS_2015[[#Headers],[Consumption]],$A$2:$W$2,0))</f>
        <v>17</v>
      </c>
      <c r="U66" s="516">
        <f>INDEX($A$4:$W$39,MATCH(Generation_Entsoe_SFS_2015[[#This Row],[Country]],$A$4:$A$39,0),MATCH(Generation_Entsoe_SFS_2015[[#Headers],[Pumping]],$A$2:$W$2,0))</f>
        <v>0.2</v>
      </c>
      <c r="W66" s="544" t="str">
        <f t="shared" si="11"/>
        <v>HR</v>
      </c>
      <c r="X66" s="544">
        <v>2015</v>
      </c>
      <c r="Y66" s="544" t="s">
        <v>648</v>
      </c>
      <c r="Z66" s="549">
        <f>IFERROR(Generation_Entsoe_SFS_2015[[#This Row],[Nuclear]]/'Capacity_Entsoe_SFS_2015'!D64*10^6,0)</f>
        <v>0</v>
      </c>
      <c r="AA66" s="549">
        <f>IFERROR(Generation_Entsoe_SFS_2015[[#This Row],[Lignite]]/'Capacity_Entsoe_SFS_2015'!E64*10^6,0)</f>
        <v>0</v>
      </c>
      <c r="AB66" s="549">
        <f>IFERROR(Generation_Entsoe_SFS_2015[[#This Row],[Hard coal]]/'Capacity_Entsoe_SFS_2015'!F64*10^6,0)</f>
        <v>6461.5384615384619</v>
      </c>
      <c r="AC66" s="549">
        <f>IFERROR(Generation_Entsoe_SFS_2015[[#This Row],[Fossil gases]]/'Capacity_Entsoe_SFS_2015'!G64*10^6,0)</f>
        <v>1612.9032258064517</v>
      </c>
      <c r="AD66" s="549">
        <f>IFERROR(Generation_Entsoe_SFS_2015[[#This Row],[Other fossil fuels]]/'Capacity_Entsoe_SFS_2015'!H64*10^6,0)</f>
        <v>210.7481559536354</v>
      </c>
      <c r="AE66" s="549">
        <f>IFERROR(Generation_Entsoe_SFS_2015[[#This Row],[Wind onshore]]/'Capacity_Entsoe_SFS_2015'!I64*10^6,0)</f>
        <v>2083.3333333333335</v>
      </c>
      <c r="AF66" s="549">
        <f>IFERROR(Generation_Entsoe_SFS_2015[[#This Row],[Wind offshore]]/'Capacity_Entsoe_SFS_2015'!J64*10^6,0)</f>
        <v>0</v>
      </c>
      <c r="AG66" s="549">
        <f>IFERROR(Generation_Entsoe_SFS_2015[[#This Row],[Solar PV]]/'Capacity_Entsoe_SFS_2015'!K64*10^6,0)</f>
        <v>0</v>
      </c>
      <c r="AH66" s="549">
        <f>IFERROR(Generation_Entsoe_SFS_2015[[#This Row],[Bioenergy]]/'Capacity_Entsoe_SFS_2015'!L64*10^6,0)</f>
        <v>0</v>
      </c>
      <c r="AI66" s="549">
        <f>IFERROR(Generation_Entsoe_SFS_2015[[#This Row],[Other RES]]/'Capacity_Entsoe_SFS_2015'!M64*10^6,0)</f>
        <v>0</v>
      </c>
      <c r="AJ66" s="549">
        <f>IFERROR(Generation_Entsoe_SFS_2015[[#This Row],[Renewable Hydro]]/'Capacity_Entsoe_SFS_2015'!N64*10^6,0)</f>
        <v>2698.8636363636365</v>
      </c>
      <c r="AK66" s="549">
        <f>IFERROR(Generation_Entsoe_SFS_2015[[#This Row],[Pumped Hydro]]/'Capacity_Entsoe_SFS_2015'!O64*10^6,0)</f>
        <v>0</v>
      </c>
      <c r="AL66" s="549">
        <f>IFERROR(Generation_Entsoe_SFS_2015[[#This Row],[Other sources]]/'Capacity_Entsoe_SFS_2015'!P64*10^6,0)</f>
        <v>0</v>
      </c>
    </row>
    <row r="67" spans="1:38" x14ac:dyDescent="0.25">
      <c r="A67" s="366" t="str">
        <f t="shared" si="1"/>
        <v>HU</v>
      </c>
      <c r="B67" s="366">
        <f t="shared" ref="B67:C72" si="54">B21</f>
        <v>2015</v>
      </c>
      <c r="C67" s="366" t="str">
        <f t="shared" si="54"/>
        <v>TWh</v>
      </c>
      <c r="D67" s="144">
        <f t="shared" si="3"/>
        <v>14.9</v>
      </c>
      <c r="E67" s="144">
        <f t="shared" ref="E67:G67" si="55">F20</f>
        <v>5.5</v>
      </c>
      <c r="F67" s="167">
        <f t="shared" si="55"/>
        <v>0.5</v>
      </c>
      <c r="G67" s="167">
        <f t="shared" si="55"/>
        <v>3.2</v>
      </c>
      <c r="H67" s="422">
        <f t="shared" si="5"/>
        <v>0</v>
      </c>
      <c r="I67" s="167">
        <f t="shared" si="6"/>
        <v>0.7</v>
      </c>
      <c r="J67" s="144">
        <v>0</v>
      </c>
      <c r="K67" s="422">
        <f t="shared" ref="K67:M67" si="56">N20</f>
        <v>0</v>
      </c>
      <c r="L67" s="422">
        <f t="shared" si="56"/>
        <v>1.6</v>
      </c>
      <c r="M67" s="422">
        <f t="shared" si="56"/>
        <v>0.5</v>
      </c>
      <c r="N67" s="167">
        <f t="shared" ref="N67:P67" si="57">R20</f>
        <v>0.2</v>
      </c>
      <c r="O67" s="167">
        <f t="shared" si="57"/>
        <v>0</v>
      </c>
      <c r="P67" s="422">
        <f t="shared" si="57"/>
        <v>0</v>
      </c>
      <c r="Q67" s="167">
        <f t="shared" si="0"/>
        <v>27.099999999999998</v>
      </c>
      <c r="R67" s="167">
        <f t="shared" si="9"/>
        <v>26.8</v>
      </c>
      <c r="S67" s="424">
        <f t="shared" si="10"/>
        <v>1.0111940298507462</v>
      </c>
      <c r="T67" s="516">
        <f>INDEX($A$4:$W$39,MATCH(Generation_Entsoe_SFS_2015[[#This Row],[Country]],$A$4:$A$39,0),MATCH(Generation_Entsoe_SFS_2015[[#Headers],[Consumption]],$A$2:$W$2,0))</f>
        <v>40.799999999999997</v>
      </c>
      <c r="U67" s="516">
        <f>INDEX($A$4:$W$39,MATCH(Generation_Entsoe_SFS_2015[[#This Row],[Country]],$A$4:$A$39,0),MATCH(Generation_Entsoe_SFS_2015[[#Headers],[Pumping]],$A$2:$W$2,0))</f>
        <v>0</v>
      </c>
      <c r="W67" s="544" t="str">
        <f t="shared" si="11"/>
        <v>HU</v>
      </c>
      <c r="X67" s="544">
        <v>2015</v>
      </c>
      <c r="Y67" s="544" t="s">
        <v>648</v>
      </c>
      <c r="Z67" s="548">
        <f>IFERROR(Generation_Entsoe_SFS_2015[[#This Row],[Nuclear]]/'Capacity_Entsoe_SFS_2015'!D65*10^6,0)</f>
        <v>7896.1314255431898</v>
      </c>
      <c r="AA67" s="548">
        <f>IFERROR(Generation_Entsoe_SFS_2015[[#This Row],[Lignite]]/'Capacity_Entsoe_SFS_2015'!E65*10^6,0)</f>
        <v>5461.7676266137041</v>
      </c>
      <c r="AB67" s="548">
        <f>IFERROR(Generation_Entsoe_SFS_2015[[#This Row],[Hard coal]]/'Capacity_Entsoe_SFS_2015'!F65*10^6,0)</f>
        <v>0</v>
      </c>
      <c r="AC67" s="548">
        <f>IFERROR(Generation_Entsoe_SFS_2015[[#This Row],[Fossil gases]]/'Capacity_Entsoe_SFS_2015'!G65*10^6,0)</f>
        <v>775.945683802134</v>
      </c>
      <c r="AD67" s="548">
        <f>IFERROR(Generation_Entsoe_SFS_2015[[#This Row],[Other fossil fuels]]/'Capacity_Entsoe_SFS_2015'!H65*10^6,0)</f>
        <v>0</v>
      </c>
      <c r="AE67" s="548">
        <f>IFERROR(Generation_Entsoe_SFS_2015[[#This Row],[Wind onshore]]/'Capacity_Entsoe_SFS_2015'!I65*10^6,0)</f>
        <v>2134.1463414634145</v>
      </c>
      <c r="AF67" s="548">
        <f>IFERROR(Generation_Entsoe_SFS_2015[[#This Row],[Wind offshore]]/'Capacity_Entsoe_SFS_2015'!J65*10^6,0)</f>
        <v>0</v>
      </c>
      <c r="AG67" s="548">
        <f>IFERROR(Generation_Entsoe_SFS_2015[[#This Row],[Solar PV]]/'Capacity_Entsoe_SFS_2015'!K65*10^6,0)</f>
        <v>0</v>
      </c>
      <c r="AH67" s="548">
        <f>IFERROR(Generation_Entsoe_SFS_2015[[#This Row],[Bioenergy]]/'Capacity_Entsoe_SFS_2015'!L65*10^6,0)</f>
        <v>6504.0650406504064</v>
      </c>
      <c r="AI67" s="548">
        <f>IFERROR(Generation_Entsoe_SFS_2015[[#This Row],[Other RES]]/'Capacity_Entsoe_SFS_2015'!M65*10^6,0)</f>
        <v>0</v>
      </c>
      <c r="AJ67" s="548">
        <f>IFERROR(Generation_Entsoe_SFS_2015[[#This Row],[Renewable Hydro]]/'Capacity_Entsoe_SFS_2015'!N65*10^6,0)</f>
        <v>3508.7719298245615</v>
      </c>
      <c r="AK67" s="548">
        <f>IFERROR(Generation_Entsoe_SFS_2015[[#This Row],[Pumped Hydro]]/'Capacity_Entsoe_SFS_2015'!O65*10^6,0)</f>
        <v>0</v>
      </c>
      <c r="AL67" s="548">
        <f>IFERROR(Generation_Entsoe_SFS_2015[[#This Row],[Other sources]]/'Capacity_Entsoe_SFS_2015'!P65*10^6,0)</f>
        <v>0</v>
      </c>
    </row>
    <row r="68" spans="1:38" x14ac:dyDescent="0.25">
      <c r="A68" s="366" t="str">
        <f t="shared" si="1"/>
        <v>IE</v>
      </c>
      <c r="B68" s="366">
        <f t="shared" si="54"/>
        <v>2015</v>
      </c>
      <c r="C68" s="366" t="str">
        <f t="shared" si="54"/>
        <v>TWh</v>
      </c>
      <c r="D68" s="144">
        <f t="shared" si="3"/>
        <v>0</v>
      </c>
      <c r="E68" s="144">
        <f t="shared" ref="E68:G68" si="58">F21</f>
        <v>2.5</v>
      </c>
      <c r="F68" s="167">
        <f t="shared" si="58"/>
        <v>4.8</v>
      </c>
      <c r="G68" s="167">
        <f t="shared" si="58"/>
        <v>11.5</v>
      </c>
      <c r="H68" s="422">
        <f t="shared" si="5"/>
        <v>0.1</v>
      </c>
      <c r="I68" s="167">
        <f t="shared" si="6"/>
        <v>6.5</v>
      </c>
      <c r="J68" s="144">
        <v>0</v>
      </c>
      <c r="K68" s="422">
        <f t="shared" ref="K68:M68" si="59">N21</f>
        <v>0</v>
      </c>
      <c r="L68" s="422">
        <f t="shared" si="59"/>
        <v>0</v>
      </c>
      <c r="M68" s="422">
        <f t="shared" si="59"/>
        <v>0.2</v>
      </c>
      <c r="N68" s="167">
        <f t="shared" ref="N68:P68" si="60">R21</f>
        <v>0.8</v>
      </c>
      <c r="O68" s="167">
        <f t="shared" si="60"/>
        <v>0.3</v>
      </c>
      <c r="P68" s="422">
        <f t="shared" si="60"/>
        <v>0</v>
      </c>
      <c r="Q68" s="167">
        <f t="shared" si="0"/>
        <v>26.700000000000003</v>
      </c>
      <c r="R68" s="167">
        <f t="shared" si="9"/>
        <v>18.3</v>
      </c>
      <c r="S68" s="424">
        <f t="shared" si="10"/>
        <v>1.459016393442623</v>
      </c>
      <c r="T68" s="516">
        <f>INDEX($A$4:$W$39,MATCH(Generation_Entsoe_SFS_2015[[#This Row],[Country]],$A$4:$A$39,0),MATCH(Generation_Entsoe_SFS_2015[[#Headers],[Consumption]],$A$2:$W$2,0))</f>
        <v>27</v>
      </c>
      <c r="U68" s="516">
        <f>INDEX($A$4:$W$39,MATCH(Generation_Entsoe_SFS_2015[[#This Row],[Country]],$A$4:$A$39,0),MATCH(Generation_Entsoe_SFS_2015[[#Headers],[Pumping]],$A$2:$W$2,0))</f>
        <v>0.5</v>
      </c>
      <c r="W68" s="544" t="str">
        <f t="shared" si="11"/>
        <v>IE</v>
      </c>
      <c r="X68" s="544">
        <v>2015</v>
      </c>
      <c r="Y68" s="544" t="s">
        <v>648</v>
      </c>
      <c r="Z68" s="549">
        <f>IFERROR(Generation_Entsoe_SFS_2015[[#This Row],[Nuclear]]/'Capacity_Entsoe_SFS_2015'!D66*10^6,0)</f>
        <v>0</v>
      </c>
      <c r="AA68" s="549">
        <f>IFERROR(Generation_Entsoe_SFS_2015[[#This Row],[Lignite]]/'Capacity_Entsoe_SFS_2015'!E66*10^6,0)</f>
        <v>7225.4335260115604</v>
      </c>
      <c r="AB68" s="549">
        <f>IFERROR(Generation_Entsoe_SFS_2015[[#This Row],[Hard coal]]/'Capacity_Entsoe_SFS_2015'!F66*10^6,0)</f>
        <v>5614.0350877192977</v>
      </c>
      <c r="AC68" s="549">
        <f>IFERROR(Generation_Entsoe_SFS_2015[[#This Row],[Fossil gases]]/'Capacity_Entsoe_SFS_2015'!G66*10^6,0)</f>
        <v>2693.2084309133493</v>
      </c>
      <c r="AD68" s="549">
        <f>IFERROR(Generation_Entsoe_SFS_2015[[#This Row],[Other fossil fuels]]/'Capacity_Entsoe_SFS_2015'!H66*10^6,0)</f>
        <v>106.60980810234543</v>
      </c>
      <c r="AE68" s="549">
        <f>IFERROR(Generation_Entsoe_SFS_2015[[#This Row],[Wind onshore]]/'Capacity_Entsoe_SFS_2015'!I66*10^6,0)</f>
        <v>2708.3333333333335</v>
      </c>
      <c r="AF68" s="549">
        <f>IFERROR(Generation_Entsoe_SFS_2015[[#This Row],[Wind offshore]]/'Capacity_Entsoe_SFS_2015'!J66*10^6,0)</f>
        <v>0</v>
      </c>
      <c r="AG68" s="549">
        <f>IFERROR(Generation_Entsoe_SFS_2015[[#This Row],[Solar PV]]/'Capacity_Entsoe_SFS_2015'!K66*10^6,0)</f>
        <v>0</v>
      </c>
      <c r="AH68" s="549">
        <f>IFERROR(Generation_Entsoe_SFS_2015[[#This Row],[Bioenergy]]/'Capacity_Entsoe_SFS_2015'!L66*10^6,0)</f>
        <v>0</v>
      </c>
      <c r="AI68" s="549">
        <f>IFERROR(Generation_Entsoe_SFS_2015[[#This Row],[Other RES]]/'Capacity_Entsoe_SFS_2015'!M66*10^6,0)</f>
        <v>2985.0746268656717</v>
      </c>
      <c r="AJ68" s="549">
        <f>IFERROR(Generation_Entsoe_SFS_2015[[#This Row],[Renewable Hydro]]/'Capacity_Entsoe_SFS_2015'!N66*10^6,0)</f>
        <v>3305.7851239669426</v>
      </c>
      <c r="AK68" s="549">
        <f>IFERROR(Generation_Entsoe_SFS_2015[[#This Row],[Pumped Hydro]]/'Capacity_Entsoe_SFS_2015'!O66*10^6,0)</f>
        <v>1027.3972602739725</v>
      </c>
      <c r="AL68" s="549">
        <f>IFERROR(Generation_Entsoe_SFS_2015[[#This Row],[Other sources]]/'Capacity_Entsoe_SFS_2015'!P66*10^6,0)</f>
        <v>0</v>
      </c>
    </row>
    <row r="69" spans="1:38" x14ac:dyDescent="0.25">
      <c r="A69" s="366" t="str">
        <f t="shared" si="1"/>
        <v>IS</v>
      </c>
      <c r="B69" s="366">
        <f t="shared" si="54"/>
        <v>2015</v>
      </c>
      <c r="C69" s="366" t="str">
        <f t="shared" si="54"/>
        <v>TWh</v>
      </c>
      <c r="D69" s="144">
        <f t="shared" si="3"/>
        <v>0</v>
      </c>
      <c r="E69" s="144">
        <f t="shared" ref="E69:G69" si="61">F22</f>
        <v>0</v>
      </c>
      <c r="F69" s="167">
        <f t="shared" si="61"/>
        <v>0</v>
      </c>
      <c r="G69" s="167">
        <f t="shared" si="61"/>
        <v>0</v>
      </c>
      <c r="H69" s="422">
        <f t="shared" si="5"/>
        <v>0</v>
      </c>
      <c r="I69" s="167">
        <f t="shared" si="6"/>
        <v>0</v>
      </c>
      <c r="J69" s="144">
        <v>0</v>
      </c>
      <c r="K69" s="422">
        <f t="shared" ref="K69:M69" si="62">N22</f>
        <v>0</v>
      </c>
      <c r="L69" s="422">
        <f t="shared" si="62"/>
        <v>0</v>
      </c>
      <c r="M69" s="422">
        <f t="shared" si="62"/>
        <v>4.7</v>
      </c>
      <c r="N69" s="167">
        <f t="shared" ref="N69:P69" si="63">R22</f>
        <v>13.7</v>
      </c>
      <c r="O69" s="167">
        <f t="shared" si="63"/>
        <v>0</v>
      </c>
      <c r="P69" s="422">
        <f t="shared" si="63"/>
        <v>0</v>
      </c>
      <c r="Q69" s="167">
        <f t="shared" si="0"/>
        <v>18.399999999999999</v>
      </c>
      <c r="R69" s="167">
        <f t="shared" si="9"/>
        <v>269.8</v>
      </c>
      <c r="S69" s="424">
        <f t="shared" si="10"/>
        <v>6.8198665678280201E-2</v>
      </c>
      <c r="T69" s="516">
        <f>INDEX($A$4:$W$39,MATCH(Generation_Entsoe_SFS_2015[[#This Row],[Country]],$A$4:$A$39,0),MATCH(Generation_Entsoe_SFS_2015[[#Headers],[Consumption]],$A$2:$W$2,0))</f>
        <v>18.3</v>
      </c>
      <c r="U69" s="516">
        <f>INDEX($A$4:$W$39,MATCH(Generation_Entsoe_SFS_2015[[#This Row],[Country]],$A$4:$A$39,0),MATCH(Generation_Entsoe_SFS_2015[[#Headers],[Pumping]],$A$2:$W$2,0))</f>
        <v>0</v>
      </c>
      <c r="W69" s="544" t="str">
        <f t="shared" si="11"/>
        <v>IS</v>
      </c>
      <c r="X69" s="544">
        <v>2015</v>
      </c>
      <c r="Y69" s="544" t="s">
        <v>648</v>
      </c>
      <c r="Z69" s="548">
        <f>IFERROR(Generation_Entsoe_SFS_2015[[#This Row],[Nuclear]]/'Capacity_Entsoe_SFS_2015'!D67*10^6,0)</f>
        <v>0</v>
      </c>
      <c r="AA69" s="548">
        <f>IFERROR(Generation_Entsoe_SFS_2015[[#This Row],[Lignite]]/'Capacity_Entsoe_SFS_2015'!E67*10^6,0)</f>
        <v>0</v>
      </c>
      <c r="AB69" s="548">
        <f>IFERROR(Generation_Entsoe_SFS_2015[[#This Row],[Hard coal]]/'Capacity_Entsoe_SFS_2015'!F67*10^6,0)</f>
        <v>0</v>
      </c>
      <c r="AC69" s="548">
        <f>IFERROR(Generation_Entsoe_SFS_2015[[#This Row],[Fossil gases]]/'Capacity_Entsoe_SFS_2015'!G67*10^6,0)</f>
        <v>0</v>
      </c>
      <c r="AD69" s="548">
        <f>IFERROR(Generation_Entsoe_SFS_2015[[#This Row],[Other fossil fuels]]/'Capacity_Entsoe_SFS_2015'!H67*10^6,0)</f>
        <v>0</v>
      </c>
      <c r="AE69" s="548">
        <f>IFERROR(Generation_Entsoe_SFS_2015[[#This Row],[Wind onshore]]/'Capacity_Entsoe_SFS_2015'!I67*10^6,0)</f>
        <v>0</v>
      </c>
      <c r="AF69" s="548">
        <f>IFERROR(Generation_Entsoe_SFS_2015[[#This Row],[Wind offshore]]/'Capacity_Entsoe_SFS_2015'!J67*10^6,0)</f>
        <v>0</v>
      </c>
      <c r="AG69" s="548">
        <f>IFERROR(Generation_Entsoe_SFS_2015[[#This Row],[Solar PV]]/'Capacity_Entsoe_SFS_2015'!K67*10^6,0)</f>
        <v>0</v>
      </c>
      <c r="AH69" s="548">
        <f>IFERROR(Generation_Entsoe_SFS_2015[[#This Row],[Bioenergy]]/'Capacity_Entsoe_SFS_2015'!L67*10^6,0)</f>
        <v>0</v>
      </c>
      <c r="AI69" s="548">
        <f>IFERROR(Generation_Entsoe_SFS_2015[[#This Row],[Other RES]]/'Capacity_Entsoe_SFS_2015'!M67*10^6,0)</f>
        <v>7110.4387291981848</v>
      </c>
      <c r="AJ69" s="548">
        <f>IFERROR(Generation_Entsoe_SFS_2015[[#This Row],[Renewable Hydro]]/'Capacity_Entsoe_SFS_2015'!N67*10^6,0)</f>
        <v>6947.2616632860036</v>
      </c>
      <c r="AK69" s="548">
        <f>IFERROR(Generation_Entsoe_SFS_2015[[#This Row],[Pumped Hydro]]/'Capacity_Entsoe_SFS_2015'!O67*10^6,0)</f>
        <v>0</v>
      </c>
      <c r="AL69" s="548">
        <f>IFERROR(Generation_Entsoe_SFS_2015[[#This Row],[Other sources]]/'Capacity_Entsoe_SFS_2015'!P67*10^6,0)</f>
        <v>0</v>
      </c>
    </row>
    <row r="70" spans="1:38" x14ac:dyDescent="0.25">
      <c r="A70" s="366" t="str">
        <f t="shared" si="1"/>
        <v>IT</v>
      </c>
      <c r="B70" s="366">
        <f t="shared" si="54"/>
        <v>2015</v>
      </c>
      <c r="C70" s="366" t="str">
        <f t="shared" si="54"/>
        <v>TWh</v>
      </c>
      <c r="D70" s="144">
        <f t="shared" si="3"/>
        <v>0</v>
      </c>
      <c r="E70" s="144">
        <f t="shared" ref="E70:G70" si="64">F23</f>
        <v>0</v>
      </c>
      <c r="F70" s="167">
        <f t="shared" si="64"/>
        <v>38.4</v>
      </c>
      <c r="G70" s="167">
        <f t="shared" si="64"/>
        <v>91.5</v>
      </c>
      <c r="H70" s="422">
        <f t="shared" si="5"/>
        <v>32.200000000000003</v>
      </c>
      <c r="I70" s="167">
        <f t="shared" si="6"/>
        <v>14.7</v>
      </c>
      <c r="J70" s="144">
        <v>0</v>
      </c>
      <c r="K70" s="422">
        <f t="shared" ref="K70:M70" si="65">N23</f>
        <v>23.9</v>
      </c>
      <c r="L70" s="422">
        <f t="shared" si="65"/>
        <v>18.8</v>
      </c>
      <c r="M70" s="422">
        <f t="shared" si="65"/>
        <v>5.8</v>
      </c>
      <c r="N70" s="167">
        <f t="shared" ref="N70:P70" si="66">R23</f>
        <v>43.3</v>
      </c>
      <c r="O70" s="167">
        <f t="shared" si="66"/>
        <v>1.3</v>
      </c>
      <c r="P70" s="422">
        <f t="shared" si="66"/>
        <v>0</v>
      </c>
      <c r="Q70" s="167">
        <f t="shared" si="0"/>
        <v>269.90000000000003</v>
      </c>
      <c r="R70" s="167">
        <f t="shared" si="9"/>
        <v>4.5999999999999996</v>
      </c>
      <c r="S70" s="424">
        <f t="shared" si="10"/>
        <v>58.673913043478272</v>
      </c>
      <c r="T70" s="516">
        <f>INDEX($A$4:$W$39,MATCH(Generation_Entsoe_SFS_2015[[#This Row],[Country]],$A$4:$A$39,0),MATCH(Generation_Entsoe_SFS_2015[[#Headers],[Consumption]],$A$2:$W$2,0))</f>
        <v>314.3</v>
      </c>
      <c r="U70" s="516">
        <f>INDEX($A$4:$W$39,MATCH(Generation_Entsoe_SFS_2015[[#This Row],[Country]],$A$4:$A$39,0),MATCH(Generation_Entsoe_SFS_2015[[#Headers],[Pumping]],$A$2:$W$2,0))</f>
        <v>1.9</v>
      </c>
      <c r="W70" s="544" t="str">
        <f t="shared" si="11"/>
        <v>IT</v>
      </c>
      <c r="X70" s="544">
        <v>2015</v>
      </c>
      <c r="Y70" s="544" t="s">
        <v>648</v>
      </c>
      <c r="Z70" s="549">
        <f>IFERROR(Generation_Entsoe_SFS_2015[[#This Row],[Nuclear]]/'Capacity_Entsoe_SFS_2015'!D68*10^6,0)</f>
        <v>0</v>
      </c>
      <c r="AA70" s="549">
        <f>IFERROR(Generation_Entsoe_SFS_2015[[#This Row],[Lignite]]/'Capacity_Entsoe_SFS_2015'!E68*10^6,0)</f>
        <v>0</v>
      </c>
      <c r="AB70" s="549">
        <f>IFERROR(Generation_Entsoe_SFS_2015[[#This Row],[Hard coal]]/'Capacity_Entsoe_SFS_2015'!F68*10^6,0)</f>
        <v>4363.636363636364</v>
      </c>
      <c r="AC70" s="549">
        <f>IFERROR(Generation_Entsoe_SFS_2015[[#This Row],[Fossil gases]]/'Capacity_Entsoe_SFS_2015'!G68*10^6,0)</f>
        <v>1776.6990291262136</v>
      </c>
      <c r="AD70" s="549">
        <f>IFERROR(Generation_Entsoe_SFS_2015[[#This Row],[Other fossil fuels]]/'Capacity_Entsoe_SFS_2015'!H68*10^6,0)</f>
        <v>3425.5319148936173</v>
      </c>
      <c r="AE70" s="549">
        <f>IFERROR(Generation_Entsoe_SFS_2015[[#This Row],[Wind onshore]]/'Capacity_Entsoe_SFS_2015'!I68*10^6,0)</f>
        <v>1679.9999999999998</v>
      </c>
      <c r="AF70" s="549">
        <f>IFERROR(Generation_Entsoe_SFS_2015[[#This Row],[Wind offshore]]/'Capacity_Entsoe_SFS_2015'!J68*10^6,0)</f>
        <v>0</v>
      </c>
      <c r="AG70" s="549">
        <f>IFERROR(Generation_Entsoe_SFS_2015[[#This Row],[Solar PV]]/'Capacity_Entsoe_SFS_2015'!K68*10^6,0)</f>
        <v>1251.3089005235599</v>
      </c>
      <c r="AH70" s="549">
        <f>IFERROR(Generation_Entsoe_SFS_2015[[#This Row],[Bioenergy]]/'Capacity_Entsoe_SFS_2015'!L68*10^6,0)</f>
        <v>5081.0810810810817</v>
      </c>
      <c r="AI70" s="549">
        <f>IFERROR(Generation_Entsoe_SFS_2015[[#This Row],[Other RES]]/'Capacity_Entsoe_SFS_2015'!M68*10^6,0)</f>
        <v>7435.8974358974356</v>
      </c>
      <c r="AJ70" s="549">
        <f>IFERROR(Generation_Entsoe_SFS_2015[[#This Row],[Renewable Hydro]]/'Capacity_Entsoe_SFS_2015'!N68*10^6,0)</f>
        <v>0</v>
      </c>
      <c r="AK70" s="549">
        <f>IFERROR(Generation_Entsoe_SFS_2015[[#This Row],[Pumped Hydro]]/'Capacity_Entsoe_SFS_2015'!O68*10^6,0)</f>
        <v>58.690744920993232</v>
      </c>
      <c r="AL70" s="549">
        <f>IFERROR(Generation_Entsoe_SFS_2015[[#This Row],[Other sources]]/'Capacity_Entsoe_SFS_2015'!P68*10^6,0)</f>
        <v>0</v>
      </c>
    </row>
    <row r="71" spans="1:38" x14ac:dyDescent="0.25">
      <c r="A71" s="366" t="str">
        <f t="shared" si="1"/>
        <v>LT</v>
      </c>
      <c r="B71" s="366">
        <f t="shared" si="54"/>
        <v>2015</v>
      </c>
      <c r="C71" s="366" t="str">
        <f t="shared" si="54"/>
        <v>TWh</v>
      </c>
      <c r="D71" s="144">
        <f t="shared" si="3"/>
        <v>0</v>
      </c>
      <c r="E71" s="144">
        <f t="shared" ref="E71:G71" si="67">F24</f>
        <v>0</v>
      </c>
      <c r="F71" s="167">
        <f t="shared" si="67"/>
        <v>0</v>
      </c>
      <c r="G71" s="167">
        <f t="shared" si="67"/>
        <v>1.5</v>
      </c>
      <c r="H71" s="422">
        <f t="shared" si="5"/>
        <v>0.89999999999999991</v>
      </c>
      <c r="I71" s="167">
        <f t="shared" si="6"/>
        <v>0.8</v>
      </c>
      <c r="J71" s="144">
        <v>0</v>
      </c>
      <c r="K71" s="422">
        <f t="shared" ref="K71:M71" si="68">N24</f>
        <v>0.1</v>
      </c>
      <c r="L71" s="422">
        <f t="shared" si="68"/>
        <v>0.4</v>
      </c>
      <c r="M71" s="422">
        <f t="shared" si="68"/>
        <v>0</v>
      </c>
      <c r="N71" s="167">
        <f t="shared" ref="N71:P71" si="69">R24</f>
        <v>0.3</v>
      </c>
      <c r="O71" s="167">
        <f t="shared" si="69"/>
        <v>0.7</v>
      </c>
      <c r="P71" s="422">
        <f t="shared" si="69"/>
        <v>0</v>
      </c>
      <c r="Q71" s="167">
        <f t="shared" si="0"/>
        <v>4.7</v>
      </c>
      <c r="R71" s="167">
        <f t="shared" si="9"/>
        <v>2.7</v>
      </c>
      <c r="S71" s="424">
        <f t="shared" si="10"/>
        <v>1.7407407407407407</v>
      </c>
      <c r="T71" s="516">
        <f>INDEX($A$4:$W$39,MATCH(Generation_Entsoe_SFS_2015[[#This Row],[Country]],$A$4:$A$39,0),MATCH(Generation_Entsoe_SFS_2015[[#Headers],[Consumption]],$A$2:$W$2,0))</f>
        <v>10.9</v>
      </c>
      <c r="U71" s="516">
        <f>INDEX($A$4:$W$39,MATCH(Generation_Entsoe_SFS_2015[[#This Row],[Country]],$A$4:$A$39,0),MATCH(Generation_Entsoe_SFS_2015[[#Headers],[Pumping]],$A$2:$W$2,0))</f>
        <v>0.9</v>
      </c>
      <c r="W71" s="544" t="str">
        <f t="shared" si="11"/>
        <v>LT</v>
      </c>
      <c r="X71" s="544">
        <v>2015</v>
      </c>
      <c r="Y71" s="544" t="s">
        <v>648</v>
      </c>
      <c r="Z71" s="548">
        <f>IFERROR(Generation_Entsoe_SFS_2015[[#This Row],[Nuclear]]/'Capacity_Entsoe_SFS_2015'!D69*10^6,0)</f>
        <v>0</v>
      </c>
      <c r="AA71" s="548">
        <f>IFERROR(Generation_Entsoe_SFS_2015[[#This Row],[Lignite]]/'Capacity_Entsoe_SFS_2015'!E69*10^6,0)</f>
        <v>0</v>
      </c>
      <c r="AB71" s="548">
        <f>IFERROR(Generation_Entsoe_SFS_2015[[#This Row],[Hard coal]]/'Capacity_Entsoe_SFS_2015'!F69*10^6,0)</f>
        <v>0</v>
      </c>
      <c r="AC71" s="548">
        <f>IFERROR(Generation_Entsoe_SFS_2015[[#This Row],[Fossil gases]]/'Capacity_Entsoe_SFS_2015'!G69*10^6,0)</f>
        <v>2712.4773960216999</v>
      </c>
      <c r="AD71" s="548">
        <f>IFERROR(Generation_Entsoe_SFS_2015[[#This Row],[Other fossil fuels]]/'Capacity_Entsoe_SFS_2015'!H69*10^6,0)</f>
        <v>505.902192242833</v>
      </c>
      <c r="AE71" s="548">
        <f>IFERROR(Generation_Entsoe_SFS_2015[[#This Row],[Wind onshore]]/'Capacity_Entsoe_SFS_2015'!I69*10^6,0)</f>
        <v>2758.6206896551726</v>
      </c>
      <c r="AF71" s="548">
        <f>IFERROR(Generation_Entsoe_SFS_2015[[#This Row],[Wind offshore]]/'Capacity_Entsoe_SFS_2015'!J69*10^6,0)</f>
        <v>0</v>
      </c>
      <c r="AG71" s="548">
        <f>IFERROR(Generation_Entsoe_SFS_2015[[#This Row],[Solar PV]]/'Capacity_Entsoe_SFS_2015'!K69*10^6,0)</f>
        <v>1449.2753623188405</v>
      </c>
      <c r="AH71" s="548">
        <f>IFERROR(Generation_Entsoe_SFS_2015[[#This Row],[Bioenergy]]/'Capacity_Entsoe_SFS_2015'!L69*10^6,0)</f>
        <v>5194.8051948051952</v>
      </c>
      <c r="AI71" s="548">
        <f>IFERROR(Generation_Entsoe_SFS_2015[[#This Row],[Other RES]]/'Capacity_Entsoe_SFS_2015'!M69*10^6,0)</f>
        <v>0</v>
      </c>
      <c r="AJ71" s="548">
        <f>IFERROR(Generation_Entsoe_SFS_2015[[#This Row],[Renewable Hydro]]/'Capacity_Entsoe_SFS_2015'!N69*10^6,0)</f>
        <v>2380.9523809523807</v>
      </c>
      <c r="AK71" s="548">
        <f>IFERROR(Generation_Entsoe_SFS_2015[[#This Row],[Pumped Hydro]]/'Capacity_Entsoe_SFS_2015'!O69*10^6,0)</f>
        <v>0</v>
      </c>
      <c r="AL71" s="548">
        <f>IFERROR(Generation_Entsoe_SFS_2015[[#This Row],[Other sources]]/'Capacity_Entsoe_SFS_2015'!P69*10^6,0)</f>
        <v>0</v>
      </c>
    </row>
    <row r="72" spans="1:38" x14ac:dyDescent="0.25">
      <c r="A72" s="366" t="str">
        <f t="shared" si="1"/>
        <v>LU</v>
      </c>
      <c r="B72" s="366">
        <f t="shared" si="54"/>
        <v>2015</v>
      </c>
      <c r="C72" s="366" t="str">
        <f t="shared" si="54"/>
        <v>TWh</v>
      </c>
      <c r="D72" s="144">
        <f t="shared" si="3"/>
        <v>0</v>
      </c>
      <c r="E72" s="144">
        <f t="shared" ref="E72:G72" si="70">F25</f>
        <v>0</v>
      </c>
      <c r="F72" s="167">
        <f t="shared" si="70"/>
        <v>0</v>
      </c>
      <c r="G72" s="167">
        <f t="shared" si="70"/>
        <v>0.8</v>
      </c>
      <c r="H72" s="422">
        <f t="shared" si="5"/>
        <v>0</v>
      </c>
      <c r="I72" s="167">
        <f t="shared" si="6"/>
        <v>0.1</v>
      </c>
      <c r="J72" s="144">
        <v>0</v>
      </c>
      <c r="K72" s="422">
        <f t="shared" ref="K72:M72" si="71">N25</f>
        <v>0.1</v>
      </c>
      <c r="L72" s="422">
        <f t="shared" si="71"/>
        <v>0.1</v>
      </c>
      <c r="M72" s="422">
        <f t="shared" si="71"/>
        <v>0</v>
      </c>
      <c r="N72" s="167">
        <f t="shared" ref="N72:P72" si="72">R25</f>
        <v>0.1</v>
      </c>
      <c r="O72" s="167">
        <f t="shared" si="72"/>
        <v>1.4</v>
      </c>
      <c r="P72" s="422">
        <f t="shared" si="72"/>
        <v>0.1</v>
      </c>
      <c r="Q72" s="167">
        <f t="shared" si="0"/>
        <v>2.7</v>
      </c>
      <c r="R72" s="167">
        <f t="shared" si="9"/>
        <v>5.4</v>
      </c>
      <c r="S72" s="424">
        <f t="shared" si="10"/>
        <v>0.5</v>
      </c>
      <c r="T72" s="516">
        <f>INDEX($A$4:$W$39,MATCH(Generation_Entsoe_SFS_2015[[#This Row],[Country]],$A$4:$A$39,0),MATCH(Generation_Entsoe_SFS_2015[[#Headers],[Consumption]],$A$2:$W$2,0))</f>
        <v>6.4</v>
      </c>
      <c r="U72" s="516">
        <f>INDEX($A$4:$W$39,MATCH(Generation_Entsoe_SFS_2015[[#This Row],[Country]],$A$4:$A$39,0),MATCH(Generation_Entsoe_SFS_2015[[#Headers],[Pumping]],$A$2:$W$2,0))</f>
        <v>1.9</v>
      </c>
      <c r="W72" s="544" t="str">
        <f t="shared" si="11"/>
        <v>LU</v>
      </c>
      <c r="X72" s="544">
        <v>2015</v>
      </c>
      <c r="Y72" s="544" t="s">
        <v>648</v>
      </c>
      <c r="Z72" s="549">
        <f>IFERROR(Generation_Entsoe_SFS_2015[[#This Row],[Nuclear]]/'Capacity_Entsoe_SFS_2015'!D70*10^6,0)</f>
        <v>0</v>
      </c>
      <c r="AA72" s="549">
        <f>IFERROR(Generation_Entsoe_SFS_2015[[#This Row],[Lignite]]/'Capacity_Entsoe_SFS_2015'!E70*10^6,0)</f>
        <v>0</v>
      </c>
      <c r="AB72" s="549">
        <f>IFERROR(Generation_Entsoe_SFS_2015[[#This Row],[Hard coal]]/'Capacity_Entsoe_SFS_2015'!F70*10^6,0)</f>
        <v>0</v>
      </c>
      <c r="AC72" s="549">
        <f>IFERROR(Generation_Entsoe_SFS_2015[[#This Row],[Fossil gases]]/'Capacity_Entsoe_SFS_2015'!G70*10^6,0)</f>
        <v>1616.1616161616162</v>
      </c>
      <c r="AD72" s="549">
        <f>IFERROR(Generation_Entsoe_SFS_2015[[#This Row],[Other fossil fuels]]/'Capacity_Entsoe_SFS_2015'!H70*10^6,0)</f>
        <v>0</v>
      </c>
      <c r="AE72" s="549">
        <f>IFERROR(Generation_Entsoe_SFS_2015[[#This Row],[Wind onshore]]/'Capacity_Entsoe_SFS_2015'!I70*10^6,0)</f>
        <v>1666.6666666666667</v>
      </c>
      <c r="AF72" s="549">
        <f>IFERROR(Generation_Entsoe_SFS_2015[[#This Row],[Wind offshore]]/'Capacity_Entsoe_SFS_2015'!J70*10^6,0)</f>
        <v>0</v>
      </c>
      <c r="AG72" s="549">
        <f>IFERROR(Generation_Entsoe_SFS_2015[[#This Row],[Solar PV]]/'Capacity_Entsoe_SFS_2015'!K70*10^6,0)</f>
        <v>862.06896551724151</v>
      </c>
      <c r="AH72" s="555">
        <f>IFERROR(Generation_Entsoe_SFS_2015[[#This Row],[Bioenergy]]/'Capacity_Entsoe_SFS_2015'!L70*10^6,0)</f>
        <v>9090.9090909090919</v>
      </c>
      <c r="AI72" s="549">
        <f>IFERROR(Generation_Entsoe_SFS_2015[[#This Row],[Other RES]]/'Capacity_Entsoe_SFS_2015'!M70*10^6,0)</f>
        <v>0</v>
      </c>
      <c r="AJ72" s="549">
        <f>IFERROR(Generation_Entsoe_SFS_2015[[#This Row],[Renewable Hydro]]/'Capacity_Entsoe_SFS_2015'!N70*10^6,0)</f>
        <v>2272.727272727273</v>
      </c>
      <c r="AK72" s="549">
        <f>IFERROR(Generation_Entsoe_SFS_2015[[#This Row],[Pumped Hydro]]/'Capacity_Entsoe_SFS_2015'!O70*10^6,0)</f>
        <v>1085.2713178294573</v>
      </c>
      <c r="AL72" s="549">
        <f>IFERROR(Generation_Entsoe_SFS_2015[[#This Row],[Other sources]]/'Capacity_Entsoe_SFS_2015'!P70*10^6,0)</f>
        <v>4761.9047619047624</v>
      </c>
    </row>
    <row r="73" spans="1:38" x14ac:dyDescent="0.25">
      <c r="A73" s="366" t="str">
        <f t="shared" si="1"/>
        <v>LV</v>
      </c>
      <c r="B73" s="366">
        <f t="shared" ref="B73:C78" si="73">B29</f>
        <v>2015</v>
      </c>
      <c r="C73" s="366" t="str">
        <f t="shared" si="73"/>
        <v>TWh</v>
      </c>
      <c r="D73" s="144">
        <f t="shared" si="3"/>
        <v>0</v>
      </c>
      <c r="E73" s="144">
        <f t="shared" ref="E73:G73" si="74">F26</f>
        <v>0</v>
      </c>
      <c r="F73" s="167">
        <f t="shared" si="74"/>
        <v>0</v>
      </c>
      <c r="G73" s="167">
        <f t="shared" si="74"/>
        <v>2</v>
      </c>
      <c r="H73" s="422">
        <f t="shared" si="5"/>
        <v>0.6</v>
      </c>
      <c r="I73" s="167">
        <f t="shared" si="6"/>
        <v>0.1</v>
      </c>
      <c r="J73" s="144">
        <v>0</v>
      </c>
      <c r="K73" s="422">
        <f t="shared" ref="K73:M73" si="75">N26</f>
        <v>0</v>
      </c>
      <c r="L73" s="422">
        <f t="shared" si="75"/>
        <v>0.4</v>
      </c>
      <c r="M73" s="422">
        <f t="shared" si="75"/>
        <v>0.4</v>
      </c>
      <c r="N73" s="167">
        <f t="shared" ref="N73:P73" si="76">R26</f>
        <v>1.9</v>
      </c>
      <c r="O73" s="167">
        <f t="shared" si="76"/>
        <v>0</v>
      </c>
      <c r="P73" s="422">
        <f t="shared" si="76"/>
        <v>0</v>
      </c>
      <c r="Q73" s="167">
        <f t="shared" si="0"/>
        <v>5.4</v>
      </c>
      <c r="R73" s="167">
        <f t="shared" ref="R73:R78" si="77">U29</f>
        <v>8.6999999999999993</v>
      </c>
      <c r="S73" s="424">
        <f t="shared" si="10"/>
        <v>0.62068965517241392</v>
      </c>
      <c r="T73" s="516">
        <f>INDEX($A$4:$W$39,MATCH(Generation_Entsoe_SFS_2015[[#This Row],[Country]],$A$4:$A$39,0),MATCH(Generation_Entsoe_SFS_2015[[#Headers],[Consumption]],$A$2:$W$2,0))</f>
        <v>7.2</v>
      </c>
      <c r="U73" s="516">
        <f>INDEX($A$4:$W$39,MATCH(Generation_Entsoe_SFS_2015[[#This Row],[Country]],$A$4:$A$39,0),MATCH(Generation_Entsoe_SFS_2015[[#Headers],[Pumping]],$A$2:$W$2,0))</f>
        <v>0</v>
      </c>
      <c r="W73" s="544" t="str">
        <f t="shared" si="11"/>
        <v>LV</v>
      </c>
      <c r="X73" s="544">
        <v>2015</v>
      </c>
      <c r="Y73" s="544" t="s">
        <v>648</v>
      </c>
      <c r="Z73" s="548">
        <f>IFERROR(Generation_Entsoe_SFS_2015[[#This Row],[Nuclear]]/'Capacity_Entsoe_SFS_2015'!D71*10^6,0)</f>
        <v>0</v>
      </c>
      <c r="AA73" s="548">
        <f>IFERROR(Generation_Entsoe_SFS_2015[[#This Row],[Lignite]]/'Capacity_Entsoe_SFS_2015'!E71*10^6,0)</f>
        <v>0</v>
      </c>
      <c r="AB73" s="548">
        <f>IFERROR(Generation_Entsoe_SFS_2015[[#This Row],[Hard coal]]/'Capacity_Entsoe_SFS_2015'!F71*10^6,0)</f>
        <v>0</v>
      </c>
      <c r="AC73" s="548">
        <f>IFERROR(Generation_Entsoe_SFS_2015[[#This Row],[Fossil gases]]/'Capacity_Entsoe_SFS_2015'!G71*10^6,0)</f>
        <v>1939.8642095053347</v>
      </c>
      <c r="AD73" s="548">
        <f>IFERROR(Generation_Entsoe_SFS_2015[[#This Row],[Other fossil fuels]]/'Capacity_Entsoe_SFS_2015'!H71*10^6,0)</f>
        <v>5309.7345132743358</v>
      </c>
      <c r="AE73" s="548">
        <f>IFERROR(Generation_Entsoe_SFS_2015[[#This Row],[Wind onshore]]/'Capacity_Entsoe_SFS_2015'!I71*10^6,0)</f>
        <v>1428.5714285714287</v>
      </c>
      <c r="AF73" s="548">
        <f>IFERROR(Generation_Entsoe_SFS_2015[[#This Row],[Wind offshore]]/'Capacity_Entsoe_SFS_2015'!J71*10^6,0)</f>
        <v>0</v>
      </c>
      <c r="AG73" s="548">
        <f>IFERROR(Generation_Entsoe_SFS_2015[[#This Row],[Solar PV]]/'Capacity_Entsoe_SFS_2015'!K71*10^6,0)</f>
        <v>0</v>
      </c>
      <c r="AH73" s="548">
        <f>IFERROR(Generation_Entsoe_SFS_2015[[#This Row],[Bioenergy]]/'Capacity_Entsoe_SFS_2015'!L71*10^6,0)</f>
        <v>3539.8230088495579</v>
      </c>
      <c r="AI73" s="548">
        <f>IFERROR(Generation_Entsoe_SFS_2015[[#This Row],[Other RES]]/'Capacity_Entsoe_SFS_2015'!M71*10^6,0)</f>
        <v>0</v>
      </c>
      <c r="AJ73" s="548">
        <f>IFERROR(Generation_Entsoe_SFS_2015[[#This Row],[Renewable Hydro]]/'Capacity_Entsoe_SFS_2015'!N71*10^6,0)</f>
        <v>1221.0796915167095</v>
      </c>
      <c r="AK73" s="548">
        <f>IFERROR(Generation_Entsoe_SFS_2015[[#This Row],[Pumped Hydro]]/'Capacity_Entsoe_SFS_2015'!O71*10^6,0)</f>
        <v>0</v>
      </c>
      <c r="AL73" s="548">
        <f>IFERROR(Generation_Entsoe_SFS_2015[[#This Row],[Other sources]]/'Capacity_Entsoe_SFS_2015'!P71*10^6,0)</f>
        <v>0</v>
      </c>
    </row>
    <row r="74" spans="1:38" x14ac:dyDescent="0.25">
      <c r="A74" s="366" t="str">
        <f t="shared" si="1"/>
        <v>ME</v>
      </c>
      <c r="B74" s="366">
        <f t="shared" si="73"/>
        <v>2015</v>
      </c>
      <c r="C74" s="366" t="str">
        <f t="shared" si="73"/>
        <v>TWh</v>
      </c>
      <c r="D74" s="144">
        <f t="shared" si="3"/>
        <v>0</v>
      </c>
      <c r="E74" s="144">
        <f t="shared" ref="E74:G74" si="78">F27</f>
        <v>1.4</v>
      </c>
      <c r="F74" s="167">
        <f t="shared" si="78"/>
        <v>0</v>
      </c>
      <c r="G74" s="167">
        <f t="shared" si="78"/>
        <v>0</v>
      </c>
      <c r="H74" s="422">
        <f t="shared" si="5"/>
        <v>0</v>
      </c>
      <c r="I74" s="167">
        <f t="shared" si="6"/>
        <v>0</v>
      </c>
      <c r="J74" s="144">
        <v>0</v>
      </c>
      <c r="K74" s="422">
        <f t="shared" ref="K74:M74" si="79">N27</f>
        <v>0</v>
      </c>
      <c r="L74" s="422">
        <f t="shared" si="79"/>
        <v>0</v>
      </c>
      <c r="M74" s="422">
        <f t="shared" si="79"/>
        <v>0</v>
      </c>
      <c r="N74" s="167">
        <f t="shared" ref="N74:P74" si="80">R27</f>
        <v>0</v>
      </c>
      <c r="O74" s="167">
        <f t="shared" si="80"/>
        <v>1.4</v>
      </c>
      <c r="P74" s="422">
        <f t="shared" si="80"/>
        <v>0</v>
      </c>
      <c r="Q74" s="167">
        <f t="shared" si="0"/>
        <v>2.8</v>
      </c>
      <c r="R74" s="167">
        <f t="shared" si="77"/>
        <v>103.8</v>
      </c>
      <c r="S74" s="424">
        <f t="shared" si="10"/>
        <v>2.6974951830443159E-2</v>
      </c>
      <c r="T74" s="516">
        <f>INDEX($A$4:$W$39,MATCH(Generation_Entsoe_SFS_2015[[#This Row],[Country]],$A$4:$A$39,0),MATCH(Generation_Entsoe_SFS_2015[[#Headers],[Consumption]],$A$2:$W$2,0))</f>
        <v>3.4</v>
      </c>
      <c r="U74" s="516">
        <f>INDEX($A$4:$W$39,MATCH(Generation_Entsoe_SFS_2015[[#This Row],[Country]],$A$4:$A$39,0),MATCH(Generation_Entsoe_SFS_2015[[#Headers],[Pumping]],$A$2:$W$2,0))</f>
        <v>0</v>
      </c>
      <c r="W74" s="544" t="str">
        <f t="shared" si="11"/>
        <v>ME</v>
      </c>
      <c r="X74" s="544">
        <v>2015</v>
      </c>
      <c r="Y74" s="544" t="s">
        <v>648</v>
      </c>
      <c r="Z74" s="549">
        <f>IFERROR(Generation_Entsoe_SFS_2015[[#This Row],[Nuclear]]/'Capacity_Entsoe_SFS_2015'!D72*10^6,0)</f>
        <v>0</v>
      </c>
      <c r="AA74" s="549">
        <f>IFERROR(Generation_Entsoe_SFS_2015[[#This Row],[Lignite]]/'Capacity_Entsoe_SFS_2015'!E72*10^6,0)</f>
        <v>6363.6363636363631</v>
      </c>
      <c r="AB74" s="549">
        <f>IFERROR(Generation_Entsoe_SFS_2015[[#This Row],[Hard coal]]/'Capacity_Entsoe_SFS_2015'!F72*10^6,0)</f>
        <v>0</v>
      </c>
      <c r="AC74" s="549">
        <f>IFERROR(Generation_Entsoe_SFS_2015[[#This Row],[Fossil gases]]/'Capacity_Entsoe_SFS_2015'!G72*10^6,0)</f>
        <v>0</v>
      </c>
      <c r="AD74" s="549">
        <f>IFERROR(Generation_Entsoe_SFS_2015[[#This Row],[Other fossil fuels]]/'Capacity_Entsoe_SFS_2015'!H72*10^6,0)</f>
        <v>0</v>
      </c>
      <c r="AE74" s="549">
        <f>IFERROR(Generation_Entsoe_SFS_2015[[#This Row],[Wind onshore]]/'Capacity_Entsoe_SFS_2015'!I72*10^6,0)</f>
        <v>0</v>
      </c>
      <c r="AF74" s="549">
        <f>IFERROR(Generation_Entsoe_SFS_2015[[#This Row],[Wind offshore]]/'Capacity_Entsoe_SFS_2015'!J72*10^6,0)</f>
        <v>0</v>
      </c>
      <c r="AG74" s="549">
        <f>IFERROR(Generation_Entsoe_SFS_2015[[#This Row],[Solar PV]]/'Capacity_Entsoe_SFS_2015'!K72*10^6,0)</f>
        <v>0</v>
      </c>
      <c r="AH74" s="549">
        <f>IFERROR(Generation_Entsoe_SFS_2015[[#This Row],[Bioenergy]]/'Capacity_Entsoe_SFS_2015'!L72*10^6,0)</f>
        <v>0</v>
      </c>
      <c r="AI74" s="549">
        <f>IFERROR(Generation_Entsoe_SFS_2015[[#This Row],[Other RES]]/'Capacity_Entsoe_SFS_2015'!M72*10^6,0)</f>
        <v>0</v>
      </c>
      <c r="AJ74" s="549">
        <f>IFERROR(Generation_Entsoe_SFS_2015[[#This Row],[Renewable Hydro]]/'Capacity_Entsoe_SFS_2015'!N72*10^6,0)</f>
        <v>0</v>
      </c>
      <c r="AK74" s="549">
        <f>IFERROR(Generation_Entsoe_SFS_2015[[#This Row],[Pumped Hydro]]/'Capacity_Entsoe_SFS_2015'!O72*10^6,0)</f>
        <v>2153.8461538461538</v>
      </c>
      <c r="AL74" s="549">
        <f>IFERROR(Generation_Entsoe_SFS_2015[[#This Row],[Other sources]]/'Capacity_Entsoe_SFS_2015'!P72*10^6,0)</f>
        <v>0</v>
      </c>
    </row>
    <row r="75" spans="1:38" x14ac:dyDescent="0.25">
      <c r="A75" s="366" t="str">
        <f t="shared" si="1"/>
        <v>MK</v>
      </c>
      <c r="B75" s="366">
        <f t="shared" si="73"/>
        <v>2015</v>
      </c>
      <c r="C75" s="366" t="str">
        <f t="shared" si="73"/>
        <v>TWh</v>
      </c>
      <c r="D75" s="144">
        <f t="shared" si="3"/>
        <v>0</v>
      </c>
      <c r="E75" s="144">
        <f t="shared" ref="E75:G75" si="81">F28</f>
        <v>3.1</v>
      </c>
      <c r="F75" s="167">
        <f t="shared" si="81"/>
        <v>0</v>
      </c>
      <c r="G75" s="167">
        <f t="shared" si="81"/>
        <v>0.2</v>
      </c>
      <c r="H75" s="422">
        <f t="shared" si="5"/>
        <v>0</v>
      </c>
      <c r="I75" s="167">
        <f t="shared" si="6"/>
        <v>0.1</v>
      </c>
      <c r="J75" s="144">
        <v>0</v>
      </c>
      <c r="K75" s="422">
        <f t="shared" ref="K75:M75" si="82">N28</f>
        <v>0</v>
      </c>
      <c r="L75" s="422">
        <f t="shared" si="82"/>
        <v>0</v>
      </c>
      <c r="M75" s="422">
        <f t="shared" si="82"/>
        <v>0</v>
      </c>
      <c r="N75" s="167">
        <f t="shared" ref="N75:P75" si="83">R28</f>
        <v>0</v>
      </c>
      <c r="O75" s="167">
        <f t="shared" si="83"/>
        <v>1.5</v>
      </c>
      <c r="P75" s="422">
        <f t="shared" si="83"/>
        <v>0</v>
      </c>
      <c r="Q75" s="167">
        <f t="shared" si="0"/>
        <v>4.9000000000000004</v>
      </c>
      <c r="R75" s="167">
        <f t="shared" si="77"/>
        <v>145</v>
      </c>
      <c r="S75" s="424">
        <f t="shared" si="10"/>
        <v>3.3793103448275866E-2</v>
      </c>
      <c r="T75" s="516">
        <f>INDEX($A$4:$W$39,MATCH(Generation_Entsoe_SFS_2015[[#This Row],[Country]],$A$4:$A$39,0),MATCH(Generation_Entsoe_SFS_2015[[#Headers],[Consumption]],$A$2:$W$2,0))</f>
        <v>7.4</v>
      </c>
      <c r="U75" s="516">
        <f>INDEX($A$4:$W$39,MATCH(Generation_Entsoe_SFS_2015[[#This Row],[Country]],$A$4:$A$39,0),MATCH(Generation_Entsoe_SFS_2015[[#Headers],[Pumping]],$A$2:$W$2,0))</f>
        <v>0</v>
      </c>
      <c r="W75" s="544" t="str">
        <f t="shared" si="11"/>
        <v>MK</v>
      </c>
      <c r="X75" s="544">
        <v>2015</v>
      </c>
      <c r="Y75" s="544" t="s">
        <v>648</v>
      </c>
      <c r="Z75" s="548">
        <f>IFERROR(Generation_Entsoe_SFS_2015[[#This Row],[Nuclear]]/'Capacity_Entsoe_SFS_2015'!D73*10^6,0)</f>
        <v>0</v>
      </c>
      <c r="AA75" s="548">
        <f>IFERROR(Generation_Entsoe_SFS_2015[[#This Row],[Lignite]]/'Capacity_Entsoe_SFS_2015'!E73*10^6,0)</f>
        <v>4317.5487465181059</v>
      </c>
      <c r="AB75" s="548">
        <f>IFERROR(Generation_Entsoe_SFS_2015[[#This Row],[Hard coal]]/'Capacity_Entsoe_SFS_2015'!F73*10^6,0)</f>
        <v>0</v>
      </c>
      <c r="AC75" s="548">
        <f>IFERROR(Generation_Entsoe_SFS_2015[[#This Row],[Fossil gases]]/'Capacity_Entsoe_SFS_2015'!G73*10^6,0)</f>
        <v>800</v>
      </c>
      <c r="AD75" s="548">
        <f>IFERROR(Generation_Entsoe_SFS_2015[[#This Row],[Other fossil fuels]]/'Capacity_Entsoe_SFS_2015'!H73*10^6,0)</f>
        <v>0</v>
      </c>
      <c r="AE75" s="548">
        <f>IFERROR(Generation_Entsoe_SFS_2015[[#This Row],[Wind onshore]]/'Capacity_Entsoe_SFS_2015'!I73*10^6,0)</f>
        <v>2777.7777777777778</v>
      </c>
      <c r="AF75" s="548">
        <f>IFERROR(Generation_Entsoe_SFS_2015[[#This Row],[Wind offshore]]/'Capacity_Entsoe_SFS_2015'!J73*10^6,0)</f>
        <v>0</v>
      </c>
      <c r="AG75" s="548">
        <f>IFERROR(Generation_Entsoe_SFS_2015[[#This Row],[Solar PV]]/'Capacity_Entsoe_SFS_2015'!K73*10^6,0)</f>
        <v>0</v>
      </c>
      <c r="AH75" s="548">
        <f>IFERROR(Generation_Entsoe_SFS_2015[[#This Row],[Bioenergy]]/'Capacity_Entsoe_SFS_2015'!L73*10^6,0)</f>
        <v>0</v>
      </c>
      <c r="AI75" s="548">
        <f>IFERROR(Generation_Entsoe_SFS_2015[[#This Row],[Other RES]]/'Capacity_Entsoe_SFS_2015'!M73*10^6,0)</f>
        <v>0</v>
      </c>
      <c r="AJ75" s="548">
        <f>IFERROR(Generation_Entsoe_SFS_2015[[#This Row],[Renewable Hydro]]/'Capacity_Entsoe_SFS_2015'!N73*10^6,0)</f>
        <v>0</v>
      </c>
      <c r="AK75" s="548">
        <f>IFERROR(Generation_Entsoe_SFS_2015[[#This Row],[Pumped Hydro]]/'Capacity_Entsoe_SFS_2015'!O73*10^6,0)</f>
        <v>2782.9313543599255</v>
      </c>
      <c r="AL75" s="548">
        <f>IFERROR(Generation_Entsoe_SFS_2015[[#This Row],[Other sources]]/'Capacity_Entsoe_SFS_2015'!P73*10^6,0)</f>
        <v>0</v>
      </c>
    </row>
    <row r="76" spans="1:38" x14ac:dyDescent="0.25">
      <c r="A76" s="366" t="str">
        <f t="shared" si="1"/>
        <v>NI</v>
      </c>
      <c r="B76" s="366">
        <f t="shared" si="73"/>
        <v>2015</v>
      </c>
      <c r="C76" s="366" t="str">
        <f t="shared" si="73"/>
        <v>TWh</v>
      </c>
      <c r="D76" s="144">
        <f t="shared" si="3"/>
        <v>0</v>
      </c>
      <c r="E76" s="144">
        <f t="shared" ref="E76:G76" si="84">F29</f>
        <v>0</v>
      </c>
      <c r="F76" s="167">
        <f t="shared" si="84"/>
        <v>2</v>
      </c>
      <c r="G76" s="167">
        <f t="shared" si="84"/>
        <v>4.0999999999999996</v>
      </c>
      <c r="H76" s="422">
        <f t="shared" si="5"/>
        <v>0.5</v>
      </c>
      <c r="I76" s="167">
        <f t="shared" si="6"/>
        <v>1.8</v>
      </c>
      <c r="J76" s="144">
        <v>0</v>
      </c>
      <c r="K76" s="422">
        <f t="shared" ref="K76:M76" si="85">N29</f>
        <v>0</v>
      </c>
      <c r="L76" s="422">
        <f t="shared" si="85"/>
        <v>0.1</v>
      </c>
      <c r="M76" s="422">
        <f t="shared" si="85"/>
        <v>0.1</v>
      </c>
      <c r="N76" s="167">
        <f t="shared" ref="N76:P76" si="86">R29</f>
        <v>0</v>
      </c>
      <c r="O76" s="167">
        <f t="shared" si="86"/>
        <v>0</v>
      </c>
      <c r="P76" s="422">
        <f t="shared" si="86"/>
        <v>0</v>
      </c>
      <c r="Q76" s="167">
        <f t="shared" si="0"/>
        <v>8.6</v>
      </c>
      <c r="R76" s="167">
        <f t="shared" si="77"/>
        <v>152.30000000000001</v>
      </c>
      <c r="S76" s="424">
        <f t="shared" si="10"/>
        <v>5.6467498358502947E-2</v>
      </c>
      <c r="T76" s="516">
        <f>INDEX($A$4:$W$39,MATCH(Generation_Entsoe_SFS_2015[[#This Row],[Country]],$A$4:$A$39,0),MATCH(Generation_Entsoe_SFS_2015[[#Headers],[Consumption]],$A$2:$W$2,0))</f>
        <v>9.4</v>
      </c>
      <c r="U76" s="516">
        <f>INDEX($A$4:$W$39,MATCH(Generation_Entsoe_SFS_2015[[#This Row],[Country]],$A$4:$A$39,0),MATCH(Generation_Entsoe_SFS_2015[[#Headers],[Pumping]],$A$2:$W$2,0))</f>
        <v>0</v>
      </c>
      <c r="W76" s="544" t="str">
        <f t="shared" si="11"/>
        <v>NI</v>
      </c>
      <c r="X76" s="544">
        <v>2015</v>
      </c>
      <c r="Y76" s="544" t="s">
        <v>648</v>
      </c>
      <c r="Z76" s="549">
        <f>IFERROR(Generation_Entsoe_SFS_2015[[#This Row],[Nuclear]]/'Capacity_Entsoe_SFS_2015'!D74*10^6,0)</f>
        <v>0</v>
      </c>
      <c r="AA76" s="549">
        <f>IFERROR(Generation_Entsoe_SFS_2015[[#This Row],[Lignite]]/'Capacity_Entsoe_SFS_2015'!E74*10^6,0)</f>
        <v>0</v>
      </c>
      <c r="AB76" s="549">
        <f>IFERROR(Generation_Entsoe_SFS_2015[[#This Row],[Hard coal]]/'Capacity_Entsoe_SFS_2015'!F74*10^6,0)</f>
        <v>521.37643378519294</v>
      </c>
      <c r="AC76" s="549">
        <f>IFERROR(Generation_Entsoe_SFS_2015[[#This Row],[Fossil gases]]/'Capacity_Entsoe_SFS_2015'!G74*10^6,0)</f>
        <v>1986.4341085271317</v>
      </c>
      <c r="AD76" s="555">
        <f>IFERROR(Generation_Entsoe_SFS_2015[[#This Row],[Other fossil fuels]]/'Capacity_Entsoe_SFS_2015'!H74*10^6,0)</f>
        <v>125000</v>
      </c>
      <c r="AE76" s="549">
        <f>IFERROR(Generation_Entsoe_SFS_2015[[#This Row],[Wind onshore]]/'Capacity_Entsoe_SFS_2015'!I74*10^6,0)</f>
        <v>1243.953006219765</v>
      </c>
      <c r="AF76" s="549">
        <f>IFERROR(Generation_Entsoe_SFS_2015[[#This Row],[Wind offshore]]/'Capacity_Entsoe_SFS_2015'!J74*10^6,0)</f>
        <v>0</v>
      </c>
      <c r="AG76" s="549">
        <f>IFERROR(Generation_Entsoe_SFS_2015[[#This Row],[Solar PV]]/'Capacity_Entsoe_SFS_2015'!K74*10^6,0)</f>
        <v>0</v>
      </c>
      <c r="AH76" s="549">
        <f>IFERROR(Generation_Entsoe_SFS_2015[[#This Row],[Bioenergy]]/'Capacity_Entsoe_SFS_2015'!L74*10^6,0)</f>
        <v>2325.5813953488373</v>
      </c>
      <c r="AI76" s="549">
        <f>IFERROR(Generation_Entsoe_SFS_2015[[#This Row],[Other RES]]/'Capacity_Entsoe_SFS_2015'!M74*10^6,0)</f>
        <v>1666.6666666666667</v>
      </c>
      <c r="AJ76" s="549">
        <f>IFERROR(Generation_Entsoe_SFS_2015[[#This Row],[Renewable Hydro]]/'Capacity_Entsoe_SFS_2015'!N74*10^6,0)</f>
        <v>0</v>
      </c>
      <c r="AK76" s="549">
        <f>IFERROR(Generation_Entsoe_SFS_2015[[#This Row],[Pumped Hydro]]/'Capacity_Entsoe_SFS_2015'!O74*10^6,0)</f>
        <v>0</v>
      </c>
      <c r="AL76" s="549">
        <f>IFERROR(Generation_Entsoe_SFS_2015[[#This Row],[Other sources]]/'Capacity_Entsoe_SFS_2015'!P74*10^6,0)</f>
        <v>0</v>
      </c>
    </row>
    <row r="77" spans="1:38" x14ac:dyDescent="0.25">
      <c r="A77" s="366" t="str">
        <f t="shared" si="1"/>
        <v>NL</v>
      </c>
      <c r="B77" s="366">
        <f t="shared" si="73"/>
        <v>2015</v>
      </c>
      <c r="C77" s="366" t="str">
        <f t="shared" si="73"/>
        <v>TWh</v>
      </c>
      <c r="D77" s="144">
        <f t="shared" si="3"/>
        <v>4</v>
      </c>
      <c r="E77" s="144">
        <f t="shared" ref="E77:G77" si="87">F30</f>
        <v>0</v>
      </c>
      <c r="F77" s="167">
        <f t="shared" si="87"/>
        <v>0</v>
      </c>
      <c r="G77" s="167">
        <f t="shared" si="87"/>
        <v>0</v>
      </c>
      <c r="H77" s="422">
        <f t="shared" si="5"/>
        <v>88.4</v>
      </c>
      <c r="I77" s="167">
        <f t="shared" si="6"/>
        <v>7.1</v>
      </c>
      <c r="J77" s="144">
        <v>0</v>
      </c>
      <c r="K77" s="422">
        <f t="shared" ref="K77:M77" si="88">N30</f>
        <v>0.1</v>
      </c>
      <c r="L77" s="422">
        <f t="shared" si="88"/>
        <v>4</v>
      </c>
      <c r="M77" s="422">
        <f t="shared" si="88"/>
        <v>0</v>
      </c>
      <c r="N77" s="167">
        <f t="shared" ref="N77:P77" si="89">R30</f>
        <v>0.1</v>
      </c>
      <c r="O77" s="167">
        <f t="shared" si="89"/>
        <v>0</v>
      </c>
      <c r="P77" s="422">
        <f t="shared" si="89"/>
        <v>0</v>
      </c>
      <c r="Q77" s="167">
        <f t="shared" si="0"/>
        <v>103.69999999999999</v>
      </c>
      <c r="R77" s="167">
        <f t="shared" si="77"/>
        <v>48.2</v>
      </c>
      <c r="S77" s="424">
        <f t="shared" si="10"/>
        <v>2.1514522821576758</v>
      </c>
      <c r="T77" s="516">
        <f>INDEX($A$4:$W$39,MATCH(Generation_Entsoe_SFS_2015[[#This Row],[Country]],$A$4:$A$39,0),MATCH(Generation_Entsoe_SFS_2015[[#Headers],[Consumption]],$A$2:$W$2,0))</f>
        <v>112.5</v>
      </c>
      <c r="U77" s="516">
        <f>INDEX($A$4:$W$39,MATCH(Generation_Entsoe_SFS_2015[[#This Row],[Country]],$A$4:$A$39,0),MATCH(Generation_Entsoe_SFS_2015[[#Headers],[Pumping]],$A$2:$W$2,0))</f>
        <v>0</v>
      </c>
      <c r="W77" s="544" t="str">
        <f t="shared" si="11"/>
        <v>NL</v>
      </c>
      <c r="X77" s="544">
        <v>2015</v>
      </c>
      <c r="Y77" s="544" t="s">
        <v>648</v>
      </c>
      <c r="Z77" s="548">
        <f>IFERROR(Generation_Entsoe_SFS_2015[[#This Row],[Nuclear]]/'Capacity_Entsoe_SFS_2015'!D75*10^6,0)</f>
        <v>8230.4526748971202</v>
      </c>
      <c r="AA77" s="548">
        <f>IFERROR(Generation_Entsoe_SFS_2015[[#This Row],[Lignite]]/'Capacity_Entsoe_SFS_2015'!E75*10^6,0)</f>
        <v>0</v>
      </c>
      <c r="AB77" s="548">
        <f>IFERROR(Generation_Entsoe_SFS_2015[[#This Row],[Hard coal]]/'Capacity_Entsoe_SFS_2015'!F75*10^6,0)</f>
        <v>0</v>
      </c>
      <c r="AC77" s="548">
        <f>IFERROR(Generation_Entsoe_SFS_2015[[#This Row],[Fossil gases]]/'Capacity_Entsoe_SFS_2015'!G75*10^6,0)</f>
        <v>0</v>
      </c>
      <c r="AD77" s="548">
        <f>IFERROR(Generation_Entsoe_SFS_2015[[#This Row],[Other fossil fuels]]/'Capacity_Entsoe_SFS_2015'!H75*10^6,0)</f>
        <v>0</v>
      </c>
      <c r="AE77" s="548">
        <f>IFERROR(Generation_Entsoe_SFS_2015[[#This Row],[Wind onshore]]/'Capacity_Entsoe_SFS_2015'!I75*10^6,0)</f>
        <v>1950.0137324910738</v>
      </c>
      <c r="AF77" s="548">
        <f>IFERROR(Generation_Entsoe_SFS_2015[[#This Row],[Wind offshore]]/'Capacity_Entsoe_SFS_2015'!J75*10^6,0)</f>
        <v>0</v>
      </c>
      <c r="AG77" s="548">
        <f>IFERROR(Generation_Entsoe_SFS_2015[[#This Row],[Solar PV]]/'Capacity_Entsoe_SFS_2015'!K75*10^6,0)</f>
        <v>69.979006298110562</v>
      </c>
      <c r="AH77" s="554">
        <f>IFERROR(Generation_Entsoe_SFS_2015[[#This Row],[Bioenergy]]/'Capacity_Entsoe_SFS_2015'!L75*10^6,0)</f>
        <v>10050.251256281406</v>
      </c>
      <c r="AI77" s="548">
        <f>IFERROR(Generation_Entsoe_SFS_2015[[#This Row],[Other RES]]/'Capacity_Entsoe_SFS_2015'!M75*10^6,0)</f>
        <v>0</v>
      </c>
      <c r="AJ77" s="548">
        <f>IFERROR(Generation_Entsoe_SFS_2015[[#This Row],[Renewable Hydro]]/'Capacity_Entsoe_SFS_2015'!N75*10^6,0)</f>
        <v>2631.5789473684208</v>
      </c>
      <c r="AK77" s="548">
        <f>IFERROR(Generation_Entsoe_SFS_2015[[#This Row],[Pumped Hydro]]/'Capacity_Entsoe_SFS_2015'!O75*10^6,0)</f>
        <v>0</v>
      </c>
      <c r="AL77" s="548">
        <f>IFERROR(Generation_Entsoe_SFS_2015[[#This Row],[Other sources]]/'Capacity_Entsoe_SFS_2015'!P75*10^6,0)</f>
        <v>0</v>
      </c>
    </row>
    <row r="78" spans="1:38" x14ac:dyDescent="0.25">
      <c r="A78" s="366" t="str">
        <f t="shared" si="1"/>
        <v>NO</v>
      </c>
      <c r="B78" s="366">
        <f t="shared" si="73"/>
        <v>2015</v>
      </c>
      <c r="C78" s="366" t="str">
        <f t="shared" si="73"/>
        <v>TWh</v>
      </c>
      <c r="D78" s="144">
        <f t="shared" si="3"/>
        <v>0</v>
      </c>
      <c r="E78" s="144">
        <f t="shared" ref="E78:G78" si="90">F31</f>
        <v>0</v>
      </c>
      <c r="F78" s="167">
        <f t="shared" si="90"/>
        <v>0</v>
      </c>
      <c r="G78" s="167">
        <f t="shared" si="90"/>
        <v>3.5</v>
      </c>
      <c r="H78" s="422">
        <f t="shared" si="5"/>
        <v>0</v>
      </c>
      <c r="I78" s="167">
        <f t="shared" si="6"/>
        <v>2.5</v>
      </c>
      <c r="J78" s="144">
        <v>0</v>
      </c>
      <c r="K78" s="422">
        <f t="shared" ref="K78:M78" si="91">N31</f>
        <v>0</v>
      </c>
      <c r="L78" s="422">
        <f t="shared" si="91"/>
        <v>0</v>
      </c>
      <c r="M78" s="422">
        <f t="shared" si="91"/>
        <v>0</v>
      </c>
      <c r="N78" s="167">
        <f t="shared" ref="N78:P78" si="92">R31</f>
        <v>139</v>
      </c>
      <c r="O78" s="167">
        <f t="shared" si="92"/>
        <v>0</v>
      </c>
      <c r="P78" s="422">
        <f t="shared" si="92"/>
        <v>0</v>
      </c>
      <c r="Q78" s="167">
        <f t="shared" si="0"/>
        <v>145</v>
      </c>
      <c r="R78" s="167">
        <f t="shared" si="77"/>
        <v>61.7</v>
      </c>
      <c r="S78" s="424">
        <f t="shared" si="10"/>
        <v>2.3500810372771475</v>
      </c>
      <c r="T78" s="516">
        <f>INDEX($A$4:$W$39,MATCH(Generation_Entsoe_SFS_2015[[#This Row],[Country]],$A$4:$A$39,0),MATCH(Generation_Entsoe_SFS_2015[[#Headers],[Consumption]],$A$2:$W$2,0))</f>
        <v>128.30000000000001</v>
      </c>
      <c r="U78" s="516">
        <f>INDEX($A$4:$W$39,MATCH(Generation_Entsoe_SFS_2015[[#This Row],[Country]],$A$4:$A$39,0),MATCH(Generation_Entsoe_SFS_2015[[#Headers],[Pumping]],$A$2:$W$2,0))</f>
        <v>2.1</v>
      </c>
      <c r="W78" s="544" t="str">
        <f t="shared" si="11"/>
        <v>NO</v>
      </c>
      <c r="X78" s="544">
        <v>2015</v>
      </c>
      <c r="Y78" s="544" t="s">
        <v>648</v>
      </c>
      <c r="Z78" s="549">
        <f>IFERROR(Generation_Entsoe_SFS_2015[[#This Row],[Nuclear]]/'Capacity_Entsoe_SFS_2015'!D76*10^6,0)</f>
        <v>0</v>
      </c>
      <c r="AA78" s="549">
        <f>IFERROR(Generation_Entsoe_SFS_2015[[#This Row],[Lignite]]/'Capacity_Entsoe_SFS_2015'!E76*10^6,0)</f>
        <v>0</v>
      </c>
      <c r="AB78" s="549">
        <f>IFERROR(Generation_Entsoe_SFS_2015[[#This Row],[Hard coal]]/'Capacity_Entsoe_SFS_2015'!F76*10^6,0)</f>
        <v>0</v>
      </c>
      <c r="AC78" s="549">
        <f>IFERROR(Generation_Entsoe_SFS_2015[[#This Row],[Fossil gases]]/'Capacity_Entsoe_SFS_2015'!G76*10^6,0)</f>
        <v>2187.5</v>
      </c>
      <c r="AD78" s="549">
        <f>IFERROR(Generation_Entsoe_SFS_2015[[#This Row],[Other fossil fuels]]/'Capacity_Entsoe_SFS_2015'!H76*10^6,0)</f>
        <v>0</v>
      </c>
      <c r="AE78" s="549">
        <f>IFERROR(Generation_Entsoe_SFS_2015[[#This Row],[Wind onshore]]/'Capacity_Entsoe_SFS_2015'!I76*10^6,0)</f>
        <v>2906.9767441860463</v>
      </c>
      <c r="AF78" s="549">
        <f>IFERROR(Generation_Entsoe_SFS_2015[[#This Row],[Wind offshore]]/'Capacity_Entsoe_SFS_2015'!J76*10^6,0)</f>
        <v>0</v>
      </c>
      <c r="AG78" s="549">
        <f>IFERROR(Generation_Entsoe_SFS_2015[[#This Row],[Solar PV]]/'Capacity_Entsoe_SFS_2015'!K76*10^6,0)</f>
        <v>0</v>
      </c>
      <c r="AH78" s="549">
        <f>IFERROR(Generation_Entsoe_SFS_2015[[#This Row],[Bioenergy]]/'Capacity_Entsoe_SFS_2015'!L76*10^6,0)</f>
        <v>0</v>
      </c>
      <c r="AI78" s="549">
        <f>IFERROR(Generation_Entsoe_SFS_2015[[#This Row],[Other RES]]/'Capacity_Entsoe_SFS_2015'!M76*10^6,0)</f>
        <v>0</v>
      </c>
      <c r="AJ78" s="549">
        <f>IFERROR(Generation_Entsoe_SFS_2015[[#This Row],[Renewable Hydro]]/'Capacity_Entsoe_SFS_2015'!N76*10^6,0)</f>
        <v>4455.1282051282051</v>
      </c>
      <c r="AK78" s="549">
        <f>IFERROR(Generation_Entsoe_SFS_2015[[#This Row],[Pumped Hydro]]/'Capacity_Entsoe_SFS_2015'!O76*10^6,0)</f>
        <v>0</v>
      </c>
      <c r="AL78" s="549">
        <f>IFERROR(Generation_Entsoe_SFS_2015[[#This Row],[Other sources]]/'Capacity_Entsoe_SFS_2015'!P76*10^6,0)</f>
        <v>0</v>
      </c>
    </row>
    <row r="79" spans="1:38" x14ac:dyDescent="0.25">
      <c r="A79" s="366" t="str">
        <f t="shared" si="1"/>
        <v>PL</v>
      </c>
      <c r="B79" s="366">
        <f>B36</f>
        <v>2015</v>
      </c>
      <c r="C79" s="366" t="str">
        <f>C36</f>
        <v>TWh</v>
      </c>
      <c r="D79" s="144">
        <f t="shared" si="3"/>
        <v>0</v>
      </c>
      <c r="E79" s="144">
        <f t="shared" ref="E79:G79" si="93">F32</f>
        <v>49.5</v>
      </c>
      <c r="F79" s="167">
        <f t="shared" si="93"/>
        <v>69.099999999999994</v>
      </c>
      <c r="G79" s="167">
        <f t="shared" si="93"/>
        <v>4.0999999999999996</v>
      </c>
      <c r="H79" s="422">
        <f t="shared" si="5"/>
        <v>9.4</v>
      </c>
      <c r="I79" s="167">
        <f t="shared" si="6"/>
        <v>10.5</v>
      </c>
      <c r="J79" s="144">
        <v>0</v>
      </c>
      <c r="K79" s="422">
        <f t="shared" ref="K79:M79" si="94">N32</f>
        <v>0</v>
      </c>
      <c r="L79" s="422">
        <f t="shared" si="94"/>
        <v>6.7</v>
      </c>
      <c r="M79" s="422">
        <f t="shared" si="94"/>
        <v>0.5</v>
      </c>
      <c r="N79" s="167">
        <f t="shared" ref="N79:P79" si="95">R32</f>
        <v>1.8</v>
      </c>
      <c r="O79" s="167">
        <f t="shared" si="95"/>
        <v>0.6</v>
      </c>
      <c r="P79" s="422">
        <f t="shared" si="95"/>
        <v>0</v>
      </c>
      <c r="Q79" s="167">
        <f t="shared" si="0"/>
        <v>152.19999999999999</v>
      </c>
      <c r="R79" s="167">
        <f>U36</f>
        <v>158.5</v>
      </c>
      <c r="S79" s="424">
        <f t="shared" si="10"/>
        <v>0.96025236593059926</v>
      </c>
      <c r="T79" s="516">
        <f>INDEX($A$4:$W$39,MATCH(Generation_Entsoe_SFS_2015[[#This Row],[Country]],$A$4:$A$39,0),MATCH(Generation_Entsoe_SFS_2015[[#Headers],[Consumption]],$A$2:$W$2,0))</f>
        <v>151.1</v>
      </c>
      <c r="U79" s="516">
        <f>INDEX($A$4:$W$39,MATCH(Generation_Entsoe_SFS_2015[[#This Row],[Country]],$A$4:$A$39,0),MATCH(Generation_Entsoe_SFS_2015[[#Headers],[Pumping]],$A$2:$W$2,0))</f>
        <v>0.9</v>
      </c>
      <c r="W79" s="544" t="str">
        <f t="shared" si="11"/>
        <v>PL</v>
      </c>
      <c r="X79" s="544">
        <v>2015</v>
      </c>
      <c r="Y79" s="544" t="s">
        <v>648</v>
      </c>
      <c r="Z79" s="548">
        <f>IFERROR(Generation_Entsoe_SFS_2015[[#This Row],[Nuclear]]/'Capacity_Entsoe_SFS_2015'!D77*10^6,0)</f>
        <v>0</v>
      </c>
      <c r="AA79" s="548">
        <f>IFERROR(Generation_Entsoe_SFS_2015[[#This Row],[Lignite]]/'Capacity_Entsoe_SFS_2015'!E77*10^6,0)</f>
        <v>5806.4516129032263</v>
      </c>
      <c r="AB79" s="548">
        <f>IFERROR(Generation_Entsoe_SFS_2015[[#This Row],[Hard coal]]/'Capacity_Entsoe_SFS_2015'!F77*10^6,0)</f>
        <v>4060.8838740009396</v>
      </c>
      <c r="AC79" s="548">
        <f>IFERROR(Generation_Entsoe_SFS_2015[[#This Row],[Fossil gases]]/'Capacity_Entsoe_SFS_2015'!G77*10^6,0)</f>
        <v>3028.0649926144756</v>
      </c>
      <c r="AD79" s="548">
        <f>IFERROR(Generation_Entsoe_SFS_2015[[#This Row],[Other fossil fuels]]/'Capacity_Entsoe_SFS_2015'!H77*10^6,0)</f>
        <v>4022.2507488232773</v>
      </c>
      <c r="AE79" s="548">
        <f>IFERROR(Generation_Entsoe_SFS_2015[[#This Row],[Wind onshore]]/'Capacity_Entsoe_SFS_2015'!I77*10^6,0)</f>
        <v>2024.6818357115312</v>
      </c>
      <c r="AF79" s="548">
        <f>IFERROR(Generation_Entsoe_SFS_2015[[#This Row],[Wind offshore]]/'Capacity_Entsoe_SFS_2015'!J77*10^6,0)</f>
        <v>0</v>
      </c>
      <c r="AG79" s="548">
        <f>IFERROR(Generation_Entsoe_SFS_2015[[#This Row],[Solar PV]]/'Capacity_Entsoe_SFS_2015'!K77*10^6,0)</f>
        <v>0</v>
      </c>
      <c r="AH79" s="554">
        <f>IFERROR(Generation_Entsoe_SFS_2015[[#This Row],[Bioenergy]]/'Capacity_Entsoe_SFS_2015'!L77*10^6,0)</f>
        <v>10947.712418300654</v>
      </c>
      <c r="AI79" s="548">
        <f>IFERROR(Generation_Entsoe_SFS_2015[[#This Row],[Other RES]]/'Capacity_Entsoe_SFS_2015'!M77*10^6,0)</f>
        <v>2475.2475247524753</v>
      </c>
      <c r="AJ79" s="548">
        <f>IFERROR(Generation_Entsoe_SFS_2015[[#This Row],[Renewable Hydro]]/'Capacity_Entsoe_SFS_2015'!N77*10^6,0)</f>
        <v>1910.8280254777071</v>
      </c>
      <c r="AK79" s="548">
        <f>IFERROR(Generation_Entsoe_SFS_2015[[#This Row],[Pumped Hydro]]/'Capacity_Entsoe_SFS_2015'!O77*10^6,0)</f>
        <v>424.62845010615706</v>
      </c>
      <c r="AL79" s="548">
        <f>IFERROR(Generation_Entsoe_SFS_2015[[#This Row],[Other sources]]/'Capacity_Entsoe_SFS_2015'!P77*10^6,0)</f>
        <v>0</v>
      </c>
    </row>
    <row r="80" spans="1:38" x14ac:dyDescent="0.25">
      <c r="A80" s="366" t="str">
        <f t="shared" si="1"/>
        <v>PT</v>
      </c>
      <c r="B80" s="366">
        <f t="shared" ref="B80:C81" si="96">B37</f>
        <v>2015</v>
      </c>
      <c r="C80" s="366" t="str">
        <f t="shared" si="96"/>
        <v>TWh</v>
      </c>
      <c r="D80" s="144">
        <f t="shared" si="3"/>
        <v>0</v>
      </c>
      <c r="E80" s="144">
        <f t="shared" ref="E80:G80" si="97">F33</f>
        <v>0</v>
      </c>
      <c r="F80" s="167">
        <f t="shared" si="97"/>
        <v>13.7</v>
      </c>
      <c r="G80" s="167">
        <f t="shared" si="97"/>
        <v>9.8000000000000007</v>
      </c>
      <c r="H80" s="422">
        <f t="shared" si="5"/>
        <v>0.30000000000000004</v>
      </c>
      <c r="I80" s="167">
        <f t="shared" si="6"/>
        <v>11.3</v>
      </c>
      <c r="J80" s="144">
        <v>0</v>
      </c>
      <c r="K80" s="422">
        <f t="shared" ref="K80:M80" si="98">N33</f>
        <v>0.8</v>
      </c>
      <c r="L80" s="422">
        <f t="shared" si="98"/>
        <v>2.6</v>
      </c>
      <c r="M80" s="422">
        <f t="shared" si="98"/>
        <v>0</v>
      </c>
      <c r="N80" s="167">
        <f t="shared" ref="N80:P80" si="99">R33</f>
        <v>8.5</v>
      </c>
      <c r="O80" s="167">
        <f t="shared" si="99"/>
        <v>1.2</v>
      </c>
      <c r="P80" s="422">
        <f t="shared" si="99"/>
        <v>0</v>
      </c>
      <c r="Q80" s="167">
        <f t="shared" si="0"/>
        <v>48.2</v>
      </c>
      <c r="R80" s="167">
        <f>U37</f>
        <v>14</v>
      </c>
      <c r="S80" s="424">
        <f t="shared" si="10"/>
        <v>3.4428571428571431</v>
      </c>
      <c r="T80" s="516">
        <f>INDEX($A$4:$W$39,MATCH(Generation_Entsoe_SFS_2015[[#This Row],[Country]],$A$4:$A$39,0),MATCH(Generation_Entsoe_SFS_2015[[#Headers],[Consumption]],$A$2:$W$2,0))</f>
        <v>49</v>
      </c>
      <c r="U80" s="516">
        <f>INDEX($A$4:$W$39,MATCH(Generation_Entsoe_SFS_2015[[#This Row],[Country]],$A$4:$A$39,0),MATCH(Generation_Entsoe_SFS_2015[[#Headers],[Pumping]],$A$2:$W$2,0))</f>
        <v>1.5</v>
      </c>
      <c r="W80" s="544" t="str">
        <f t="shared" si="11"/>
        <v>PT</v>
      </c>
      <c r="X80" s="544">
        <v>2015</v>
      </c>
      <c r="Y80" s="544" t="s">
        <v>648</v>
      </c>
      <c r="Z80" s="549">
        <f>IFERROR(Generation_Entsoe_SFS_2015[[#This Row],[Nuclear]]/'Capacity_Entsoe_SFS_2015'!D78*10^6,0)</f>
        <v>0</v>
      </c>
      <c r="AA80" s="549">
        <f>IFERROR(Generation_Entsoe_SFS_2015[[#This Row],[Lignite]]/'Capacity_Entsoe_SFS_2015'!E78*10^6,0)</f>
        <v>0</v>
      </c>
      <c r="AB80" s="549">
        <f>IFERROR(Generation_Entsoe_SFS_2015[[#This Row],[Hard coal]]/'Capacity_Entsoe_SFS_2015'!F78*10^6,0)</f>
        <v>7801.8223234624138</v>
      </c>
      <c r="AC80" s="549">
        <f>IFERROR(Generation_Entsoe_SFS_2015[[#This Row],[Fossil gases]]/'Capacity_Entsoe_SFS_2015'!G78*10^6,0)</f>
        <v>2085.9940400170285</v>
      </c>
      <c r="AD80" s="549">
        <f>IFERROR(Generation_Entsoe_SFS_2015[[#This Row],[Other fossil fuels]]/'Capacity_Entsoe_SFS_2015'!H78*10^6,0)</f>
        <v>4615.3846153846162</v>
      </c>
      <c r="AE80" s="549">
        <f>IFERROR(Generation_Entsoe_SFS_2015[[#This Row],[Wind onshore]]/'Capacity_Entsoe_SFS_2015'!I78*10^6,0)</f>
        <v>2341.4836303356819</v>
      </c>
      <c r="AF80" s="549">
        <f>IFERROR(Generation_Entsoe_SFS_2015[[#This Row],[Wind offshore]]/'Capacity_Entsoe_SFS_2015'!J78*10^6,0)</f>
        <v>0</v>
      </c>
      <c r="AG80" s="549">
        <f>IFERROR(Generation_Entsoe_SFS_2015[[#This Row],[Solar PV]]/'Capacity_Entsoe_SFS_2015'!K78*10^6,0)</f>
        <v>1864.8018648018649</v>
      </c>
      <c r="AH80" s="549">
        <f>IFERROR(Generation_Entsoe_SFS_2015[[#This Row],[Bioenergy]]/'Capacity_Entsoe_SFS_2015'!L78*10^6,0)</f>
        <v>4241.4355628058729</v>
      </c>
      <c r="AI80" s="549">
        <f>IFERROR(Generation_Entsoe_SFS_2015[[#This Row],[Other RES]]/'Capacity_Entsoe_SFS_2015'!M78*10^6,0)</f>
        <v>0</v>
      </c>
      <c r="AJ80" s="549">
        <f>IFERROR(Generation_Entsoe_SFS_2015[[#This Row],[Renewable Hydro]]/'Capacity_Entsoe_SFS_2015'!N78*10^6,0)</f>
        <v>1383.0133420110642</v>
      </c>
      <c r="AK80" s="549">
        <f>IFERROR(Generation_Entsoe_SFS_2015[[#This Row],[Pumped Hydro]]/'Capacity_Entsoe_SFS_2015'!O78*10^6,0)</f>
        <v>0</v>
      </c>
      <c r="AL80" s="549">
        <f>IFERROR(Generation_Entsoe_SFS_2015[[#This Row],[Other sources]]/'Capacity_Entsoe_SFS_2015'!P78*10^6,0)</f>
        <v>0</v>
      </c>
    </row>
    <row r="81" spans="1:38" x14ac:dyDescent="0.25">
      <c r="A81" s="366" t="str">
        <f t="shared" si="1"/>
        <v>RO</v>
      </c>
      <c r="B81" s="366">
        <f t="shared" si="96"/>
        <v>2015</v>
      </c>
      <c r="C81" s="366" t="str">
        <f t="shared" si="96"/>
        <v>TWh</v>
      </c>
      <c r="D81" s="144">
        <f t="shared" si="3"/>
        <v>10.7</v>
      </c>
      <c r="E81" s="144">
        <f t="shared" ref="E81:G81" si="100">F34</f>
        <v>14.5</v>
      </c>
      <c r="F81" s="167">
        <f t="shared" si="100"/>
        <v>1.7</v>
      </c>
      <c r="G81" s="167">
        <f t="shared" si="100"/>
        <v>4.5</v>
      </c>
      <c r="H81" s="422">
        <f t="shared" si="5"/>
        <v>4.3</v>
      </c>
      <c r="I81" s="167">
        <f t="shared" si="6"/>
        <v>7</v>
      </c>
      <c r="J81" s="144">
        <v>0</v>
      </c>
      <c r="K81" s="422">
        <f t="shared" ref="K81:M81" si="101">N34</f>
        <v>2</v>
      </c>
      <c r="L81" s="422">
        <f t="shared" si="101"/>
        <v>0.5</v>
      </c>
      <c r="M81" s="422">
        <f t="shared" si="101"/>
        <v>0</v>
      </c>
      <c r="N81" s="167">
        <f t="shared" ref="N81:P81" si="102">R34</f>
        <v>16.5</v>
      </c>
      <c r="O81" s="167">
        <f t="shared" si="102"/>
        <v>0</v>
      </c>
      <c r="P81" s="422">
        <f t="shared" si="102"/>
        <v>0</v>
      </c>
      <c r="Q81" s="167">
        <f t="shared" si="0"/>
        <v>61.699999999999996</v>
      </c>
      <c r="R81" s="167">
        <f>U38</f>
        <v>25.2</v>
      </c>
      <c r="S81" s="424">
        <f t="shared" si="10"/>
        <v>2.4484126984126982</v>
      </c>
      <c r="T81" s="516">
        <f>INDEX($A$4:$W$39,MATCH(Generation_Entsoe_SFS_2015[[#This Row],[Country]],$A$4:$A$39,0),MATCH(Generation_Entsoe_SFS_2015[[#Headers],[Consumption]],$A$2:$W$2,0))</f>
        <v>54.8</v>
      </c>
      <c r="U81" s="516">
        <f>INDEX($A$4:$W$39,MATCH(Generation_Entsoe_SFS_2015[[#This Row],[Country]],$A$4:$A$39,0),MATCH(Generation_Entsoe_SFS_2015[[#Headers],[Pumping]],$A$2:$W$2,0))</f>
        <v>0.2</v>
      </c>
      <c r="W81" s="544" t="str">
        <f t="shared" si="11"/>
        <v>RO</v>
      </c>
      <c r="X81" s="544">
        <v>2015</v>
      </c>
      <c r="Y81" s="544" t="s">
        <v>648</v>
      </c>
      <c r="Z81" s="548">
        <f>IFERROR(Generation_Entsoe_SFS_2015[[#This Row],[Nuclear]]/'Capacity_Entsoe_SFS_2015'!D79*10^6,0)</f>
        <v>8230.7692307692305</v>
      </c>
      <c r="AA81" s="548">
        <f>IFERROR(Generation_Entsoe_SFS_2015[[#This Row],[Lignite]]/'Capacity_Entsoe_SFS_2015'!E79*10^6,0)</f>
        <v>3839.0256817580089</v>
      </c>
      <c r="AB81" s="548">
        <f>IFERROR(Generation_Entsoe_SFS_2015[[#This Row],[Hard coal]]/'Capacity_Entsoe_SFS_2015'!F79*10^6,0)</f>
        <v>1480.8362369337979</v>
      </c>
      <c r="AC81" s="548">
        <f>IFERROR(Generation_Entsoe_SFS_2015[[#This Row],[Fossil gases]]/'Capacity_Entsoe_SFS_2015'!G79*10^6,0)</f>
        <v>2432.4324324324325</v>
      </c>
      <c r="AD81" s="548">
        <f>IFERROR(Generation_Entsoe_SFS_2015[[#This Row],[Other fossil fuels]]/'Capacity_Entsoe_SFS_2015'!H79*10^6,0)</f>
        <v>2498.5473561882627</v>
      </c>
      <c r="AE81" s="548">
        <f>IFERROR(Generation_Entsoe_SFS_2015[[#This Row],[Wind onshore]]/'Capacity_Entsoe_SFS_2015'!I79*10^6,0)</f>
        <v>2394.7998631542937</v>
      </c>
      <c r="AF81" s="548">
        <f>IFERROR(Generation_Entsoe_SFS_2015[[#This Row],[Wind offshore]]/'Capacity_Entsoe_SFS_2015'!J79*10^6,0)</f>
        <v>0</v>
      </c>
      <c r="AG81" s="548">
        <f>IFERROR(Generation_Entsoe_SFS_2015[[#This Row],[Solar PV]]/'Capacity_Entsoe_SFS_2015'!K79*10^6,0)</f>
        <v>1601.2810248198557</v>
      </c>
      <c r="AH81" s="548">
        <f>IFERROR(Generation_Entsoe_SFS_2015[[#This Row],[Bioenergy]]/'Capacity_Entsoe_SFS_2015'!L79*10^6,0)</f>
        <v>4464.2857142857138</v>
      </c>
      <c r="AI81" s="548">
        <f>IFERROR(Generation_Entsoe_SFS_2015[[#This Row],[Other RES]]/'Capacity_Entsoe_SFS_2015'!M79*10^6,0)</f>
        <v>0</v>
      </c>
      <c r="AJ81" s="548">
        <f>IFERROR(Generation_Entsoe_SFS_2015[[#This Row],[Renewable Hydro]]/'Capacity_Entsoe_SFS_2015'!N79*10^6,0)</f>
        <v>2602.934216753431</v>
      </c>
      <c r="AK81" s="548">
        <f>IFERROR(Generation_Entsoe_SFS_2015[[#This Row],[Pumped Hydro]]/'Capacity_Entsoe_SFS_2015'!O79*10^6,0)</f>
        <v>0</v>
      </c>
      <c r="AL81" s="548">
        <f>IFERROR(Generation_Entsoe_SFS_2015[[#This Row],[Other sources]]/'Capacity_Entsoe_SFS_2015'!P79*10^6,0)</f>
        <v>0</v>
      </c>
    </row>
    <row r="82" spans="1:38" x14ac:dyDescent="0.25">
      <c r="A82" s="366" t="str">
        <f t="shared" si="1"/>
        <v>RS</v>
      </c>
      <c r="B82" s="366">
        <f>B5</f>
        <v>2015</v>
      </c>
      <c r="C82" s="366" t="str">
        <f>C5</f>
        <v>TWh</v>
      </c>
      <c r="D82" s="144">
        <f t="shared" si="3"/>
        <v>0</v>
      </c>
      <c r="E82" s="144">
        <f t="shared" ref="E82:G82" si="103">F35</f>
        <v>30.5</v>
      </c>
      <c r="F82" s="167">
        <f t="shared" si="103"/>
        <v>0</v>
      </c>
      <c r="G82" s="167">
        <f t="shared" si="103"/>
        <v>0</v>
      </c>
      <c r="H82" s="422">
        <f t="shared" si="5"/>
        <v>0</v>
      </c>
      <c r="I82" s="167">
        <f t="shared" si="6"/>
        <v>0</v>
      </c>
      <c r="J82" s="144">
        <v>0</v>
      </c>
      <c r="K82" s="422">
        <f t="shared" ref="K82:M82" si="104">N35</f>
        <v>0</v>
      </c>
      <c r="L82" s="422">
        <f t="shared" si="104"/>
        <v>0</v>
      </c>
      <c r="M82" s="422">
        <f t="shared" si="104"/>
        <v>0</v>
      </c>
      <c r="N82" s="167">
        <f t="shared" ref="N82:P82" si="105">R35</f>
        <v>9.9</v>
      </c>
      <c r="O82" s="167">
        <f t="shared" si="105"/>
        <v>0.7</v>
      </c>
      <c r="P82" s="422">
        <f t="shared" si="105"/>
        <v>0</v>
      </c>
      <c r="Q82" s="167">
        <f t="shared" si="0"/>
        <v>41.1</v>
      </c>
      <c r="R82" s="167">
        <f>U5</f>
        <v>14.2</v>
      </c>
      <c r="S82" s="424">
        <f>Q82/R82</f>
        <v>2.894366197183099</v>
      </c>
      <c r="T82" s="516">
        <f>INDEX($A$4:$W$39,MATCH(Generation_Entsoe_SFS_2015[[#This Row],[Country]],$A$4:$A$39,0),MATCH(Generation_Entsoe_SFS_2015[[#Headers],[Consumption]],$A$2:$W$2,0))</f>
        <v>39.299999999999997</v>
      </c>
      <c r="U82" s="516">
        <f>INDEX($A$4:$W$39,MATCH(Generation_Entsoe_SFS_2015[[#This Row],[Country]],$A$4:$A$39,0),MATCH(Generation_Entsoe_SFS_2015[[#Headers],[Pumping]],$A$2:$W$2,0))</f>
        <v>1.1000000000000001</v>
      </c>
      <c r="W82" s="544" t="str">
        <f t="shared" si="11"/>
        <v>RS</v>
      </c>
      <c r="X82" s="544">
        <v>2015</v>
      </c>
      <c r="Y82" s="544" t="s">
        <v>648</v>
      </c>
      <c r="Z82" s="549">
        <f>IFERROR(Generation_Entsoe_SFS_2015[[#This Row],[Nuclear]]/'Capacity_Entsoe_SFS_2015'!D80*10^6,0)</f>
        <v>0</v>
      </c>
      <c r="AA82" s="549">
        <f>IFERROR(Generation_Entsoe_SFS_2015[[#This Row],[Lignite]]/'Capacity_Entsoe_SFS_2015'!E80*10^6,0)</f>
        <v>5822.8331424207718</v>
      </c>
      <c r="AB82" s="549">
        <f>IFERROR(Generation_Entsoe_SFS_2015[[#This Row],[Hard coal]]/'Capacity_Entsoe_SFS_2015'!F80*10^6,0)</f>
        <v>0</v>
      </c>
      <c r="AC82" s="549">
        <f>IFERROR(Generation_Entsoe_SFS_2015[[#This Row],[Fossil gases]]/'Capacity_Entsoe_SFS_2015'!G80*10^6,0)</f>
        <v>0</v>
      </c>
      <c r="AD82" s="549">
        <f>IFERROR(Generation_Entsoe_SFS_2015[[#This Row],[Other fossil fuels]]/'Capacity_Entsoe_SFS_2015'!H80*10^6,0)</f>
        <v>0</v>
      </c>
      <c r="AE82" s="549">
        <f>IFERROR(Generation_Entsoe_SFS_2015[[#This Row],[Wind onshore]]/'Capacity_Entsoe_SFS_2015'!I80*10^6,0)</f>
        <v>0</v>
      </c>
      <c r="AF82" s="549">
        <f>IFERROR(Generation_Entsoe_SFS_2015[[#This Row],[Wind offshore]]/'Capacity_Entsoe_SFS_2015'!J80*10^6,0)</f>
        <v>0</v>
      </c>
      <c r="AG82" s="549">
        <f>IFERROR(Generation_Entsoe_SFS_2015[[#This Row],[Solar PV]]/'Capacity_Entsoe_SFS_2015'!K80*10^6,0)</f>
        <v>0</v>
      </c>
      <c r="AH82" s="549">
        <f>IFERROR(Generation_Entsoe_SFS_2015[[#This Row],[Bioenergy]]/'Capacity_Entsoe_SFS_2015'!L80*10^6,0)</f>
        <v>0</v>
      </c>
      <c r="AI82" s="549">
        <f>IFERROR(Generation_Entsoe_SFS_2015[[#This Row],[Other RES]]/'Capacity_Entsoe_SFS_2015'!M80*10^6,0)</f>
        <v>0</v>
      </c>
      <c r="AJ82" s="549">
        <f>IFERROR(Generation_Entsoe_SFS_2015[[#This Row],[Renewable Hydro]]/'Capacity_Entsoe_SFS_2015'!N80*10^6,0)</f>
        <v>4143.9933026370863</v>
      </c>
      <c r="AK82" s="549">
        <f>IFERROR(Generation_Entsoe_SFS_2015[[#This Row],[Pumped Hydro]]/'Capacity_Entsoe_SFS_2015'!O80*10^6,0)</f>
        <v>1129.0322580645161</v>
      </c>
      <c r="AL82" s="549">
        <f>IFERROR(Generation_Entsoe_SFS_2015[[#This Row],[Other sources]]/'Capacity_Entsoe_SFS_2015'!P80*10^6,0)</f>
        <v>0</v>
      </c>
    </row>
    <row r="83" spans="1:38" x14ac:dyDescent="0.25">
      <c r="A83" s="366" t="str">
        <f t="shared" si="1"/>
        <v>SE</v>
      </c>
      <c r="B83" s="366">
        <f>B35</f>
        <v>2015</v>
      </c>
      <c r="C83" s="366" t="str">
        <f>C35</f>
        <v>TWh</v>
      </c>
      <c r="D83" s="144">
        <f t="shared" si="3"/>
        <v>54.3</v>
      </c>
      <c r="E83" s="144">
        <f t="shared" ref="E83:G83" si="106">F36</f>
        <v>0</v>
      </c>
      <c r="F83" s="167">
        <f t="shared" si="106"/>
        <v>0.5</v>
      </c>
      <c r="G83" s="167">
        <f t="shared" si="106"/>
        <v>1</v>
      </c>
      <c r="H83" s="422">
        <f t="shared" si="5"/>
        <v>2.2000000000000002</v>
      </c>
      <c r="I83" s="167">
        <f t="shared" si="6"/>
        <v>16.600000000000001</v>
      </c>
      <c r="J83" s="144">
        <v>0</v>
      </c>
      <c r="K83" s="422">
        <f t="shared" ref="K83:M83" si="107">N36</f>
        <v>0</v>
      </c>
      <c r="L83" s="422">
        <f t="shared" si="107"/>
        <v>9.8000000000000007</v>
      </c>
      <c r="M83" s="422">
        <f t="shared" si="107"/>
        <v>0</v>
      </c>
      <c r="N83" s="167">
        <f t="shared" ref="N83:P83" si="108">R36</f>
        <v>74</v>
      </c>
      <c r="O83" s="167">
        <f t="shared" si="108"/>
        <v>0</v>
      </c>
      <c r="P83" s="422">
        <f t="shared" si="108"/>
        <v>0</v>
      </c>
      <c r="Q83" s="167">
        <f t="shared" si="0"/>
        <v>158.39999999999998</v>
      </c>
      <c r="R83" s="167">
        <f>U35</f>
        <v>41.2</v>
      </c>
      <c r="S83" s="424">
        <f>Q83/R83</f>
        <v>3.8446601941747565</v>
      </c>
      <c r="T83" s="516">
        <f>INDEX($A$4:$W$39,MATCH(Generation_Entsoe_SFS_2015[[#This Row],[Country]],$A$4:$A$39,0),MATCH(Generation_Entsoe_SFS_2015[[#Headers],[Consumption]],$A$2:$W$2,0))</f>
        <v>135.9</v>
      </c>
      <c r="U83" s="516">
        <f>INDEX($A$4:$W$39,MATCH(Generation_Entsoe_SFS_2015[[#This Row],[Country]],$A$4:$A$39,0),MATCH(Generation_Entsoe_SFS_2015[[#Headers],[Pumping]],$A$2:$W$2,0))</f>
        <v>0</v>
      </c>
      <c r="W83" s="544" t="str">
        <f t="shared" si="11"/>
        <v>SE</v>
      </c>
      <c r="X83" s="544">
        <v>2015</v>
      </c>
      <c r="Y83" s="544" t="s">
        <v>648</v>
      </c>
      <c r="Z83" s="548">
        <f>IFERROR(Generation_Entsoe_SFS_2015[[#This Row],[Nuclear]]/'Capacity_Entsoe_SFS_2015'!D81*10^6,0)</f>
        <v>5589.8702903026551</v>
      </c>
      <c r="AA83" s="548">
        <f>IFERROR(Generation_Entsoe_SFS_2015[[#This Row],[Lignite]]/'Capacity_Entsoe_SFS_2015'!E81*10^6,0)</f>
        <v>0</v>
      </c>
      <c r="AB83" s="548">
        <f>IFERROR(Generation_Entsoe_SFS_2015[[#This Row],[Hard coal]]/'Capacity_Entsoe_SFS_2015'!F81*10^6,0)</f>
        <v>2222.2222222222222</v>
      </c>
      <c r="AC83" s="548">
        <f>IFERROR(Generation_Entsoe_SFS_2015[[#This Row],[Fossil gases]]/'Capacity_Entsoe_SFS_2015'!G81*10^6,0)</f>
        <v>1137.6564277588168</v>
      </c>
      <c r="AD83" s="548">
        <f>IFERROR(Generation_Entsoe_SFS_2015[[#This Row],[Other fossil fuels]]/'Capacity_Entsoe_SFS_2015'!H81*10^6,0)</f>
        <v>647.63026199587875</v>
      </c>
      <c r="AE83" s="548">
        <f>IFERROR(Generation_Entsoe_SFS_2015[[#This Row],[Wind onshore]]/'Capacity_Entsoe_SFS_2015'!I81*10^6,0)</f>
        <v>2753.358765964505</v>
      </c>
      <c r="AF83" s="548">
        <f>IFERROR(Generation_Entsoe_SFS_2015[[#This Row],[Wind offshore]]/'Capacity_Entsoe_SFS_2015'!J81*10^6,0)</f>
        <v>0</v>
      </c>
      <c r="AG83" s="548">
        <f>IFERROR(Generation_Entsoe_SFS_2015[[#This Row],[Solar PV]]/'Capacity_Entsoe_SFS_2015'!K81*10^6,0)</f>
        <v>0</v>
      </c>
      <c r="AH83" s="548">
        <f>IFERROR(Generation_Entsoe_SFS_2015[[#This Row],[Bioenergy]]/'Capacity_Entsoe_SFS_2015'!L81*10^6,0)</f>
        <v>3290.7991940899938</v>
      </c>
      <c r="AI83" s="548">
        <f>IFERROR(Generation_Entsoe_SFS_2015[[#This Row],[Other RES]]/'Capacity_Entsoe_SFS_2015'!M81*10^6,0)</f>
        <v>0</v>
      </c>
      <c r="AJ83" s="548">
        <f>IFERROR(Generation_Entsoe_SFS_2015[[#This Row],[Renewable Hydro]]/'Capacity_Entsoe_SFS_2015'!N81*10^6,0)</f>
        <v>4572.4172021749873</v>
      </c>
      <c r="AK83" s="548">
        <f>IFERROR(Generation_Entsoe_SFS_2015[[#This Row],[Pumped Hydro]]/'Capacity_Entsoe_SFS_2015'!O81*10^6,0)</f>
        <v>0</v>
      </c>
      <c r="AL83" s="548">
        <f>IFERROR(Generation_Entsoe_SFS_2015[[#This Row],[Other sources]]/'Capacity_Entsoe_SFS_2015'!P81*10^6,0)</f>
        <v>0</v>
      </c>
    </row>
    <row r="84" spans="1:38" x14ac:dyDescent="0.25">
      <c r="A84" s="366" t="str">
        <f t="shared" si="1"/>
        <v>SI</v>
      </c>
      <c r="B84" s="366">
        <f t="shared" ref="B84:C85" si="109">B27</f>
        <v>2015</v>
      </c>
      <c r="C84" s="366" t="str">
        <f t="shared" si="109"/>
        <v>TWh</v>
      </c>
      <c r="D84" s="144">
        <f t="shared" si="3"/>
        <v>5.4</v>
      </c>
      <c r="E84" s="144">
        <f t="shared" ref="E84:G84" si="110">F37</f>
        <v>3.8</v>
      </c>
      <c r="F84" s="167">
        <f t="shared" si="110"/>
        <v>0</v>
      </c>
      <c r="G84" s="167">
        <f t="shared" si="110"/>
        <v>0</v>
      </c>
      <c r="H84" s="422">
        <f t="shared" si="5"/>
        <v>0.1</v>
      </c>
      <c r="I84" s="167">
        <f t="shared" si="6"/>
        <v>0</v>
      </c>
      <c r="J84" s="144">
        <v>0</v>
      </c>
      <c r="K84" s="422">
        <f t="shared" ref="K84:M84" si="111">N37</f>
        <v>0.2</v>
      </c>
      <c r="L84" s="422">
        <f t="shared" si="111"/>
        <v>0.2</v>
      </c>
      <c r="M84" s="422">
        <f t="shared" si="111"/>
        <v>0.1</v>
      </c>
      <c r="N84" s="167">
        <f t="shared" ref="N84:P84" si="112">R37</f>
        <v>3.8</v>
      </c>
      <c r="O84" s="167">
        <f t="shared" si="112"/>
        <v>0.3</v>
      </c>
      <c r="P84" s="422">
        <f t="shared" si="112"/>
        <v>0.1</v>
      </c>
      <c r="Q84" s="167">
        <f t="shared" si="0"/>
        <v>13.999999999999998</v>
      </c>
      <c r="R84" s="167">
        <f>U27</f>
        <v>2.8</v>
      </c>
      <c r="S84" s="424">
        <f>Q84/R84</f>
        <v>5</v>
      </c>
      <c r="T84" s="516">
        <f>INDEX($A$4:$W$39,MATCH(Generation_Entsoe_SFS_2015[[#This Row],[Country]],$A$4:$A$39,0),MATCH(Generation_Entsoe_SFS_2015[[#Headers],[Consumption]],$A$2:$W$2,0))</f>
        <v>13.6</v>
      </c>
      <c r="U84" s="516">
        <f>INDEX($A$4:$W$39,MATCH(Generation_Entsoe_SFS_2015[[#This Row],[Country]],$A$4:$A$39,0),MATCH(Generation_Entsoe_SFS_2015[[#Headers],[Pumping]],$A$2:$W$2,0))</f>
        <v>0.4</v>
      </c>
      <c r="W84" s="544" t="str">
        <f t="shared" si="11"/>
        <v>SI</v>
      </c>
      <c r="X84" s="544">
        <v>2015</v>
      </c>
      <c r="Y84" s="544" t="s">
        <v>648</v>
      </c>
      <c r="Z84" s="549">
        <f>IFERROR(Generation_Entsoe_SFS_2015[[#This Row],[Nuclear]]/'Capacity_Entsoe_SFS_2015'!D82*10^6,0)</f>
        <v>7758.620689655173</v>
      </c>
      <c r="AA84" s="549">
        <f>IFERROR(Generation_Entsoe_SFS_2015[[#This Row],[Lignite]]/'Capacity_Entsoe_SFS_2015'!E82*10^6,0)</f>
        <v>4125.9500542888163</v>
      </c>
      <c r="AB84" s="549">
        <f>IFERROR(Generation_Entsoe_SFS_2015[[#This Row],[Hard coal]]/'Capacity_Entsoe_SFS_2015'!F82*10^6,0)</f>
        <v>0</v>
      </c>
      <c r="AC84" s="549">
        <f>IFERROR(Generation_Entsoe_SFS_2015[[#This Row],[Fossil gases]]/'Capacity_Entsoe_SFS_2015'!G82*10^6,0)</f>
        <v>0</v>
      </c>
      <c r="AD84" s="549">
        <f>IFERROR(Generation_Entsoe_SFS_2015[[#This Row],[Other fossil fuels]]/'Capacity_Entsoe_SFS_2015'!H82*10^6,0)</f>
        <v>0</v>
      </c>
      <c r="AE84" s="549">
        <f>IFERROR(Generation_Entsoe_SFS_2015[[#This Row],[Wind onshore]]/'Capacity_Entsoe_SFS_2015'!I82*10^6,0)</f>
        <v>0</v>
      </c>
      <c r="AF84" s="549">
        <f>IFERROR(Generation_Entsoe_SFS_2015[[#This Row],[Wind offshore]]/'Capacity_Entsoe_SFS_2015'!J82*10^6,0)</f>
        <v>0</v>
      </c>
      <c r="AG84" s="549">
        <f>IFERROR(Generation_Entsoe_SFS_2015[[#This Row],[Solar PV]]/'Capacity_Entsoe_SFS_2015'!K82*10^6,0)</f>
        <v>760.45627376425864</v>
      </c>
      <c r="AH84" s="549">
        <f>IFERROR(Generation_Entsoe_SFS_2015[[#This Row],[Bioenergy]]/'Capacity_Entsoe_SFS_2015'!L82*10^6,0)</f>
        <v>11764.705882352941</v>
      </c>
      <c r="AI84" s="549">
        <f>IFERROR(Generation_Entsoe_SFS_2015[[#This Row],[Other RES]]/'Capacity_Entsoe_SFS_2015'!M82*10^6,0)</f>
        <v>0</v>
      </c>
      <c r="AJ84" s="549">
        <f>IFERROR(Generation_Entsoe_SFS_2015[[#This Row],[Renewable Hydro]]/'Capacity_Entsoe_SFS_2015'!N82*10^6,0)</f>
        <v>3608.7369420702753</v>
      </c>
      <c r="AK84" s="549">
        <f>IFERROR(Generation_Entsoe_SFS_2015[[#This Row],[Pumped Hydro]]/'Capacity_Entsoe_SFS_2015'!O82*10^6,0)</f>
        <v>1666.6666666666665</v>
      </c>
      <c r="AL84" s="549">
        <f>IFERROR(Generation_Entsoe_SFS_2015[[#This Row],[Other sources]]/'Capacity_Entsoe_SFS_2015'!P82*10^6,0)</f>
        <v>2500</v>
      </c>
    </row>
    <row r="85" spans="1:38" x14ac:dyDescent="0.25">
      <c r="A85" s="366" t="str">
        <f t="shared" si="1"/>
        <v>SK</v>
      </c>
      <c r="B85" s="366">
        <f t="shared" si="109"/>
        <v>2015</v>
      </c>
      <c r="C85" s="366" t="str">
        <f t="shared" si="109"/>
        <v>TWh</v>
      </c>
      <c r="D85" s="144">
        <f t="shared" si="3"/>
        <v>14.1</v>
      </c>
      <c r="E85" s="144">
        <f t="shared" ref="E85:G85" si="113">F38</f>
        <v>1.6</v>
      </c>
      <c r="F85" s="167">
        <f t="shared" si="113"/>
        <v>0.9</v>
      </c>
      <c r="G85" s="167">
        <f t="shared" si="113"/>
        <v>1.8</v>
      </c>
      <c r="H85" s="422">
        <f t="shared" si="5"/>
        <v>0.3</v>
      </c>
      <c r="I85" s="167">
        <f t="shared" si="6"/>
        <v>0</v>
      </c>
      <c r="J85" s="144">
        <v>0</v>
      </c>
      <c r="K85" s="422">
        <f t="shared" ref="K85:M85" si="114">N38</f>
        <v>0.5</v>
      </c>
      <c r="L85" s="422">
        <f t="shared" si="114"/>
        <v>1.1000000000000001</v>
      </c>
      <c r="M85" s="422">
        <f t="shared" si="114"/>
        <v>0.5</v>
      </c>
      <c r="N85" s="167">
        <f t="shared" ref="N85:P85" si="115">R38</f>
        <v>4</v>
      </c>
      <c r="O85" s="167">
        <f t="shared" si="115"/>
        <v>0.3</v>
      </c>
      <c r="P85" s="422">
        <f t="shared" si="115"/>
        <v>0.1</v>
      </c>
      <c r="Q85" s="167">
        <f t="shared" si="0"/>
        <v>25.200000000000003</v>
      </c>
      <c r="R85" s="167">
        <f>U28</f>
        <v>4.9000000000000004</v>
      </c>
      <c r="S85" s="424">
        <f>Q85/R85</f>
        <v>5.1428571428571432</v>
      </c>
      <c r="T85" s="516">
        <f>INDEX($A$4:$W$39,MATCH(Generation_Entsoe_SFS_2015[[#This Row],[Country]],$A$4:$A$39,0),MATCH(Generation_Entsoe_SFS_2015[[#Headers],[Consumption]],$A$2:$W$2,0))</f>
        <v>27.2</v>
      </c>
      <c r="U85" s="516">
        <f>INDEX($A$4:$W$39,MATCH(Generation_Entsoe_SFS_2015[[#This Row],[Country]],$A$4:$A$39,0),MATCH(Generation_Entsoe_SFS_2015[[#Headers],[Pumping]],$A$2:$W$2,0))</f>
        <v>0.4</v>
      </c>
      <c r="W85" s="544" t="str">
        <f t="shared" si="11"/>
        <v>SK</v>
      </c>
      <c r="X85" s="544">
        <v>2015</v>
      </c>
      <c r="Y85" s="544" t="s">
        <v>648</v>
      </c>
      <c r="Z85" s="548">
        <f>IFERROR(Generation_Entsoe_SFS_2015[[#This Row],[Nuclear]]/'Capacity_Entsoe_SFS_2015'!D83*10^6,0)</f>
        <v>7268.0412371134025</v>
      </c>
      <c r="AA85" s="548">
        <f>IFERROR(Generation_Entsoe_SFS_2015[[#This Row],[Lignite]]/'Capacity_Entsoe_SFS_2015'!E83*10^6,0)</f>
        <v>2816.9014084507044</v>
      </c>
      <c r="AB85" s="548">
        <f>IFERROR(Generation_Entsoe_SFS_2015[[#This Row],[Hard coal]]/'Capacity_Entsoe_SFS_2015'!F83*10^6,0)</f>
        <v>2045.4545454545457</v>
      </c>
      <c r="AC85" s="548">
        <f>IFERROR(Generation_Entsoe_SFS_2015[[#This Row],[Fossil gases]]/'Capacity_Entsoe_SFS_2015'!G83*10^6,0)</f>
        <v>1646.843549862763</v>
      </c>
      <c r="AD85" s="548">
        <f>IFERROR(Generation_Entsoe_SFS_2015[[#This Row],[Other fossil fuels]]/'Capacity_Entsoe_SFS_2015'!H83*10^6,0)</f>
        <v>486.22366288492708</v>
      </c>
      <c r="AE85" s="548">
        <f>IFERROR(Generation_Entsoe_SFS_2015[[#This Row],[Wind onshore]]/'Capacity_Entsoe_SFS_2015'!I83*10^6,0)</f>
        <v>0</v>
      </c>
      <c r="AF85" s="548">
        <f>IFERROR(Generation_Entsoe_SFS_2015[[#This Row],[Wind offshore]]/'Capacity_Entsoe_SFS_2015'!J83*10^6,0)</f>
        <v>0</v>
      </c>
      <c r="AG85" s="548">
        <f>IFERROR(Generation_Entsoe_SFS_2015[[#This Row],[Solar PV]]/'Capacity_Entsoe_SFS_2015'!K83*10^6,0)</f>
        <v>939.84962406015029</v>
      </c>
      <c r="AH85" s="548">
        <f>IFERROR(Generation_Entsoe_SFS_2015[[#This Row],[Bioenergy]]/'Capacity_Entsoe_SFS_2015'!L83*10^6,0)</f>
        <v>4247.1042471042474</v>
      </c>
      <c r="AI85" s="548">
        <f>IFERROR(Generation_Entsoe_SFS_2015[[#This Row],[Other RES]]/'Capacity_Entsoe_SFS_2015'!M83*10^6,0)</f>
        <v>4545.454545454545</v>
      </c>
      <c r="AJ85" s="548">
        <f>IFERROR(Generation_Entsoe_SFS_2015[[#This Row],[Renewable Hydro]]/'Capacity_Entsoe_SFS_2015'!N83*10^6,0)</f>
        <v>2473.7167594310454</v>
      </c>
      <c r="AK85" s="548">
        <f>IFERROR(Generation_Entsoe_SFS_2015[[#This Row],[Pumped Hydro]]/'Capacity_Entsoe_SFS_2015'!O83*10^6,0)</f>
        <v>327.51091703056767</v>
      </c>
      <c r="AL85" s="548">
        <f>IFERROR(Generation_Entsoe_SFS_2015[[#This Row],[Other sources]]/'Capacity_Entsoe_SFS_2015'!P83*10^6,0)</f>
        <v>0</v>
      </c>
    </row>
    <row r="86" spans="1:38" x14ac:dyDescent="0.25">
      <c r="A86" s="366" t="str">
        <f t="shared" si="1"/>
        <v>ENTSO-E</v>
      </c>
      <c r="B86" s="520">
        <f>B39</f>
        <v>2015</v>
      </c>
      <c r="C86" s="520" t="str">
        <f>C39</f>
        <v>TWh</v>
      </c>
      <c r="D86" s="144">
        <f t="shared" si="3"/>
        <v>836</v>
      </c>
      <c r="E86" s="144">
        <f t="shared" ref="E86:G86" si="116">F39</f>
        <v>338.9</v>
      </c>
      <c r="F86" s="167">
        <f t="shared" si="116"/>
        <v>418.3</v>
      </c>
      <c r="G86" s="167">
        <f t="shared" si="116"/>
        <v>409.4</v>
      </c>
      <c r="H86" s="422">
        <f t="shared" si="5"/>
        <v>194</v>
      </c>
      <c r="I86" s="167">
        <f t="shared" si="6"/>
        <v>310.2</v>
      </c>
      <c r="J86" s="144">
        <v>0</v>
      </c>
      <c r="K86" s="422">
        <f t="shared" ref="K86:M86" si="117">N39</f>
        <v>102.3</v>
      </c>
      <c r="L86" s="422">
        <f t="shared" si="117"/>
        <v>118.7</v>
      </c>
      <c r="M86" s="422">
        <f t="shared" si="117"/>
        <v>21.9</v>
      </c>
      <c r="N86" s="167">
        <f t="shared" ref="N86:P86" si="118">R39</f>
        <v>489.2</v>
      </c>
      <c r="O86" s="167">
        <f t="shared" si="118"/>
        <v>79.8</v>
      </c>
      <c r="P86" s="422">
        <f t="shared" si="118"/>
        <v>11.7</v>
      </c>
      <c r="Q86" s="521">
        <f t="shared" si="0"/>
        <v>3330.3999999999996</v>
      </c>
      <c r="R86" s="521">
        <f>U39</f>
        <v>3330.5</v>
      </c>
      <c r="S86" s="519">
        <f>Q86/R86</f>
        <v>0.99996997447830649</v>
      </c>
      <c r="T86" s="516">
        <f>INDEX($A$4:$W$39,MATCH(Generation_Entsoe_SFS_2015[[#This Row],[Country]],$A$4:$A$39,0),MATCH(Generation_Entsoe_SFS_2015[[#Headers],[Consumption]],$A$2:$W$2,0))</f>
        <v>3278.1</v>
      </c>
      <c r="U86" s="516">
        <f>INDEX($A$4:$W$39,MATCH(Generation_Entsoe_SFS_2015[[#This Row],[Country]],$A$4:$A$39,0),MATCH(Generation_Entsoe_SFS_2015[[#Headers],[Pumping]],$A$2:$W$2,0))</f>
        <v>46.4</v>
      </c>
      <c r="W86" s="544" t="str">
        <f t="shared" si="11"/>
        <v>ENTSO-E</v>
      </c>
      <c r="X86" s="544">
        <v>2015</v>
      </c>
      <c r="Y86" s="544" t="s">
        <v>648</v>
      </c>
      <c r="Z86" s="549">
        <f>IFERROR(Generation_Entsoe_SFS_2015[[#This Row],[Nuclear]]/'Capacity_Entsoe_SFS_2015'!D84*10^6,0)</f>
        <v>6712.1098987563328</v>
      </c>
      <c r="AA86" s="549">
        <f>IFERROR(Generation_Entsoe_SFS_2015[[#This Row],[Lignite]]/'Capacity_Entsoe_SFS_2015'!E84*10^6,0)</f>
        <v>5380.1336698893492</v>
      </c>
      <c r="AB86" s="549">
        <f>IFERROR(Generation_Entsoe_SFS_2015[[#This Row],[Hard coal]]/'Capacity_Entsoe_SFS_2015'!F84*10^6,0)</f>
        <v>3857.0769940064547</v>
      </c>
      <c r="AC86" s="549">
        <f>IFERROR(Generation_Entsoe_SFS_2015[[#This Row],[Fossil gases]]/'Capacity_Entsoe_SFS_2015'!G84*10^6,0)</f>
        <v>1883.8232316725257</v>
      </c>
      <c r="AD86" s="549">
        <f>IFERROR(Generation_Entsoe_SFS_2015[[#This Row],[Other fossil fuels]]/'Capacity_Entsoe_SFS_2015'!H84*10^6,0)</f>
        <v>3747.9231868938605</v>
      </c>
      <c r="AE86" s="549">
        <f>IFERROR(Generation_Entsoe_SFS_2015[[#This Row],[Wind onshore]]/'Capacity_Entsoe_SFS_2015'!I84*10^6,0)</f>
        <v>2279.6922195030534</v>
      </c>
      <c r="AF86" s="549">
        <f>IFERROR(Generation_Entsoe_SFS_2015[[#This Row],[Wind offshore]]/'Capacity_Entsoe_SFS_2015'!J84*10^6,0)</f>
        <v>0</v>
      </c>
      <c r="AG86" s="549">
        <f>IFERROR(Generation_Entsoe_SFS_2015[[#This Row],[Solar PV]]/'Capacity_Entsoe_SFS_2015'!K84*10^6,0)</f>
        <v>1081.6011503245861</v>
      </c>
      <c r="AH86" s="549">
        <f>IFERROR(Generation_Entsoe_SFS_2015[[#This Row],[Bioenergy]]/'Capacity_Entsoe_SFS_2015'!L84*10^6,0)</f>
        <v>4676.3581924910377</v>
      </c>
      <c r="AI86" s="549">
        <f>IFERROR(Generation_Entsoe_SFS_2015[[#This Row],[Other RES]]/'Capacity_Entsoe_SFS_2015'!M84*10^6,0)</f>
        <v>7494.8665297741263</v>
      </c>
      <c r="AJ86" s="549">
        <f>IFERROR(Generation_Entsoe_SFS_2015[[#This Row],[Renewable Hydro]]/'Capacity_Entsoe_SFS_2015'!N84*10^6,0)</f>
        <v>3227.4451591621309</v>
      </c>
      <c r="AK86" s="549">
        <f>IFERROR(Generation_Entsoe_SFS_2015[[#This Row],[Pumped Hydro]]/'Capacity_Entsoe_SFS_2015'!O84*10^6,0)</f>
        <v>1577.1374362623028</v>
      </c>
      <c r="AL86" s="549">
        <f>IFERROR(Generation_Entsoe_SFS_2015[[#This Row],[Other sources]]/'Capacity_Entsoe_SFS_2015'!P84*10^6,0)</f>
        <v>3339.9942906080501</v>
      </c>
    </row>
  </sheetData>
  <mergeCells count="2">
    <mergeCell ref="A1:M1"/>
    <mergeCell ref="N1:AP1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tabColor theme="7"/>
  </sheetPr>
  <dimension ref="A1:AL85"/>
  <sheetViews>
    <sheetView topLeftCell="H44" zoomScaleNormal="100" workbookViewId="0">
      <selection activeCell="U49" sqref="U49:U85"/>
    </sheetView>
  </sheetViews>
  <sheetFormatPr baseColWidth="10" defaultColWidth="8" defaultRowHeight="12" x14ac:dyDescent="0.25"/>
  <cols>
    <col min="1" max="1" width="9" style="166" customWidth="1"/>
    <col min="2" max="2" width="6.42578125" style="166" customWidth="1"/>
    <col min="3" max="3" width="6" style="166" customWidth="1"/>
    <col min="4" max="4" width="9" style="144" customWidth="1"/>
    <col min="5" max="5" width="8.28515625" style="144" customWidth="1"/>
    <col min="6" max="6" width="10.7109375" style="144" customWidth="1"/>
    <col min="7" max="7" width="13.28515625" style="144" customWidth="1"/>
    <col min="8" max="8" width="17" style="144" customWidth="1"/>
    <col min="9" max="9" width="14.28515625" style="144" customWidth="1"/>
    <col min="10" max="10" width="14.42578125" style="144" customWidth="1"/>
    <col min="11" max="11" width="9.5703125" style="144" customWidth="1"/>
    <col min="12" max="13" width="11.140625" style="144" customWidth="1"/>
    <col min="14" max="14" width="20.5703125" style="144" customWidth="1"/>
    <col min="15" max="15" width="16.85546875" style="144" customWidth="1"/>
    <col min="16" max="16" width="14.7109375" style="144" customWidth="1"/>
    <col min="17" max="17" width="17" style="144" customWidth="1"/>
    <col min="18" max="18" width="16.5703125" style="144" customWidth="1"/>
    <col min="19" max="19" width="17.42578125" style="144" customWidth="1"/>
    <col min="20" max="20" width="6.85546875" style="144" bestFit="1" customWidth="1"/>
    <col min="21" max="21" width="4.42578125" style="144" bestFit="1" customWidth="1"/>
    <col min="22" max="22" width="11.5703125" style="144" customWidth="1"/>
    <col min="23" max="23" width="8.140625" style="144" customWidth="1"/>
    <col min="24" max="24" width="7.5703125" style="144" customWidth="1"/>
    <col min="25" max="25" width="10.42578125" style="144" customWidth="1"/>
    <col min="26" max="26" width="9.85546875" style="144" customWidth="1"/>
    <col min="27" max="27" width="12.28515625" style="144" customWidth="1"/>
    <col min="28" max="28" width="15.140625" style="144" customWidth="1"/>
    <col min="29" max="29" width="19.5703125" style="144" customWidth="1"/>
    <col min="30" max="30" width="16.140625" style="144" customWidth="1"/>
    <col min="31" max="31" width="16.7109375" style="144" customWidth="1"/>
    <col min="32" max="32" width="11.5703125" style="144" customWidth="1"/>
    <col min="33" max="33" width="12.85546875" style="144" customWidth="1"/>
    <col min="34" max="34" width="13" style="144" customWidth="1"/>
    <col min="35" max="35" width="9" style="144" customWidth="1"/>
    <col min="36" max="36" width="16.7109375" style="144" customWidth="1"/>
    <col min="37" max="37" width="16.28515625" style="144" customWidth="1"/>
    <col min="38" max="38" width="5.42578125" style="144" bestFit="1" customWidth="1"/>
    <col min="39" max="16384" width="8" style="144"/>
  </cols>
  <sheetData>
    <row r="1" spans="1:38" ht="135" x14ac:dyDescent="0.25">
      <c r="A1" s="94">
        <v>2016</v>
      </c>
      <c r="B1" s="94"/>
      <c r="C1" s="94"/>
      <c r="D1" s="96" t="s">
        <v>56</v>
      </c>
      <c r="E1" s="97" t="s">
        <v>57</v>
      </c>
      <c r="F1" s="97" t="s">
        <v>58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59</v>
      </c>
      <c r="Q1" s="99" t="s">
        <v>149</v>
      </c>
      <c r="R1" s="99" t="s">
        <v>148</v>
      </c>
      <c r="S1" s="99" t="s">
        <v>60</v>
      </c>
      <c r="T1" s="100" t="s">
        <v>41</v>
      </c>
      <c r="U1" s="101" t="s">
        <v>42</v>
      </c>
      <c r="V1" s="101" t="s">
        <v>43</v>
      </c>
      <c r="W1" s="101" t="s">
        <v>44</v>
      </c>
      <c r="X1" s="101" t="s">
        <v>45</v>
      </c>
      <c r="Y1" s="101" t="s">
        <v>46</v>
      </c>
      <c r="Z1" s="101" t="s">
        <v>47</v>
      </c>
      <c r="AA1" s="101" t="s">
        <v>48</v>
      </c>
      <c r="AB1" s="101" t="s">
        <v>49</v>
      </c>
      <c r="AC1" s="101" t="s">
        <v>50</v>
      </c>
      <c r="AD1" s="101" t="s">
        <v>51</v>
      </c>
      <c r="AE1" s="101" t="s">
        <v>52</v>
      </c>
      <c r="AF1" s="101" t="s">
        <v>53</v>
      </c>
      <c r="AG1" s="101" t="s">
        <v>54</v>
      </c>
      <c r="AH1" s="143" t="s">
        <v>55</v>
      </c>
      <c r="AI1" s="102" t="s">
        <v>40</v>
      </c>
      <c r="AJ1" s="103" t="s">
        <v>222</v>
      </c>
      <c r="AK1" s="104" t="s">
        <v>223</v>
      </c>
      <c r="AL1" s="105" t="s">
        <v>224</v>
      </c>
    </row>
    <row r="2" spans="1:38" ht="24" x14ac:dyDescent="0.2">
      <c r="A2" s="108"/>
      <c r="B2" s="145"/>
      <c r="C2" s="145"/>
      <c r="D2" s="110" t="s">
        <v>152</v>
      </c>
      <c r="E2" s="111" t="s">
        <v>152</v>
      </c>
      <c r="F2" s="112" t="s">
        <v>152</v>
      </c>
      <c r="G2" s="112" t="s">
        <v>152</v>
      </c>
      <c r="H2" s="112" t="s">
        <v>152</v>
      </c>
      <c r="I2" s="111" t="s">
        <v>152</v>
      </c>
      <c r="J2" s="112" t="s">
        <v>152</v>
      </c>
      <c r="K2" s="112" t="s">
        <v>152</v>
      </c>
      <c r="L2" s="111" t="s">
        <v>152</v>
      </c>
      <c r="M2" s="112" t="s">
        <v>152</v>
      </c>
      <c r="N2" s="111" t="s">
        <v>152</v>
      </c>
      <c r="O2" s="111" t="s">
        <v>152</v>
      </c>
      <c r="P2" s="111" t="s">
        <v>152</v>
      </c>
      <c r="Q2" s="112" t="s">
        <v>152</v>
      </c>
      <c r="R2" s="112" t="s">
        <v>152</v>
      </c>
      <c r="S2" s="111" t="s">
        <v>152</v>
      </c>
      <c r="T2" s="113" t="s">
        <v>152</v>
      </c>
      <c r="U2" s="115" t="s">
        <v>152</v>
      </c>
      <c r="V2" s="114" t="s">
        <v>152</v>
      </c>
      <c r="W2" s="115" t="s">
        <v>152</v>
      </c>
      <c r="X2" s="114" t="s">
        <v>152</v>
      </c>
      <c r="Y2" s="114" t="s">
        <v>152</v>
      </c>
      <c r="Z2" s="115" t="s">
        <v>152</v>
      </c>
      <c r="AA2" s="115" t="s">
        <v>152</v>
      </c>
      <c r="AB2" s="115" t="s">
        <v>152</v>
      </c>
      <c r="AC2" s="115" t="s">
        <v>152</v>
      </c>
      <c r="AD2" s="114" t="s">
        <v>152</v>
      </c>
      <c r="AE2" s="115" t="s">
        <v>152</v>
      </c>
      <c r="AF2" s="115" t="s">
        <v>152</v>
      </c>
      <c r="AG2" s="115" t="s">
        <v>152</v>
      </c>
      <c r="AH2" s="115" t="s">
        <v>152</v>
      </c>
      <c r="AI2" s="116" t="s">
        <v>152</v>
      </c>
      <c r="AJ2" s="117" t="s">
        <v>152</v>
      </c>
      <c r="AK2" s="116" t="s">
        <v>152</v>
      </c>
      <c r="AL2" s="118"/>
    </row>
    <row r="3" spans="1:38" s="166" customFormat="1" ht="15" x14ac:dyDescent="0.25">
      <c r="A3" s="119" t="s">
        <v>99</v>
      </c>
      <c r="B3" s="146">
        <v>2016</v>
      </c>
      <c r="C3" s="146" t="s">
        <v>152</v>
      </c>
      <c r="D3" s="215">
        <v>17.2</v>
      </c>
      <c r="E3" s="216"/>
      <c r="F3" s="217">
        <v>14.1</v>
      </c>
      <c r="G3" s="216"/>
      <c r="H3" s="216"/>
      <c r="I3" s="217">
        <v>8.4</v>
      </c>
      <c r="J3" s="217">
        <v>2</v>
      </c>
      <c r="K3" s="217">
        <v>1</v>
      </c>
      <c r="L3" s="216"/>
      <c r="M3" s="216"/>
      <c r="N3" s="216"/>
      <c r="O3" s="217">
        <v>2.7</v>
      </c>
      <c r="P3" s="216"/>
      <c r="Q3" s="217">
        <v>3.1</v>
      </c>
      <c r="R3" s="216"/>
      <c r="S3" s="216"/>
      <c r="T3" s="215">
        <v>43.7</v>
      </c>
      <c r="U3" s="216"/>
      <c r="V3" s="217">
        <v>5.2</v>
      </c>
      <c r="W3" s="216"/>
      <c r="X3" s="216"/>
      <c r="Y3" s="216"/>
      <c r="Z3" s="216"/>
      <c r="AA3" s="216"/>
      <c r="AB3" s="216"/>
      <c r="AC3" s="216"/>
      <c r="AD3" s="217">
        <v>25.3</v>
      </c>
      <c r="AE3" s="217">
        <v>10.199999999999999</v>
      </c>
      <c r="AF3" s="216"/>
      <c r="AG3" s="217">
        <v>3.1</v>
      </c>
      <c r="AH3" s="217">
        <v>6.7</v>
      </c>
      <c r="AI3" s="215">
        <v>67.599999999999994</v>
      </c>
      <c r="AJ3" s="217">
        <v>4.5</v>
      </c>
      <c r="AK3">
        <v>70.3</v>
      </c>
      <c r="AL3" s="217">
        <v>-1.7</v>
      </c>
    </row>
    <row r="4" spans="1:38" ht="15" x14ac:dyDescent="0.25">
      <c r="A4" s="119" t="s">
        <v>100</v>
      </c>
      <c r="B4" s="146">
        <v>2016</v>
      </c>
      <c r="C4" s="146" t="s">
        <v>152</v>
      </c>
      <c r="D4" s="151">
        <v>10.6</v>
      </c>
      <c r="E4" s="128"/>
      <c r="F4" s="152">
        <v>10.5</v>
      </c>
      <c r="G4" s="152">
        <v>10.5</v>
      </c>
      <c r="H4" s="130"/>
      <c r="I4" s="128"/>
      <c r="J4" s="130"/>
      <c r="K4" s="130"/>
      <c r="L4" s="128"/>
      <c r="M4" s="130"/>
      <c r="N4" s="128"/>
      <c r="O4" s="128"/>
      <c r="P4" s="128"/>
      <c r="Q4" s="152">
        <v>0</v>
      </c>
      <c r="R4" s="130"/>
      <c r="S4" s="128"/>
      <c r="T4" s="153">
        <v>5.5</v>
      </c>
      <c r="U4" s="136"/>
      <c r="V4" s="134"/>
      <c r="W4" s="136"/>
      <c r="X4" s="134"/>
      <c r="Y4" s="134"/>
      <c r="Z4" s="136"/>
      <c r="AA4" s="136"/>
      <c r="AB4" s="136"/>
      <c r="AC4" s="154">
        <v>5.4</v>
      </c>
      <c r="AD4" s="134"/>
      <c r="AE4" s="154">
        <v>0.1</v>
      </c>
      <c r="AF4" s="136"/>
      <c r="AG4" s="136"/>
      <c r="AH4" s="154">
        <v>0.1</v>
      </c>
      <c r="AI4" s="155">
        <v>16.2</v>
      </c>
      <c r="AJ4" s="156">
        <v>0</v>
      </c>
      <c r="AK4">
        <v>12.3</v>
      </c>
      <c r="AL4" s="156">
        <v>2.7</v>
      </c>
    </row>
    <row r="5" spans="1:38" ht="15" x14ac:dyDescent="0.25">
      <c r="A5" s="119" t="s">
        <v>101</v>
      </c>
      <c r="B5" s="146">
        <v>2016</v>
      </c>
      <c r="C5" s="146" t="s">
        <v>152</v>
      </c>
      <c r="D5" s="147">
        <v>66.3</v>
      </c>
      <c r="E5" s="149">
        <v>41.3</v>
      </c>
      <c r="F5" s="148">
        <v>22.8</v>
      </c>
      <c r="G5" s="122"/>
      <c r="H5" s="122"/>
      <c r="I5" s="149">
        <v>20.2</v>
      </c>
      <c r="J5" s="148">
        <v>2.5</v>
      </c>
      <c r="K5" s="148">
        <v>0.1</v>
      </c>
      <c r="L5" s="121"/>
      <c r="M5" s="122"/>
      <c r="N5" s="121"/>
      <c r="O5" s="121"/>
      <c r="P5" s="149">
        <v>1.1000000000000001</v>
      </c>
      <c r="Q5" s="122"/>
      <c r="R5" s="148">
        <v>1.2</v>
      </c>
      <c r="S5" s="149">
        <v>0</v>
      </c>
      <c r="T5" s="147">
        <v>13</v>
      </c>
      <c r="U5" s="148">
        <v>2.4</v>
      </c>
      <c r="V5" s="149">
        <v>2.7</v>
      </c>
      <c r="W5" s="148">
        <v>2.9</v>
      </c>
      <c r="X5" s="121"/>
      <c r="Y5" s="149">
        <v>2.5</v>
      </c>
      <c r="Z5" s="148">
        <v>0.9</v>
      </c>
      <c r="AA5" s="122"/>
      <c r="AB5" s="148">
        <v>1.2</v>
      </c>
      <c r="AC5" s="122"/>
      <c r="AD5" s="149">
        <v>0.3</v>
      </c>
      <c r="AE5" s="122"/>
      <c r="AF5" s="122"/>
      <c r="AG5" s="148">
        <v>0</v>
      </c>
      <c r="AH5" s="148">
        <v>0.1</v>
      </c>
      <c r="AI5" s="147">
        <v>79.5</v>
      </c>
      <c r="AJ5" s="148">
        <v>1.5</v>
      </c>
      <c r="AK5">
        <v>84.2</v>
      </c>
      <c r="AL5" s="148">
        <v>-1</v>
      </c>
    </row>
    <row r="6" spans="1:38" ht="15" x14ac:dyDescent="0.25">
      <c r="A6" s="119" t="s">
        <v>102</v>
      </c>
      <c r="B6" s="146">
        <v>2016</v>
      </c>
      <c r="C6" s="146" t="s">
        <v>152</v>
      </c>
      <c r="D6" s="151">
        <v>34.1</v>
      </c>
      <c r="E6" s="157">
        <v>14.9</v>
      </c>
      <c r="F6" s="152">
        <v>18.5</v>
      </c>
      <c r="G6" s="152">
        <v>16.100000000000001</v>
      </c>
      <c r="H6" s="130"/>
      <c r="I6" s="157">
        <v>2.1</v>
      </c>
      <c r="J6" s="152">
        <v>0.4</v>
      </c>
      <c r="K6" s="130"/>
      <c r="L6" s="128"/>
      <c r="M6" s="130"/>
      <c r="N6" s="128"/>
      <c r="O6" s="128"/>
      <c r="P6" s="157">
        <v>0.6</v>
      </c>
      <c r="Q6" s="152">
        <v>0.1</v>
      </c>
      <c r="R6" s="130"/>
      <c r="S6" s="128"/>
      <c r="T6" s="153">
        <v>7</v>
      </c>
      <c r="U6" s="136"/>
      <c r="V6" s="158">
        <v>1.4</v>
      </c>
      <c r="W6" s="154">
        <v>1.4</v>
      </c>
      <c r="X6" s="134"/>
      <c r="Y6" s="158">
        <v>0.3</v>
      </c>
      <c r="Z6" s="136"/>
      <c r="AA6" s="136"/>
      <c r="AB6" s="136"/>
      <c r="AC6" s="154">
        <v>1.8</v>
      </c>
      <c r="AD6" s="158">
        <v>1.7</v>
      </c>
      <c r="AE6" s="154">
        <v>0.4</v>
      </c>
      <c r="AF6" s="136"/>
      <c r="AG6" s="136"/>
      <c r="AH6" s="136"/>
      <c r="AI6" s="155">
        <v>41</v>
      </c>
      <c r="AJ6" s="156">
        <v>0.9</v>
      </c>
      <c r="AK6">
        <v>33.700000000000003</v>
      </c>
      <c r="AL6" s="156">
        <v>1.8</v>
      </c>
    </row>
    <row r="7" spans="1:38" ht="15" x14ac:dyDescent="0.25">
      <c r="A7" s="119" t="s">
        <v>103</v>
      </c>
      <c r="B7" s="146">
        <v>2016</v>
      </c>
      <c r="C7" s="146" t="s">
        <v>152</v>
      </c>
      <c r="D7" s="147">
        <v>40.299999999999997</v>
      </c>
      <c r="E7" s="149">
        <v>20.2</v>
      </c>
      <c r="F7" s="148">
        <v>1.4</v>
      </c>
      <c r="G7" s="122"/>
      <c r="H7" s="122"/>
      <c r="I7" s="149">
        <v>0.3</v>
      </c>
      <c r="J7" s="122"/>
      <c r="K7" s="148">
        <v>0</v>
      </c>
      <c r="L7" s="121"/>
      <c r="M7" s="122"/>
      <c r="N7" s="121"/>
      <c r="O7" s="149">
        <v>1.1000000000000001</v>
      </c>
      <c r="P7" s="149">
        <v>16.600000000000001</v>
      </c>
      <c r="Q7" s="148">
        <v>1.3</v>
      </c>
      <c r="R7" s="148">
        <v>0.7</v>
      </c>
      <c r="S7" s="121"/>
      <c r="T7" s="147">
        <v>21.4</v>
      </c>
      <c r="U7" s="122"/>
      <c r="V7" s="149">
        <v>0.1</v>
      </c>
      <c r="W7" s="148">
        <v>0.5</v>
      </c>
      <c r="X7" s="121"/>
      <c r="Y7" s="149">
        <v>0.2</v>
      </c>
      <c r="Z7" s="148">
        <v>0.2</v>
      </c>
      <c r="AA7" s="122"/>
      <c r="AB7" s="148">
        <v>0.6</v>
      </c>
      <c r="AC7" s="148">
        <v>10.1</v>
      </c>
      <c r="AD7" s="149">
        <v>8.3000000000000007</v>
      </c>
      <c r="AE7" s="122"/>
      <c r="AF7" s="122"/>
      <c r="AG7" s="148">
        <v>1.4</v>
      </c>
      <c r="AH7" s="122"/>
      <c r="AI7" s="147">
        <v>61.6</v>
      </c>
      <c r="AJ7" s="148">
        <v>2.9</v>
      </c>
      <c r="AK7">
        <v>63.1</v>
      </c>
      <c r="AL7" s="148">
        <v>-0.8</v>
      </c>
    </row>
    <row r="8" spans="1:38" ht="15" x14ac:dyDescent="0.25">
      <c r="A8" s="119" t="s">
        <v>198</v>
      </c>
      <c r="B8" s="146">
        <v>2016</v>
      </c>
      <c r="C8" s="146" t="s">
        <v>152</v>
      </c>
      <c r="D8" s="151">
        <v>4.5</v>
      </c>
      <c r="E8" s="128"/>
      <c r="F8" s="152">
        <v>4.5</v>
      </c>
      <c r="G8" s="130"/>
      <c r="H8" s="130"/>
      <c r="I8" s="128"/>
      <c r="J8" s="130"/>
      <c r="K8" s="152">
        <v>4.5</v>
      </c>
      <c r="L8" s="128"/>
      <c r="M8" s="130"/>
      <c r="N8" s="128"/>
      <c r="O8" s="128"/>
      <c r="P8" s="128"/>
      <c r="Q8" s="130"/>
      <c r="R8" s="130"/>
      <c r="S8" s="128"/>
      <c r="T8" s="153">
        <v>0.2</v>
      </c>
      <c r="U8" s="136"/>
      <c r="V8" s="158">
        <v>0.2</v>
      </c>
      <c r="W8" s="136"/>
      <c r="X8" s="134"/>
      <c r="Y8" s="134"/>
      <c r="Z8" s="136"/>
      <c r="AA8" s="136"/>
      <c r="AB8" s="136"/>
      <c r="AC8" s="136"/>
      <c r="AD8" s="134"/>
      <c r="AE8" s="136"/>
      <c r="AF8" s="136"/>
      <c r="AG8" s="136"/>
      <c r="AH8" s="136"/>
      <c r="AI8" s="155">
        <v>4.7</v>
      </c>
      <c r="AJ8" s="141"/>
      <c r="AK8">
        <v>4.7</v>
      </c>
      <c r="AL8" s="156">
        <v>7.9</v>
      </c>
    </row>
    <row r="9" spans="1:38" ht="15" x14ac:dyDescent="0.25">
      <c r="A9" s="119" t="s">
        <v>104</v>
      </c>
      <c r="B9" s="146">
        <v>2016</v>
      </c>
      <c r="C9" s="146" t="s">
        <v>152</v>
      </c>
      <c r="D9" s="147">
        <v>68.5</v>
      </c>
      <c r="E9" s="149">
        <v>22.7</v>
      </c>
      <c r="F9" s="148">
        <v>44.6</v>
      </c>
      <c r="G9" s="148">
        <v>32.9</v>
      </c>
      <c r="H9" s="122"/>
      <c r="I9" s="149">
        <v>6.3</v>
      </c>
      <c r="J9" s="148">
        <v>5.2</v>
      </c>
      <c r="K9" s="148">
        <v>0</v>
      </c>
      <c r="L9" s="121"/>
      <c r="M9" s="122"/>
      <c r="N9" s="121"/>
      <c r="O9" s="149">
        <v>0.2</v>
      </c>
      <c r="P9" s="149">
        <v>1.2</v>
      </c>
      <c r="Q9" s="122"/>
      <c r="R9" s="122"/>
      <c r="S9" s="121"/>
      <c r="T9" s="147">
        <v>8.8000000000000007</v>
      </c>
      <c r="U9" s="122"/>
      <c r="V9" s="149">
        <v>0.5</v>
      </c>
      <c r="W9" s="148">
        <v>2.1</v>
      </c>
      <c r="X9" s="121"/>
      <c r="Y9" s="149">
        <v>1.9</v>
      </c>
      <c r="Z9" s="148">
        <v>2.4</v>
      </c>
      <c r="AA9" s="122"/>
      <c r="AB9" s="122"/>
      <c r="AC9" s="148">
        <v>1.3</v>
      </c>
      <c r="AD9" s="149">
        <v>0.7</v>
      </c>
      <c r="AE9" s="122"/>
      <c r="AF9" s="122"/>
      <c r="AG9" s="122"/>
      <c r="AH9" s="122"/>
      <c r="AI9" s="147">
        <v>77.400000000000006</v>
      </c>
      <c r="AJ9" s="148">
        <v>1.6</v>
      </c>
      <c r="AK9">
        <v>64.900000000000006</v>
      </c>
      <c r="AL9" s="148">
        <v>1.9</v>
      </c>
    </row>
    <row r="10" spans="1:38" s="166" customFormat="1" ht="15" x14ac:dyDescent="0.25">
      <c r="A10" s="119" t="s">
        <v>105</v>
      </c>
      <c r="B10" s="146">
        <v>2016</v>
      </c>
      <c r="C10" s="146" t="s">
        <v>152</v>
      </c>
      <c r="D10" s="218">
        <v>428.3</v>
      </c>
      <c r="E10" s="219">
        <v>80</v>
      </c>
      <c r="F10" s="219">
        <v>337.3</v>
      </c>
      <c r="G10" s="219">
        <v>138.4</v>
      </c>
      <c r="H10" s="220"/>
      <c r="I10" s="219">
        <v>91.1</v>
      </c>
      <c r="J10" s="219">
        <v>100.5</v>
      </c>
      <c r="K10" s="219">
        <v>4.3</v>
      </c>
      <c r="L10" s="220"/>
      <c r="M10" s="220"/>
      <c r="N10" s="219">
        <v>3.1</v>
      </c>
      <c r="O10" s="220"/>
      <c r="P10" s="219">
        <v>5.5</v>
      </c>
      <c r="Q10" s="219">
        <v>0.5</v>
      </c>
      <c r="R10" s="219">
        <v>5</v>
      </c>
      <c r="S10" s="220"/>
      <c r="T10" s="221">
        <v>181.3</v>
      </c>
      <c r="U10" s="222">
        <v>12.1</v>
      </c>
      <c r="V10" s="222">
        <v>66.099999999999994</v>
      </c>
      <c r="W10" s="222">
        <v>34.9</v>
      </c>
      <c r="X10" s="223"/>
      <c r="Y10" s="222">
        <v>40.700000000000003</v>
      </c>
      <c r="Z10" s="223"/>
      <c r="AA10" s="222">
        <v>0.2</v>
      </c>
      <c r="AB10" s="222">
        <v>5</v>
      </c>
      <c r="AC10" s="222">
        <v>0.6</v>
      </c>
      <c r="AD10" s="222">
        <v>20.3</v>
      </c>
      <c r="AE10" s="223"/>
      <c r="AF10" s="223"/>
      <c r="AG10" s="222">
        <v>1.5</v>
      </c>
      <c r="AH10" s="223"/>
      <c r="AI10" s="224">
        <v>609.6</v>
      </c>
      <c r="AJ10" s="225">
        <v>7.5</v>
      </c>
      <c r="AK10">
        <v>548.4</v>
      </c>
      <c r="AL10" s="225">
        <v>2.2000000000000002</v>
      </c>
    </row>
    <row r="11" spans="1:38" ht="15" x14ac:dyDescent="0.25">
      <c r="A11" s="119" t="s">
        <v>106</v>
      </c>
      <c r="B11" s="146">
        <v>2016</v>
      </c>
      <c r="C11" s="146" t="s">
        <v>152</v>
      </c>
      <c r="D11" s="147">
        <v>10.5</v>
      </c>
      <c r="E11" s="121"/>
      <c r="F11" s="148">
        <v>10.5</v>
      </c>
      <c r="G11" s="122"/>
      <c r="H11" s="122"/>
      <c r="I11" s="149">
        <v>2.2000000000000002</v>
      </c>
      <c r="J11" s="148">
        <v>8.1</v>
      </c>
      <c r="K11" s="148">
        <v>0.1</v>
      </c>
      <c r="L11" s="121"/>
      <c r="M11" s="122"/>
      <c r="N11" s="121"/>
      <c r="O11" s="121"/>
      <c r="P11" s="121"/>
      <c r="Q11" s="122"/>
      <c r="R11" s="122"/>
      <c r="S11" s="121"/>
      <c r="T11" s="147">
        <v>18.5</v>
      </c>
      <c r="U11" s="148">
        <v>4.7</v>
      </c>
      <c r="V11" s="149">
        <v>8.1</v>
      </c>
      <c r="W11" s="148">
        <v>0.7</v>
      </c>
      <c r="X11" s="121"/>
      <c r="Y11" s="149">
        <v>3</v>
      </c>
      <c r="Z11" s="148">
        <v>0.5</v>
      </c>
      <c r="AA11" s="122"/>
      <c r="AB11" s="148">
        <v>1.4</v>
      </c>
      <c r="AC11" s="122"/>
      <c r="AD11" s="149">
        <v>0</v>
      </c>
      <c r="AE11" s="122"/>
      <c r="AF11" s="122"/>
      <c r="AG11" s="122"/>
      <c r="AH11" s="122"/>
      <c r="AI11" s="147">
        <v>28.9</v>
      </c>
      <c r="AJ11" s="122"/>
      <c r="AK11">
        <v>34.700000000000003</v>
      </c>
      <c r="AL11" s="148">
        <v>2.2000000000000002</v>
      </c>
    </row>
    <row r="12" spans="1:38" ht="15" x14ac:dyDescent="0.25">
      <c r="A12" s="119" t="s">
        <v>199</v>
      </c>
      <c r="B12" s="146">
        <v>2016</v>
      </c>
      <c r="C12" s="146" t="s">
        <v>152</v>
      </c>
      <c r="D12" s="151">
        <v>9</v>
      </c>
      <c r="E12" s="128"/>
      <c r="F12" s="152">
        <v>9</v>
      </c>
      <c r="G12" s="130"/>
      <c r="H12" s="130"/>
      <c r="I12" s="128"/>
      <c r="J12" s="130"/>
      <c r="K12" s="130"/>
      <c r="L12" s="157">
        <v>9</v>
      </c>
      <c r="M12" s="130"/>
      <c r="N12" s="128"/>
      <c r="O12" s="128"/>
      <c r="P12" s="128"/>
      <c r="Q12" s="130"/>
      <c r="R12" s="130"/>
      <c r="S12" s="128"/>
      <c r="T12" s="153">
        <v>1.4</v>
      </c>
      <c r="U12" s="136"/>
      <c r="V12" s="158">
        <v>0.6</v>
      </c>
      <c r="W12" s="154">
        <v>0</v>
      </c>
      <c r="X12" s="134"/>
      <c r="Y12" s="158">
        <v>0.7</v>
      </c>
      <c r="Z12" s="154">
        <v>0</v>
      </c>
      <c r="AA12" s="136"/>
      <c r="AB12" s="154">
        <v>0.1</v>
      </c>
      <c r="AC12" s="136"/>
      <c r="AD12" s="158">
        <v>0</v>
      </c>
      <c r="AE12" s="136"/>
      <c r="AF12" s="136"/>
      <c r="AG12" s="136"/>
      <c r="AH12" s="136"/>
      <c r="AI12" s="155">
        <v>10.4</v>
      </c>
      <c r="AJ12" s="141"/>
      <c r="AK12">
        <v>8.4</v>
      </c>
      <c r="AL12" s="156">
        <v>2.4</v>
      </c>
    </row>
    <row r="13" spans="1:38" ht="15" x14ac:dyDescent="0.25">
      <c r="A13" s="119" t="s">
        <v>107</v>
      </c>
      <c r="B13" s="146">
        <v>2016</v>
      </c>
      <c r="C13" s="146" t="s">
        <v>152</v>
      </c>
      <c r="D13" s="147">
        <v>161.4</v>
      </c>
      <c r="E13" s="149">
        <v>56.1</v>
      </c>
      <c r="F13" s="148">
        <v>99.1</v>
      </c>
      <c r="G13" s="148">
        <v>3.3</v>
      </c>
      <c r="H13" s="122"/>
      <c r="I13" s="149">
        <v>51.2</v>
      </c>
      <c r="J13" s="148">
        <v>34.200000000000003</v>
      </c>
      <c r="K13" s="148">
        <v>10.4</v>
      </c>
      <c r="L13" s="121"/>
      <c r="M13" s="122"/>
      <c r="N13" s="121"/>
      <c r="O13" s="121"/>
      <c r="P13" s="149">
        <v>2.6</v>
      </c>
      <c r="Q13" s="148">
        <v>0.8</v>
      </c>
      <c r="R13" s="148">
        <v>2.6</v>
      </c>
      <c r="S13" s="149">
        <v>0.2</v>
      </c>
      <c r="T13" s="147">
        <v>100.8</v>
      </c>
      <c r="U13" s="122"/>
      <c r="V13" s="149">
        <v>47.7</v>
      </c>
      <c r="W13" s="148">
        <v>8</v>
      </c>
      <c r="X13" s="149">
        <v>5.0999999999999996</v>
      </c>
      <c r="Y13" s="149">
        <v>2.4</v>
      </c>
      <c r="Z13" s="148">
        <v>1</v>
      </c>
      <c r="AA13" s="122"/>
      <c r="AB13" s="148">
        <v>0.8</v>
      </c>
      <c r="AC13" s="148">
        <v>23.8</v>
      </c>
      <c r="AD13" s="149">
        <v>8.1</v>
      </c>
      <c r="AE13" s="148">
        <v>3.9</v>
      </c>
      <c r="AF13" s="122"/>
      <c r="AG13" s="148">
        <v>0</v>
      </c>
      <c r="AH13" s="122"/>
      <c r="AI13" s="147">
        <v>262.2</v>
      </c>
      <c r="AJ13" s="148">
        <v>4.8</v>
      </c>
      <c r="AK13">
        <v>265</v>
      </c>
      <c r="AL13" s="148">
        <v>0.7</v>
      </c>
    </row>
    <row r="14" spans="1:38" ht="15" x14ac:dyDescent="0.25">
      <c r="A14" s="119" t="s">
        <v>108</v>
      </c>
      <c r="B14" s="146">
        <v>2016</v>
      </c>
      <c r="C14" s="146" t="s">
        <v>152</v>
      </c>
      <c r="D14" s="151">
        <v>36.6</v>
      </c>
      <c r="E14" s="157">
        <v>22.3</v>
      </c>
      <c r="F14" s="152">
        <v>13.4</v>
      </c>
      <c r="G14" s="130"/>
      <c r="H14" s="130"/>
      <c r="I14" s="157">
        <v>3.5</v>
      </c>
      <c r="J14" s="152">
        <v>6.9</v>
      </c>
      <c r="K14" s="152">
        <v>0.2</v>
      </c>
      <c r="L14" s="128"/>
      <c r="M14" s="152">
        <v>2.9</v>
      </c>
      <c r="N14" s="128"/>
      <c r="O14" s="128"/>
      <c r="P14" s="128"/>
      <c r="Q14" s="130"/>
      <c r="R14" s="130"/>
      <c r="S14" s="157">
        <v>0.9</v>
      </c>
      <c r="T14" s="153">
        <v>29.5</v>
      </c>
      <c r="U14" s="136"/>
      <c r="V14" s="158">
        <v>3.1</v>
      </c>
      <c r="W14" s="136"/>
      <c r="X14" s="134"/>
      <c r="Y14" s="158">
        <v>10.8</v>
      </c>
      <c r="Z14" s="136"/>
      <c r="AA14" s="136"/>
      <c r="AB14" s="136"/>
      <c r="AC14" s="136"/>
      <c r="AD14" s="158">
        <v>15.6</v>
      </c>
      <c r="AE14" s="136"/>
      <c r="AF14" s="136"/>
      <c r="AG14" s="136"/>
      <c r="AH14" s="136"/>
      <c r="AI14" s="155">
        <v>66</v>
      </c>
      <c r="AJ14" s="141"/>
      <c r="AK14">
        <v>85</v>
      </c>
      <c r="AL14" s="156">
        <v>3.1</v>
      </c>
    </row>
    <row r="15" spans="1:38" ht="15" x14ac:dyDescent="0.25">
      <c r="A15" s="119" t="s">
        <v>109</v>
      </c>
      <c r="B15" s="146">
        <v>2016</v>
      </c>
      <c r="C15" s="146" t="s">
        <v>152</v>
      </c>
      <c r="D15" s="147">
        <v>436.5</v>
      </c>
      <c r="E15" s="149">
        <v>384</v>
      </c>
      <c r="F15" s="148">
        <v>45.9</v>
      </c>
      <c r="G15" s="122"/>
      <c r="H15" s="122"/>
      <c r="I15" s="149">
        <v>35.1</v>
      </c>
      <c r="J15" s="148">
        <v>7.3</v>
      </c>
      <c r="K15" s="148">
        <v>3.5</v>
      </c>
      <c r="L15" s="121"/>
      <c r="M15" s="122"/>
      <c r="N15" s="121"/>
      <c r="O15" s="121"/>
      <c r="P15" s="121"/>
      <c r="Q15" s="148">
        <v>4.7</v>
      </c>
      <c r="R15" s="148">
        <v>2</v>
      </c>
      <c r="S15" s="121"/>
      <c r="T15" s="147">
        <v>94.9</v>
      </c>
      <c r="U15" s="122"/>
      <c r="V15" s="149">
        <v>20.7</v>
      </c>
      <c r="W15" s="148">
        <v>8.4</v>
      </c>
      <c r="X15" s="121"/>
      <c r="Y15" s="149">
        <v>2.2000000000000002</v>
      </c>
      <c r="Z15" s="148">
        <v>2</v>
      </c>
      <c r="AA15" s="122"/>
      <c r="AB15" s="148">
        <v>2.2999999999999998</v>
      </c>
      <c r="AC15" s="122"/>
      <c r="AD15" s="149">
        <v>32.5</v>
      </c>
      <c r="AE15" s="148">
        <v>26.8</v>
      </c>
      <c r="AF15" s="122"/>
      <c r="AG15" s="122"/>
      <c r="AH15" s="122"/>
      <c r="AI15" s="147">
        <v>531.4</v>
      </c>
      <c r="AJ15" s="148">
        <v>6.7</v>
      </c>
      <c r="AK15">
        <v>483.1</v>
      </c>
      <c r="AL15" s="148">
        <v>1.5</v>
      </c>
    </row>
    <row r="16" spans="1:38" ht="15" x14ac:dyDescent="0.25">
      <c r="A16" s="119" t="s">
        <v>110</v>
      </c>
      <c r="B16" s="146">
        <v>2016</v>
      </c>
      <c r="C16" s="146" t="s">
        <v>152</v>
      </c>
      <c r="D16" s="151">
        <v>247.2</v>
      </c>
      <c r="E16" s="157">
        <v>66.8</v>
      </c>
      <c r="F16" s="152">
        <v>180.4</v>
      </c>
      <c r="G16" s="130"/>
      <c r="H16" s="130"/>
      <c r="I16" s="157">
        <v>150.1</v>
      </c>
      <c r="J16" s="152">
        <v>30.2</v>
      </c>
      <c r="K16" s="152">
        <v>0.1</v>
      </c>
      <c r="L16" s="128"/>
      <c r="M16" s="130"/>
      <c r="N16" s="128"/>
      <c r="O16" s="128"/>
      <c r="P16" s="128"/>
      <c r="Q16" s="130"/>
      <c r="R16" s="130"/>
      <c r="S16" s="128"/>
      <c r="T16" s="153">
        <v>73.099999999999994</v>
      </c>
      <c r="U16" s="154">
        <v>12.7</v>
      </c>
      <c r="V16" s="158">
        <v>25.3</v>
      </c>
      <c r="W16" s="154">
        <v>9.6</v>
      </c>
      <c r="X16" s="134"/>
      <c r="Y16" s="158">
        <v>18</v>
      </c>
      <c r="Z16" s="136"/>
      <c r="AA16" s="136"/>
      <c r="AB16" s="154">
        <v>0.1</v>
      </c>
      <c r="AC16" s="154">
        <v>3</v>
      </c>
      <c r="AD16" s="134"/>
      <c r="AE16" s="154">
        <v>4.5</v>
      </c>
      <c r="AF16" s="136"/>
      <c r="AG16" s="136"/>
      <c r="AH16" s="136"/>
      <c r="AI16" s="155">
        <v>320.3</v>
      </c>
      <c r="AJ16" s="156">
        <v>4</v>
      </c>
      <c r="AK16">
        <v>334</v>
      </c>
      <c r="AL16" s="156">
        <v>-1.2</v>
      </c>
    </row>
    <row r="17" spans="1:38" ht="15" x14ac:dyDescent="0.25">
      <c r="A17" s="119" t="s">
        <v>111</v>
      </c>
      <c r="B17" s="146">
        <v>2016</v>
      </c>
      <c r="C17" s="146" t="s">
        <v>152</v>
      </c>
      <c r="D17" s="147">
        <v>27.4</v>
      </c>
      <c r="E17" s="121"/>
      <c r="F17" s="148">
        <v>27.4</v>
      </c>
      <c r="G17" s="148">
        <v>14.9</v>
      </c>
      <c r="H17" s="122"/>
      <c r="I17" s="149">
        <v>12.5</v>
      </c>
      <c r="J17" s="122"/>
      <c r="K17" s="122"/>
      <c r="L17" s="121"/>
      <c r="M17" s="122"/>
      <c r="N17" s="121"/>
      <c r="O17" s="121"/>
      <c r="P17" s="121"/>
      <c r="Q17" s="148">
        <v>0</v>
      </c>
      <c r="R17" s="122"/>
      <c r="S17" s="121"/>
      <c r="T17" s="147">
        <v>15.1</v>
      </c>
      <c r="U17" s="122"/>
      <c r="V17" s="149">
        <v>4.3</v>
      </c>
      <c r="W17" s="148">
        <v>3.7</v>
      </c>
      <c r="X17" s="121"/>
      <c r="Y17" s="149">
        <v>0.3</v>
      </c>
      <c r="Z17" s="122"/>
      <c r="AA17" s="122"/>
      <c r="AB17" s="122"/>
      <c r="AC17" s="148">
        <v>4.2</v>
      </c>
      <c r="AD17" s="149">
        <v>0.7</v>
      </c>
      <c r="AE17" s="148">
        <v>0.6</v>
      </c>
      <c r="AF17" s="122"/>
      <c r="AG17" s="148">
        <v>1.3</v>
      </c>
      <c r="AH17" s="122"/>
      <c r="AI17" s="147">
        <v>42.5</v>
      </c>
      <c r="AJ17" s="148">
        <v>0</v>
      </c>
      <c r="AK17">
        <v>51.3</v>
      </c>
      <c r="AL17" s="148">
        <v>-0.1</v>
      </c>
    </row>
    <row r="18" spans="1:38" ht="15" x14ac:dyDescent="0.25">
      <c r="A18" s="119" t="s">
        <v>112</v>
      </c>
      <c r="B18" s="146">
        <v>2016</v>
      </c>
      <c r="C18" s="146" t="s">
        <v>152</v>
      </c>
      <c r="D18" s="151">
        <v>3.7</v>
      </c>
      <c r="E18" s="128"/>
      <c r="F18" s="152">
        <v>3.7</v>
      </c>
      <c r="G18" s="130"/>
      <c r="H18" s="130"/>
      <c r="I18" s="157">
        <v>1.3</v>
      </c>
      <c r="J18" s="152">
        <v>2.4</v>
      </c>
      <c r="K18" s="130"/>
      <c r="L18" s="128"/>
      <c r="M18" s="130"/>
      <c r="N18" s="128"/>
      <c r="O18" s="128"/>
      <c r="P18" s="128"/>
      <c r="Q18" s="130"/>
      <c r="R18" s="130"/>
      <c r="S18" s="128"/>
      <c r="T18" s="153">
        <v>7.6</v>
      </c>
      <c r="U18" s="136"/>
      <c r="V18" s="158">
        <v>1</v>
      </c>
      <c r="W18" s="154">
        <v>0.1</v>
      </c>
      <c r="X18" s="134"/>
      <c r="Y18" s="158">
        <v>0.1</v>
      </c>
      <c r="Z18" s="154">
        <v>0.2</v>
      </c>
      <c r="AA18" s="136"/>
      <c r="AB18" s="136"/>
      <c r="AC18" s="154">
        <v>3.7</v>
      </c>
      <c r="AD18" s="158">
        <v>1.8</v>
      </c>
      <c r="AE18" s="154">
        <v>0.6</v>
      </c>
      <c r="AF18" s="136"/>
      <c r="AG18" s="154">
        <v>0.1</v>
      </c>
      <c r="AH18" s="136"/>
      <c r="AI18" s="155">
        <v>11.3</v>
      </c>
      <c r="AJ18" s="156">
        <v>0.3</v>
      </c>
      <c r="AK18">
        <v>17.3</v>
      </c>
      <c r="AL18" s="156">
        <v>-0.1</v>
      </c>
    </row>
    <row r="19" spans="1:38" ht="15" x14ac:dyDescent="0.25">
      <c r="A19" s="119" t="s">
        <v>113</v>
      </c>
      <c r="B19" s="146">
        <v>2016</v>
      </c>
      <c r="C19" s="146" t="s">
        <v>152</v>
      </c>
      <c r="D19" s="147">
        <v>25.1</v>
      </c>
      <c r="E19" s="149">
        <v>15.1</v>
      </c>
      <c r="F19" s="148">
        <v>10</v>
      </c>
      <c r="G19" s="148">
        <v>5.4</v>
      </c>
      <c r="H19" s="122"/>
      <c r="I19" s="149">
        <v>4.5</v>
      </c>
      <c r="J19" s="148">
        <v>0.1</v>
      </c>
      <c r="K19" s="148">
        <v>0</v>
      </c>
      <c r="L19" s="121"/>
      <c r="M19" s="122"/>
      <c r="N19" s="121"/>
      <c r="O19" s="121"/>
      <c r="P19" s="121"/>
      <c r="Q19" s="122"/>
      <c r="R19" s="122"/>
      <c r="S19" s="121"/>
      <c r="T19" s="147">
        <v>3</v>
      </c>
      <c r="U19" s="122"/>
      <c r="V19" s="149">
        <v>0.7</v>
      </c>
      <c r="W19" s="148">
        <v>0</v>
      </c>
      <c r="X19" s="121"/>
      <c r="Y19" s="149">
        <v>1.5</v>
      </c>
      <c r="Z19" s="148">
        <v>0.2</v>
      </c>
      <c r="AA19" s="122"/>
      <c r="AB19" s="148">
        <v>0.4</v>
      </c>
      <c r="AC19" s="122"/>
      <c r="AD19" s="149">
        <v>0.3</v>
      </c>
      <c r="AE19" s="122"/>
      <c r="AF19" s="122"/>
      <c r="AG19" s="122"/>
      <c r="AH19" s="122"/>
      <c r="AI19" s="147">
        <v>28.1</v>
      </c>
      <c r="AJ19" s="122"/>
      <c r="AK19">
        <v>40.9</v>
      </c>
      <c r="AL19" s="148">
        <v>0.3</v>
      </c>
    </row>
    <row r="20" spans="1:38" ht="15" x14ac:dyDescent="0.25">
      <c r="A20" s="119" t="s">
        <v>114</v>
      </c>
      <c r="B20" s="146">
        <v>2016</v>
      </c>
      <c r="C20" s="146" t="s">
        <v>152</v>
      </c>
      <c r="D20" s="151">
        <v>21.8</v>
      </c>
      <c r="E20" s="128"/>
      <c r="F20" s="152">
        <v>21.4</v>
      </c>
      <c r="G20" s="130"/>
      <c r="H20" s="130"/>
      <c r="I20" s="157">
        <v>14.2</v>
      </c>
      <c r="J20" s="152">
        <v>4.5999999999999996</v>
      </c>
      <c r="K20" s="152">
        <v>0.1</v>
      </c>
      <c r="L20" s="128"/>
      <c r="M20" s="152">
        <v>2.5</v>
      </c>
      <c r="N20" s="128"/>
      <c r="O20" s="128"/>
      <c r="P20" s="157">
        <v>0.3</v>
      </c>
      <c r="Q20" s="130"/>
      <c r="R20" s="152">
        <v>0.1</v>
      </c>
      <c r="S20" s="128"/>
      <c r="T20" s="153">
        <v>7</v>
      </c>
      <c r="U20" s="136"/>
      <c r="V20" s="158">
        <v>6.1</v>
      </c>
      <c r="W20" s="136"/>
      <c r="X20" s="134"/>
      <c r="Y20" s="134"/>
      <c r="Z20" s="136"/>
      <c r="AA20" s="136"/>
      <c r="AB20" s="154">
        <v>0.1</v>
      </c>
      <c r="AC20" s="136"/>
      <c r="AD20" s="158">
        <v>0.7</v>
      </c>
      <c r="AE20" s="136"/>
      <c r="AF20" s="136"/>
      <c r="AG20" s="154">
        <v>0.2</v>
      </c>
      <c r="AH20" s="136"/>
      <c r="AI20" s="155">
        <v>28.8</v>
      </c>
      <c r="AJ20" s="156">
        <v>0.5</v>
      </c>
      <c r="AK20">
        <v>27.6</v>
      </c>
      <c r="AL20" s="156">
        <v>2</v>
      </c>
    </row>
    <row r="21" spans="1:38" ht="15" x14ac:dyDescent="0.25">
      <c r="A21" s="119" t="s">
        <v>200</v>
      </c>
      <c r="B21" s="146">
        <v>2016</v>
      </c>
      <c r="C21" s="146" t="s">
        <v>152</v>
      </c>
      <c r="D21" s="147">
        <v>0</v>
      </c>
      <c r="E21" s="121"/>
      <c r="F21" s="148">
        <v>0</v>
      </c>
      <c r="G21" s="122"/>
      <c r="H21" s="122"/>
      <c r="I21" s="121"/>
      <c r="J21" s="122"/>
      <c r="K21" s="148">
        <v>0</v>
      </c>
      <c r="L21" s="121"/>
      <c r="M21" s="122"/>
      <c r="N21" s="121"/>
      <c r="O21" s="121"/>
      <c r="P21" s="121"/>
      <c r="Q21" s="122"/>
      <c r="R21" s="122"/>
      <c r="S21" s="121"/>
      <c r="T21" s="147">
        <v>18.100000000000001</v>
      </c>
      <c r="U21" s="122"/>
      <c r="V21" s="149">
        <v>0</v>
      </c>
      <c r="W21" s="122"/>
      <c r="X21" s="121"/>
      <c r="Y21" s="121"/>
      <c r="Z21" s="122"/>
      <c r="AA21" s="148">
        <v>4.7</v>
      </c>
      <c r="AB21" s="122"/>
      <c r="AC21" s="148">
        <v>13.3</v>
      </c>
      <c r="AD21" s="149">
        <v>0.1</v>
      </c>
      <c r="AE21" s="122"/>
      <c r="AF21" s="122"/>
      <c r="AG21" s="122"/>
      <c r="AH21" s="122"/>
      <c r="AI21" s="147">
        <v>18.100000000000001</v>
      </c>
      <c r="AJ21" s="122"/>
      <c r="AK21">
        <v>18.100000000000001</v>
      </c>
      <c r="AL21" s="148">
        <v>-1.4</v>
      </c>
    </row>
    <row r="22" spans="1:38" ht="15" x14ac:dyDescent="0.25">
      <c r="A22" s="119" t="s">
        <v>115</v>
      </c>
      <c r="B22" s="146">
        <v>2016</v>
      </c>
      <c r="C22" s="146" t="s">
        <v>152</v>
      </c>
      <c r="D22" s="151">
        <v>168.2</v>
      </c>
      <c r="E22" s="128"/>
      <c r="F22" s="152">
        <v>156.5</v>
      </c>
      <c r="G22" s="130"/>
      <c r="H22" s="152">
        <v>2.1</v>
      </c>
      <c r="I22" s="157">
        <v>107.2</v>
      </c>
      <c r="J22" s="152">
        <v>41.8</v>
      </c>
      <c r="K22" s="152">
        <v>5.4</v>
      </c>
      <c r="L22" s="128"/>
      <c r="M22" s="130"/>
      <c r="N22" s="128"/>
      <c r="O22" s="128"/>
      <c r="P22" s="157">
        <v>1</v>
      </c>
      <c r="Q22" s="152">
        <v>0.3</v>
      </c>
      <c r="R22" s="152">
        <v>2.2999999999999998</v>
      </c>
      <c r="S22" s="157">
        <v>8.1</v>
      </c>
      <c r="T22" s="153">
        <v>105.6</v>
      </c>
      <c r="U22" s="136"/>
      <c r="V22" s="158">
        <v>17.399999999999999</v>
      </c>
      <c r="W22" s="154">
        <v>22.5</v>
      </c>
      <c r="X22" s="134"/>
      <c r="Y22" s="158">
        <v>8.5</v>
      </c>
      <c r="Z22" s="154">
        <v>7.9</v>
      </c>
      <c r="AA22" s="154">
        <v>5.9</v>
      </c>
      <c r="AB22" s="154">
        <v>2.2999999999999998</v>
      </c>
      <c r="AC22" s="154">
        <v>8.1</v>
      </c>
      <c r="AD22" s="158">
        <v>30.7</v>
      </c>
      <c r="AE22" s="154">
        <v>2.2000000000000002</v>
      </c>
      <c r="AF22" s="136"/>
      <c r="AG22" s="136"/>
      <c r="AH22" s="136"/>
      <c r="AI22" s="155">
        <v>273.8</v>
      </c>
      <c r="AJ22" s="156">
        <v>2.4</v>
      </c>
      <c r="AK22">
        <v>308.39999999999998</v>
      </c>
      <c r="AL22" s="156">
        <v>-2.7</v>
      </c>
    </row>
    <row r="23" spans="1:38" ht="15" x14ac:dyDescent="0.25">
      <c r="A23" s="119" t="s">
        <v>116</v>
      </c>
      <c r="B23" s="146">
        <v>2016</v>
      </c>
      <c r="C23" s="146" t="s">
        <v>152</v>
      </c>
      <c r="D23" s="147">
        <v>2</v>
      </c>
      <c r="E23" s="121"/>
      <c r="F23" s="148">
        <v>1.1000000000000001</v>
      </c>
      <c r="G23" s="122"/>
      <c r="H23" s="122"/>
      <c r="I23" s="149">
        <v>0.8</v>
      </c>
      <c r="J23" s="122"/>
      <c r="K23" s="122"/>
      <c r="L23" s="121"/>
      <c r="M23" s="122"/>
      <c r="N23" s="149">
        <v>0.2</v>
      </c>
      <c r="O23" s="121"/>
      <c r="P23" s="149">
        <v>0.6</v>
      </c>
      <c r="Q23" s="122"/>
      <c r="R23" s="148">
        <v>0.1</v>
      </c>
      <c r="S23" s="149">
        <v>0.2</v>
      </c>
      <c r="T23" s="147">
        <v>2</v>
      </c>
      <c r="U23" s="122"/>
      <c r="V23" s="149">
        <v>1.1000000000000001</v>
      </c>
      <c r="W23" s="148">
        <v>0.1</v>
      </c>
      <c r="X23" s="121"/>
      <c r="Y23" s="149">
        <v>0.2</v>
      </c>
      <c r="Z23" s="148">
        <v>0.1</v>
      </c>
      <c r="AA23" s="122"/>
      <c r="AB23" s="148">
        <v>0.1</v>
      </c>
      <c r="AC23" s="122"/>
      <c r="AD23" s="149">
        <v>0.4</v>
      </c>
      <c r="AE23" s="122"/>
      <c r="AF23" s="122"/>
      <c r="AG23" s="122"/>
      <c r="AH23" s="122"/>
      <c r="AI23" s="147">
        <v>4</v>
      </c>
      <c r="AJ23" s="148">
        <v>0.8</v>
      </c>
      <c r="AK23">
        <v>11.4</v>
      </c>
      <c r="AL23" s="148">
        <v>5.3</v>
      </c>
    </row>
    <row r="24" spans="1:38" ht="15" x14ac:dyDescent="0.25">
      <c r="A24" s="119" t="s">
        <v>117</v>
      </c>
      <c r="B24" s="146">
        <v>2016</v>
      </c>
      <c r="C24" s="146" t="s">
        <v>152</v>
      </c>
      <c r="D24" s="151">
        <v>1.8</v>
      </c>
      <c r="E24" s="128"/>
      <c r="F24" s="152">
        <v>0.3</v>
      </c>
      <c r="G24" s="130"/>
      <c r="H24" s="130"/>
      <c r="I24" s="157">
        <v>0.3</v>
      </c>
      <c r="J24" s="130"/>
      <c r="K24" s="130"/>
      <c r="L24" s="128"/>
      <c r="M24" s="130"/>
      <c r="N24" s="128"/>
      <c r="O24" s="128"/>
      <c r="P24" s="157">
        <v>1.4</v>
      </c>
      <c r="Q24" s="130"/>
      <c r="R24" s="152">
        <v>0.1</v>
      </c>
      <c r="S24" s="128"/>
      <c r="T24" s="153">
        <v>0.3</v>
      </c>
      <c r="U24" s="136"/>
      <c r="V24" s="158">
        <v>0.1</v>
      </c>
      <c r="W24" s="154">
        <v>0.1</v>
      </c>
      <c r="X24" s="134"/>
      <c r="Y24" s="134"/>
      <c r="Z24" s="154">
        <v>0.1</v>
      </c>
      <c r="AA24" s="136"/>
      <c r="AB24" s="136"/>
      <c r="AC24" s="154">
        <v>0</v>
      </c>
      <c r="AD24" s="158">
        <v>0.1</v>
      </c>
      <c r="AE24" s="136"/>
      <c r="AF24" s="136"/>
      <c r="AG24" s="136"/>
      <c r="AH24" s="136"/>
      <c r="AI24" s="155">
        <v>2.1</v>
      </c>
      <c r="AJ24" s="156">
        <v>1.9</v>
      </c>
      <c r="AK24">
        <v>6.5</v>
      </c>
      <c r="AL24" s="156">
        <v>2.5</v>
      </c>
    </row>
    <row r="25" spans="1:38" ht="15" x14ac:dyDescent="0.25">
      <c r="A25" s="119" t="s">
        <v>201</v>
      </c>
      <c r="B25" s="146">
        <v>2016</v>
      </c>
      <c r="C25" s="146" t="s">
        <v>152</v>
      </c>
      <c r="D25" s="147">
        <v>2.9</v>
      </c>
      <c r="E25" s="121"/>
      <c r="F25" s="148">
        <v>2.9</v>
      </c>
      <c r="G25" s="122"/>
      <c r="H25" s="122"/>
      <c r="I25" s="149">
        <v>2.2000000000000002</v>
      </c>
      <c r="J25" s="122"/>
      <c r="K25" s="122"/>
      <c r="L25" s="121"/>
      <c r="M25" s="122"/>
      <c r="N25" s="149">
        <v>0.6</v>
      </c>
      <c r="O25" s="121"/>
      <c r="P25" s="121"/>
      <c r="Q25" s="122"/>
      <c r="R25" s="122"/>
      <c r="S25" s="121"/>
      <c r="T25" s="147">
        <v>3.4</v>
      </c>
      <c r="U25" s="122"/>
      <c r="V25" s="149">
        <v>0.1</v>
      </c>
      <c r="W25" s="122"/>
      <c r="X25" s="121"/>
      <c r="Y25" s="149">
        <v>0.4</v>
      </c>
      <c r="Z25" s="148">
        <v>0.4</v>
      </c>
      <c r="AA25" s="122"/>
      <c r="AB25" s="122"/>
      <c r="AC25" s="122"/>
      <c r="AD25" s="149">
        <v>2.5</v>
      </c>
      <c r="AE25" s="122"/>
      <c r="AF25" s="122"/>
      <c r="AG25" s="122"/>
      <c r="AH25" s="122"/>
      <c r="AI25" s="147">
        <v>6.3</v>
      </c>
      <c r="AJ25" s="122"/>
      <c r="AK25">
        <v>7.3</v>
      </c>
      <c r="AL25" s="148">
        <v>1.7</v>
      </c>
    </row>
    <row r="26" spans="1:38" ht="15" x14ac:dyDescent="0.25">
      <c r="A26" s="119" t="s">
        <v>118</v>
      </c>
      <c r="B26" s="146">
        <v>2016</v>
      </c>
      <c r="C26" s="146" t="s">
        <v>152</v>
      </c>
      <c r="D26" s="151">
        <v>1.5</v>
      </c>
      <c r="E26" s="128"/>
      <c r="F26" s="152">
        <v>1.2</v>
      </c>
      <c r="G26" s="152">
        <v>1.2</v>
      </c>
      <c r="H26" s="130"/>
      <c r="I26" s="128"/>
      <c r="J26" s="130"/>
      <c r="K26" s="130"/>
      <c r="L26" s="128"/>
      <c r="M26" s="130"/>
      <c r="N26" s="128"/>
      <c r="O26" s="128"/>
      <c r="P26" s="128"/>
      <c r="Q26" s="152">
        <v>0.4</v>
      </c>
      <c r="R26" s="130"/>
      <c r="S26" s="128"/>
      <c r="T26" s="153">
        <v>1.4</v>
      </c>
      <c r="U26" s="136"/>
      <c r="V26" s="134"/>
      <c r="W26" s="136"/>
      <c r="X26" s="134"/>
      <c r="Y26" s="134"/>
      <c r="Z26" s="136"/>
      <c r="AA26" s="136"/>
      <c r="AB26" s="136"/>
      <c r="AC26" s="154">
        <v>1.4</v>
      </c>
      <c r="AD26" s="134"/>
      <c r="AE26" s="136"/>
      <c r="AF26" s="136"/>
      <c r="AG26" s="136"/>
      <c r="AH26" s="136"/>
      <c r="AI26" s="155">
        <v>2.9</v>
      </c>
      <c r="AJ26" s="141"/>
      <c r="AK26">
        <v>3.2</v>
      </c>
      <c r="AL26" s="156">
        <v>-5.6</v>
      </c>
    </row>
    <row r="27" spans="1:38" ht="15" x14ac:dyDescent="0.25">
      <c r="A27" s="119" t="s">
        <v>119</v>
      </c>
      <c r="B27" s="146">
        <v>2016</v>
      </c>
      <c r="C27" s="146" t="s">
        <v>152</v>
      </c>
      <c r="D27" s="147">
        <v>3.3</v>
      </c>
      <c r="E27" s="121"/>
      <c r="F27" s="148">
        <v>3.3</v>
      </c>
      <c r="G27" s="148">
        <v>2.8</v>
      </c>
      <c r="H27" s="122"/>
      <c r="I27" s="149">
        <v>0.6</v>
      </c>
      <c r="J27" s="122"/>
      <c r="K27" s="122"/>
      <c r="L27" s="121"/>
      <c r="M27" s="122"/>
      <c r="N27" s="121"/>
      <c r="O27" s="121"/>
      <c r="P27" s="121"/>
      <c r="Q27" s="122"/>
      <c r="R27" s="122"/>
      <c r="S27" s="121"/>
      <c r="T27" s="147">
        <v>1.7</v>
      </c>
      <c r="U27" s="122"/>
      <c r="V27" s="149">
        <v>0.1</v>
      </c>
      <c r="W27" s="148">
        <v>0</v>
      </c>
      <c r="X27" s="121"/>
      <c r="Y27" s="121"/>
      <c r="Z27" s="148">
        <v>0</v>
      </c>
      <c r="AA27" s="122"/>
      <c r="AB27" s="122"/>
      <c r="AC27" s="148">
        <v>1.5</v>
      </c>
      <c r="AD27" s="149">
        <v>0.1</v>
      </c>
      <c r="AE27" s="122"/>
      <c r="AF27" s="122"/>
      <c r="AG27" s="122"/>
      <c r="AH27" s="122"/>
      <c r="AI27" s="147">
        <v>5.0999999999999996</v>
      </c>
      <c r="AJ27" s="122"/>
      <c r="AK27">
        <v>7.1</v>
      </c>
      <c r="AL27" s="148">
        <v>-4.9000000000000004</v>
      </c>
    </row>
    <row r="28" spans="1:38" ht="15" x14ac:dyDescent="0.25">
      <c r="A28" s="119" t="s">
        <v>120</v>
      </c>
      <c r="B28" s="146">
        <v>2016</v>
      </c>
      <c r="C28" s="146" t="s">
        <v>152</v>
      </c>
      <c r="D28" s="151">
        <v>96.7</v>
      </c>
      <c r="E28" s="157">
        <v>3.1</v>
      </c>
      <c r="F28" s="152">
        <v>93.6</v>
      </c>
      <c r="G28" s="130"/>
      <c r="H28" s="130"/>
      <c r="I28" s="157">
        <v>73</v>
      </c>
      <c r="J28" s="152">
        <v>20.6</v>
      </c>
      <c r="K28" s="130"/>
      <c r="L28" s="128"/>
      <c r="M28" s="130"/>
      <c r="N28" s="128"/>
      <c r="O28" s="128"/>
      <c r="P28" s="128"/>
      <c r="Q28" s="130"/>
      <c r="R28" s="130"/>
      <c r="S28" s="128"/>
      <c r="T28" s="153">
        <v>12.9</v>
      </c>
      <c r="U28" s="154">
        <v>2</v>
      </c>
      <c r="V28" s="158">
        <v>5.8</v>
      </c>
      <c r="W28" s="154">
        <v>1.5</v>
      </c>
      <c r="X28" s="134"/>
      <c r="Y28" s="158">
        <v>3.5</v>
      </c>
      <c r="Z28" s="136"/>
      <c r="AA28" s="136"/>
      <c r="AB28" s="136"/>
      <c r="AC28" s="136"/>
      <c r="AD28" s="158">
        <v>0.1</v>
      </c>
      <c r="AE28" s="136"/>
      <c r="AF28" s="136"/>
      <c r="AG28" s="136"/>
      <c r="AH28" s="136"/>
      <c r="AI28" s="155">
        <v>109.6</v>
      </c>
      <c r="AJ28" s="141"/>
      <c r="AK28">
        <v>114.5</v>
      </c>
      <c r="AL28" s="156">
        <v>1.5</v>
      </c>
    </row>
    <row r="29" spans="1:38" ht="15" x14ac:dyDescent="0.25">
      <c r="A29" s="119" t="s">
        <v>121</v>
      </c>
      <c r="B29" s="146">
        <v>2016</v>
      </c>
      <c r="C29" s="146" t="s">
        <v>152</v>
      </c>
      <c r="D29" s="147">
        <v>3.1</v>
      </c>
      <c r="E29" s="121"/>
      <c r="F29" s="148">
        <v>3.1</v>
      </c>
      <c r="G29" s="122"/>
      <c r="H29" s="122"/>
      <c r="I29" s="149">
        <v>3.1</v>
      </c>
      <c r="J29" s="122"/>
      <c r="K29" s="122"/>
      <c r="L29" s="121"/>
      <c r="M29" s="122"/>
      <c r="N29" s="121"/>
      <c r="O29" s="121"/>
      <c r="P29" s="121"/>
      <c r="Q29" s="122"/>
      <c r="R29" s="122"/>
      <c r="S29" s="121"/>
      <c r="T29" s="147">
        <v>145.5</v>
      </c>
      <c r="U29" s="122"/>
      <c r="V29" s="149">
        <v>2.1</v>
      </c>
      <c r="W29" s="122"/>
      <c r="X29" s="121"/>
      <c r="Y29" s="121"/>
      <c r="Z29" s="122"/>
      <c r="AA29" s="122"/>
      <c r="AB29" s="122"/>
      <c r="AC29" s="148">
        <v>143.4</v>
      </c>
      <c r="AD29" s="121"/>
      <c r="AE29" s="122"/>
      <c r="AF29" s="122"/>
      <c r="AG29" s="122"/>
      <c r="AH29" s="148">
        <v>0.2</v>
      </c>
      <c r="AI29" s="147">
        <v>148.80000000000001</v>
      </c>
      <c r="AJ29" s="122"/>
      <c r="AK29">
        <v>133.19999999999999</v>
      </c>
      <c r="AL29" s="148">
        <v>3.6</v>
      </c>
    </row>
    <row r="30" spans="1:38" ht="15" x14ac:dyDescent="0.25">
      <c r="A30" s="119" t="s">
        <v>122</v>
      </c>
      <c r="B30" s="146">
        <v>2016</v>
      </c>
      <c r="C30" s="146" t="s">
        <v>152</v>
      </c>
      <c r="D30" s="151">
        <v>132.4</v>
      </c>
      <c r="E30" s="128"/>
      <c r="F30" s="152">
        <v>126.7</v>
      </c>
      <c r="G30" s="152">
        <v>46.5</v>
      </c>
      <c r="H30" s="152">
        <v>0.5</v>
      </c>
      <c r="I30" s="157">
        <v>6.3</v>
      </c>
      <c r="J30" s="152">
        <v>71.7</v>
      </c>
      <c r="K30" s="152">
        <v>1.7</v>
      </c>
      <c r="L30" s="128"/>
      <c r="M30" s="130"/>
      <c r="N30" s="128"/>
      <c r="O30" s="128"/>
      <c r="P30" s="157">
        <v>0.5</v>
      </c>
      <c r="Q30" s="152">
        <v>0</v>
      </c>
      <c r="R30" s="130"/>
      <c r="S30" s="157">
        <v>5.2</v>
      </c>
      <c r="T30" s="153">
        <v>21.6</v>
      </c>
      <c r="U30" s="136"/>
      <c r="V30" s="158">
        <v>12.2</v>
      </c>
      <c r="W30" s="154">
        <v>0.1</v>
      </c>
      <c r="X30" s="134"/>
      <c r="Y30" s="158">
        <v>6.3</v>
      </c>
      <c r="Z30" s="154">
        <v>0.9</v>
      </c>
      <c r="AA30" s="136"/>
      <c r="AB30" s="136"/>
      <c r="AC30" s="154">
        <v>0.5</v>
      </c>
      <c r="AD30" s="158">
        <v>1.4</v>
      </c>
      <c r="AE30" s="154">
        <v>0.2</v>
      </c>
      <c r="AF30" s="136"/>
      <c r="AG30" s="136"/>
      <c r="AH30" s="136"/>
      <c r="AI30" s="155">
        <v>154.1</v>
      </c>
      <c r="AJ30" s="156">
        <v>0.8</v>
      </c>
      <c r="AK30">
        <v>155.30000000000001</v>
      </c>
      <c r="AL30" s="156">
        <v>2.5</v>
      </c>
    </row>
    <row r="31" spans="1:38" ht="15" x14ac:dyDescent="0.25">
      <c r="A31" s="119" t="s">
        <v>123</v>
      </c>
      <c r="B31" s="146">
        <v>2016</v>
      </c>
      <c r="C31" s="146" t="s">
        <v>152</v>
      </c>
      <c r="D31" s="147">
        <v>24.8</v>
      </c>
      <c r="E31" s="121"/>
      <c r="F31" s="148">
        <v>23.6</v>
      </c>
      <c r="G31" s="122"/>
      <c r="H31" s="122"/>
      <c r="I31" s="149">
        <v>11.6</v>
      </c>
      <c r="J31" s="148">
        <v>11.7</v>
      </c>
      <c r="K31" s="148">
        <v>0.1</v>
      </c>
      <c r="L31" s="121"/>
      <c r="M31" s="122"/>
      <c r="N31" s="121"/>
      <c r="O31" s="149">
        <v>0.3</v>
      </c>
      <c r="P31" s="121"/>
      <c r="Q31" s="148">
        <v>1.2</v>
      </c>
      <c r="R31" s="122"/>
      <c r="S31" s="121"/>
      <c r="T31" s="147">
        <v>31.1</v>
      </c>
      <c r="U31" s="122"/>
      <c r="V31" s="149">
        <v>12.2</v>
      </c>
      <c r="W31" s="148">
        <v>0.8</v>
      </c>
      <c r="X31" s="121"/>
      <c r="Y31" s="149">
        <v>2.7</v>
      </c>
      <c r="Z31" s="122"/>
      <c r="AA31" s="122"/>
      <c r="AB31" s="122"/>
      <c r="AC31" s="122"/>
      <c r="AD31" s="149">
        <v>9.5</v>
      </c>
      <c r="AE31" s="148">
        <v>5.9</v>
      </c>
      <c r="AF31" s="122"/>
      <c r="AG31" s="122"/>
      <c r="AH31" s="122"/>
      <c r="AI31" s="147">
        <v>55.9</v>
      </c>
      <c r="AJ31" s="148">
        <v>1.5</v>
      </c>
      <c r="AK31">
        <v>49.3</v>
      </c>
      <c r="AL31" s="148">
        <v>0.6</v>
      </c>
    </row>
    <row r="32" spans="1:38" ht="15" x14ac:dyDescent="0.25">
      <c r="A32" s="119" t="s">
        <v>124</v>
      </c>
      <c r="B32" s="146">
        <v>2016</v>
      </c>
      <c r="C32" s="146" t="s">
        <v>152</v>
      </c>
      <c r="D32" s="151">
        <v>33.799999999999997</v>
      </c>
      <c r="E32" s="157">
        <v>10.4</v>
      </c>
      <c r="F32" s="152">
        <v>23.4</v>
      </c>
      <c r="G32" s="152">
        <v>12.8</v>
      </c>
      <c r="H32" s="130"/>
      <c r="I32" s="157">
        <v>4.5999999999999996</v>
      </c>
      <c r="J32" s="152">
        <v>1.4</v>
      </c>
      <c r="K32" s="130"/>
      <c r="L32" s="128"/>
      <c r="M32" s="130"/>
      <c r="N32" s="157">
        <v>4.7</v>
      </c>
      <c r="O32" s="128"/>
      <c r="P32" s="128"/>
      <c r="Q32" s="130"/>
      <c r="R32" s="130"/>
      <c r="S32" s="128"/>
      <c r="T32" s="153">
        <v>26.9</v>
      </c>
      <c r="U32" s="136"/>
      <c r="V32" s="158">
        <v>6.5</v>
      </c>
      <c r="W32" s="154">
        <v>1.8</v>
      </c>
      <c r="X32" s="134"/>
      <c r="Y32" s="158">
        <v>0.4</v>
      </c>
      <c r="Z32" s="136"/>
      <c r="AA32" s="136"/>
      <c r="AB32" s="136"/>
      <c r="AC32" s="154">
        <v>7.9</v>
      </c>
      <c r="AD32" s="158">
        <v>10.1</v>
      </c>
      <c r="AE32" s="136"/>
      <c r="AF32" s="136"/>
      <c r="AG32" s="136"/>
      <c r="AH32" s="136"/>
      <c r="AI32" s="155">
        <v>60.7</v>
      </c>
      <c r="AJ32" s="156">
        <v>0.3</v>
      </c>
      <c r="AK32">
        <v>55.4</v>
      </c>
      <c r="AL32" s="156">
        <v>1.1000000000000001</v>
      </c>
    </row>
    <row r="33" spans="1:38" ht="15" x14ac:dyDescent="0.25">
      <c r="A33" s="119" t="s">
        <v>125</v>
      </c>
      <c r="B33" s="146">
        <v>2016</v>
      </c>
      <c r="C33" s="146" t="s">
        <v>152</v>
      </c>
      <c r="D33" s="147">
        <v>31.6</v>
      </c>
      <c r="E33" s="121"/>
      <c r="F33" s="148">
        <v>30.8</v>
      </c>
      <c r="G33" s="148">
        <v>30.8</v>
      </c>
      <c r="H33" s="122"/>
      <c r="I33" s="149">
        <v>0.1</v>
      </c>
      <c r="J33" s="122"/>
      <c r="K33" s="122"/>
      <c r="L33" s="121"/>
      <c r="M33" s="122"/>
      <c r="N33" s="121"/>
      <c r="O33" s="121"/>
      <c r="P33" s="149">
        <v>0.7</v>
      </c>
      <c r="Q33" s="122"/>
      <c r="R33" s="122"/>
      <c r="S33" s="121"/>
      <c r="T33" s="147">
        <v>10.6</v>
      </c>
      <c r="U33" s="122"/>
      <c r="V33" s="121"/>
      <c r="W33" s="122"/>
      <c r="X33" s="121"/>
      <c r="Y33" s="121"/>
      <c r="Z33" s="122"/>
      <c r="AA33" s="122"/>
      <c r="AB33" s="122"/>
      <c r="AC33" s="148">
        <v>1.1000000000000001</v>
      </c>
      <c r="AD33" s="149">
        <v>9.5</v>
      </c>
      <c r="AE33" s="122"/>
      <c r="AF33" s="122"/>
      <c r="AG33" s="122"/>
      <c r="AH33" s="122"/>
      <c r="AI33" s="147">
        <v>42.2</v>
      </c>
      <c r="AJ33" s="148">
        <v>1</v>
      </c>
      <c r="AK33">
        <v>38.799999999999997</v>
      </c>
      <c r="AL33" s="148">
        <v>-1.3</v>
      </c>
    </row>
    <row r="34" spans="1:38" ht="15" x14ac:dyDescent="0.25">
      <c r="A34" s="119" t="s">
        <v>126</v>
      </c>
      <c r="B34" s="146">
        <v>2016</v>
      </c>
      <c r="C34" s="146" t="s">
        <v>152</v>
      </c>
      <c r="D34" s="151">
        <v>64.599999999999994</v>
      </c>
      <c r="E34" s="157">
        <v>60.5</v>
      </c>
      <c r="F34" s="152">
        <v>3.3</v>
      </c>
      <c r="G34" s="130"/>
      <c r="H34" s="130"/>
      <c r="I34" s="157">
        <v>1.3</v>
      </c>
      <c r="J34" s="152">
        <v>0.3</v>
      </c>
      <c r="K34" s="152">
        <v>0.3</v>
      </c>
      <c r="L34" s="128"/>
      <c r="M34" s="130"/>
      <c r="N34" s="157">
        <v>1.4</v>
      </c>
      <c r="O34" s="128"/>
      <c r="P34" s="128"/>
      <c r="Q34" s="130"/>
      <c r="R34" s="152">
        <v>0.8</v>
      </c>
      <c r="S34" s="128"/>
      <c r="T34" s="153">
        <v>86.9</v>
      </c>
      <c r="U34" s="136"/>
      <c r="V34" s="158">
        <v>15.4</v>
      </c>
      <c r="W34" s="136"/>
      <c r="X34" s="134"/>
      <c r="Y34" s="158">
        <v>9</v>
      </c>
      <c r="Z34" s="136"/>
      <c r="AA34" s="136"/>
      <c r="AB34" s="154">
        <v>1.2</v>
      </c>
      <c r="AC34" s="154">
        <v>61.2</v>
      </c>
      <c r="AD34" s="134"/>
      <c r="AE34" s="136"/>
      <c r="AF34" s="136"/>
      <c r="AG34" s="136"/>
      <c r="AH34" s="136"/>
      <c r="AI34" s="155">
        <v>151.5</v>
      </c>
      <c r="AJ34" s="141"/>
      <c r="AK34">
        <v>139.80000000000001</v>
      </c>
      <c r="AL34" s="156">
        <v>2.4</v>
      </c>
    </row>
    <row r="35" spans="1:38" ht="15" x14ac:dyDescent="0.25">
      <c r="A35" s="119" t="s">
        <v>127</v>
      </c>
      <c r="B35" s="146">
        <v>2016</v>
      </c>
      <c r="C35" s="146" t="s">
        <v>152</v>
      </c>
      <c r="D35" s="147">
        <v>10.3</v>
      </c>
      <c r="E35" s="149">
        <v>5.4</v>
      </c>
      <c r="F35" s="148">
        <v>4.4000000000000004</v>
      </c>
      <c r="G35" s="148">
        <v>4.4000000000000004</v>
      </c>
      <c r="H35" s="122"/>
      <c r="I35" s="149">
        <v>0</v>
      </c>
      <c r="J35" s="122"/>
      <c r="K35" s="122"/>
      <c r="L35" s="121"/>
      <c r="M35" s="122"/>
      <c r="N35" s="121"/>
      <c r="O35" s="121"/>
      <c r="P35" s="121"/>
      <c r="Q35" s="148">
        <v>0.3</v>
      </c>
      <c r="R35" s="148">
        <v>0</v>
      </c>
      <c r="S35" s="149">
        <v>0.2</v>
      </c>
      <c r="T35" s="147">
        <v>4.9000000000000004</v>
      </c>
      <c r="U35" s="122"/>
      <c r="V35" s="149">
        <v>0</v>
      </c>
      <c r="W35" s="148">
        <v>0.2</v>
      </c>
      <c r="X35" s="121"/>
      <c r="Y35" s="149">
        <v>0.1</v>
      </c>
      <c r="Z35" s="148">
        <v>0.1</v>
      </c>
      <c r="AA35" s="122"/>
      <c r="AB35" s="122"/>
      <c r="AC35" s="122"/>
      <c r="AD35" s="149">
        <v>4.4000000000000004</v>
      </c>
      <c r="AE35" s="122"/>
      <c r="AF35" s="122"/>
      <c r="AG35" s="148">
        <v>0.1</v>
      </c>
      <c r="AH35" s="122"/>
      <c r="AI35" s="147">
        <v>15.2</v>
      </c>
      <c r="AJ35" s="148">
        <v>0.4</v>
      </c>
      <c r="AK35">
        <v>13.8</v>
      </c>
      <c r="AL35" s="148">
        <v>1.3</v>
      </c>
    </row>
    <row r="36" spans="1:38" ht="15" x14ac:dyDescent="0.25">
      <c r="A36" s="119" t="s">
        <v>128</v>
      </c>
      <c r="B36" s="146">
        <v>2016</v>
      </c>
      <c r="C36" s="146" t="s">
        <v>152</v>
      </c>
      <c r="D36" s="151">
        <v>18.600000000000001</v>
      </c>
      <c r="E36" s="157">
        <v>13.8</v>
      </c>
      <c r="F36" s="152">
        <v>4.5999999999999996</v>
      </c>
      <c r="G36" s="152">
        <v>1.5</v>
      </c>
      <c r="H36" s="152">
        <v>0.4</v>
      </c>
      <c r="I36" s="157">
        <v>1.5</v>
      </c>
      <c r="J36" s="152">
        <v>0.9</v>
      </c>
      <c r="K36" s="152">
        <v>0.3</v>
      </c>
      <c r="L36" s="128"/>
      <c r="M36" s="130"/>
      <c r="N36" s="128"/>
      <c r="O36" s="128"/>
      <c r="P36" s="157">
        <v>0.2</v>
      </c>
      <c r="Q36" s="152">
        <v>0</v>
      </c>
      <c r="R36" s="152">
        <v>0.1</v>
      </c>
      <c r="S36" s="128"/>
      <c r="T36" s="153">
        <v>6.8</v>
      </c>
      <c r="U36" s="136"/>
      <c r="V36" s="158">
        <v>0</v>
      </c>
      <c r="W36" s="154">
        <v>0.5</v>
      </c>
      <c r="X36" s="134"/>
      <c r="Y36" s="158">
        <v>1.1000000000000001</v>
      </c>
      <c r="Z36" s="154">
        <v>0.5</v>
      </c>
      <c r="AA36" s="136"/>
      <c r="AB36" s="136"/>
      <c r="AC36" s="154">
        <v>0.7</v>
      </c>
      <c r="AD36" s="158">
        <v>3.7</v>
      </c>
      <c r="AE36" s="154">
        <v>0.2</v>
      </c>
      <c r="AF36" s="136"/>
      <c r="AG36" s="154">
        <v>0</v>
      </c>
      <c r="AH36" s="136"/>
      <c r="AI36" s="155">
        <v>25.4</v>
      </c>
      <c r="AJ36" s="156">
        <v>0.3</v>
      </c>
      <c r="AK36">
        <v>27.7</v>
      </c>
      <c r="AL36" s="156">
        <v>2</v>
      </c>
    </row>
    <row r="37" spans="1:38" ht="15" x14ac:dyDescent="0.25">
      <c r="A37" s="119" t="s">
        <v>129</v>
      </c>
      <c r="B37" s="146">
        <v>2016</v>
      </c>
      <c r="C37" s="146" t="s">
        <v>152</v>
      </c>
      <c r="D37" s="147">
        <v>181.5</v>
      </c>
      <c r="E37" s="121"/>
      <c r="F37" s="148">
        <v>181.5</v>
      </c>
      <c r="G37" s="148">
        <v>37.9</v>
      </c>
      <c r="H37" s="122"/>
      <c r="I37" s="149">
        <v>88.4</v>
      </c>
      <c r="J37" s="148">
        <v>52.7</v>
      </c>
      <c r="K37" s="148">
        <v>2.5</v>
      </c>
      <c r="L37" s="121"/>
      <c r="M37" s="122"/>
      <c r="N37" s="149">
        <v>0</v>
      </c>
      <c r="O37" s="121"/>
      <c r="P37" s="121"/>
      <c r="Q37" s="122"/>
      <c r="R37" s="122"/>
      <c r="S37" s="121"/>
      <c r="T37" s="147">
        <v>88.7</v>
      </c>
      <c r="U37" s="122"/>
      <c r="V37" s="149">
        <v>15.4</v>
      </c>
      <c r="W37" s="122"/>
      <c r="X37" s="121"/>
      <c r="Y37" s="149">
        <v>2</v>
      </c>
      <c r="Z37" s="122"/>
      <c r="AA37" s="148">
        <v>4.3</v>
      </c>
      <c r="AB37" s="122"/>
      <c r="AC37" s="148">
        <v>48.8</v>
      </c>
      <c r="AD37" s="149">
        <v>18.100000000000001</v>
      </c>
      <c r="AE37" s="122"/>
      <c r="AF37" s="122"/>
      <c r="AG37" s="122"/>
      <c r="AH37" s="122"/>
      <c r="AI37" s="147">
        <v>270.2</v>
      </c>
      <c r="AJ37" s="122"/>
      <c r="AK37">
        <v>275.2</v>
      </c>
      <c r="AL37" s="122"/>
    </row>
    <row r="38" spans="1:38" ht="15" x14ac:dyDescent="0.25">
      <c r="A38" s="119" t="s">
        <v>263</v>
      </c>
      <c r="B38" s="146">
        <v>2016</v>
      </c>
      <c r="C38" s="146" t="s">
        <v>152</v>
      </c>
      <c r="D38" s="159">
        <v>2426</v>
      </c>
      <c r="E38" s="160">
        <v>816.6</v>
      </c>
      <c r="F38" s="159">
        <v>1534.8</v>
      </c>
      <c r="G38" s="151">
        <v>359.3</v>
      </c>
      <c r="H38" s="151">
        <v>3</v>
      </c>
      <c r="I38" s="160">
        <v>704</v>
      </c>
      <c r="J38" s="151">
        <v>405.4</v>
      </c>
      <c r="K38" s="151">
        <v>34.5</v>
      </c>
      <c r="L38" s="160">
        <v>9</v>
      </c>
      <c r="M38" s="151">
        <v>5.4</v>
      </c>
      <c r="N38" s="160">
        <v>10</v>
      </c>
      <c r="O38" s="160">
        <v>4.0999999999999996</v>
      </c>
      <c r="P38" s="160">
        <v>32.1</v>
      </c>
      <c r="Q38" s="151">
        <v>12.7</v>
      </c>
      <c r="R38" s="151">
        <v>15</v>
      </c>
      <c r="S38" s="160">
        <v>14.8</v>
      </c>
      <c r="T38" s="161">
        <v>1200</v>
      </c>
      <c r="U38" s="153">
        <v>33.799999999999997</v>
      </c>
      <c r="V38" s="162">
        <v>282.3</v>
      </c>
      <c r="W38" s="153">
        <v>100</v>
      </c>
      <c r="X38" s="162">
        <v>5.0999999999999996</v>
      </c>
      <c r="Y38" s="162">
        <v>118.6</v>
      </c>
      <c r="Z38" s="153">
        <v>17.399999999999999</v>
      </c>
      <c r="AA38" s="153">
        <v>15</v>
      </c>
      <c r="AB38" s="153">
        <v>15.6</v>
      </c>
      <c r="AC38" s="153">
        <v>342</v>
      </c>
      <c r="AD38" s="162">
        <v>207.1</v>
      </c>
      <c r="AE38" s="153">
        <v>55.5</v>
      </c>
      <c r="AF38" s="163"/>
      <c r="AG38" s="153">
        <v>7.6</v>
      </c>
      <c r="AH38" s="153">
        <v>7.2</v>
      </c>
      <c r="AI38" s="164">
        <v>3633.2</v>
      </c>
      <c r="AJ38" s="155">
        <v>44.7</v>
      </c>
      <c r="AK38">
        <v>3593.9</v>
      </c>
      <c r="AL38" s="165"/>
    </row>
    <row r="39" spans="1:38" ht="15" x14ac:dyDescent="0.25">
      <c r="A39" s="119" t="s">
        <v>264</v>
      </c>
      <c r="B39" s="146">
        <v>2016</v>
      </c>
      <c r="C39" s="146" t="s">
        <v>152</v>
      </c>
      <c r="D39" s="159">
        <v>2154.1</v>
      </c>
      <c r="E39" s="160">
        <v>796.4</v>
      </c>
      <c r="F39" s="159">
        <v>1302.9000000000001</v>
      </c>
      <c r="G39" s="151">
        <v>276.2</v>
      </c>
      <c r="H39" s="151">
        <v>3</v>
      </c>
      <c r="I39" s="160">
        <v>611.6</v>
      </c>
      <c r="J39" s="151">
        <v>352.7</v>
      </c>
      <c r="K39" s="151">
        <v>31.9</v>
      </c>
      <c r="L39" s="160">
        <v>9</v>
      </c>
      <c r="M39" s="151">
        <v>5.4</v>
      </c>
      <c r="N39" s="160">
        <v>10</v>
      </c>
      <c r="O39" s="160">
        <v>3.1</v>
      </c>
      <c r="P39" s="160">
        <v>14.8</v>
      </c>
      <c r="Q39" s="151">
        <v>11</v>
      </c>
      <c r="R39" s="151">
        <v>14.2</v>
      </c>
      <c r="S39" s="160">
        <v>14.8</v>
      </c>
      <c r="T39" s="153">
        <v>907.2</v>
      </c>
      <c r="U39" s="153">
        <v>33.799999999999997</v>
      </c>
      <c r="V39" s="162">
        <v>264.5</v>
      </c>
      <c r="W39" s="153">
        <v>99.5</v>
      </c>
      <c r="X39" s="162">
        <v>5.0999999999999996</v>
      </c>
      <c r="Y39" s="162">
        <v>116.5</v>
      </c>
      <c r="Z39" s="153">
        <v>17.2</v>
      </c>
      <c r="AA39" s="153">
        <v>6</v>
      </c>
      <c r="AB39" s="153">
        <v>14.9</v>
      </c>
      <c r="AC39" s="153">
        <v>116.9</v>
      </c>
      <c r="AD39" s="162">
        <v>171.1</v>
      </c>
      <c r="AE39" s="153">
        <v>55.4</v>
      </c>
      <c r="AF39" s="163"/>
      <c r="AG39" s="153">
        <v>6.3</v>
      </c>
      <c r="AH39" s="153">
        <v>6.8</v>
      </c>
      <c r="AI39" s="164">
        <v>3068.2</v>
      </c>
      <c r="AJ39" s="155">
        <v>40.700000000000003</v>
      </c>
      <c r="AK39">
        <v>3042.8</v>
      </c>
      <c r="AL39" s="155">
        <v>40</v>
      </c>
    </row>
    <row r="44" spans="1:38" x14ac:dyDescent="0.25">
      <c r="G44" s="167"/>
    </row>
    <row r="48" spans="1:38" ht="12.75" x14ac:dyDescent="0.25">
      <c r="A48" s="1" t="s">
        <v>197</v>
      </c>
      <c r="B48" s="1" t="s">
        <v>63</v>
      </c>
      <c r="C48" s="1" t="s">
        <v>393</v>
      </c>
      <c r="D48" s="144" t="s">
        <v>57</v>
      </c>
      <c r="E48" s="144" t="s">
        <v>348</v>
      </c>
      <c r="F48" s="144" t="s">
        <v>349</v>
      </c>
      <c r="G48" s="144" t="s">
        <v>595</v>
      </c>
      <c r="H48" s="144" t="s">
        <v>352</v>
      </c>
      <c r="I48" s="144" t="s">
        <v>43</v>
      </c>
      <c r="J48" s="144" t="s">
        <v>42</v>
      </c>
      <c r="K48" s="144" t="s">
        <v>44</v>
      </c>
      <c r="L48" s="144" t="s">
        <v>397</v>
      </c>
      <c r="M48" s="144" t="s">
        <v>394</v>
      </c>
      <c r="N48" s="144" t="s">
        <v>357</v>
      </c>
      <c r="O48" s="144" t="s">
        <v>647</v>
      </c>
      <c r="P48" s="144" t="s">
        <v>359</v>
      </c>
      <c r="Q48" s="144" t="s">
        <v>396</v>
      </c>
      <c r="R48" s="144" t="s">
        <v>395</v>
      </c>
      <c r="S48" s="144" t="s">
        <v>392</v>
      </c>
      <c r="T48" s="515" t="s">
        <v>151</v>
      </c>
      <c r="U48" s="565" t="s">
        <v>150</v>
      </c>
      <c r="W48" s="545" t="s">
        <v>197</v>
      </c>
      <c r="X48" s="546" t="s">
        <v>63</v>
      </c>
      <c r="Y48" s="546" t="s">
        <v>393</v>
      </c>
      <c r="Z48" s="547" t="s">
        <v>57</v>
      </c>
      <c r="AA48" s="547" t="s">
        <v>348</v>
      </c>
      <c r="AB48" s="547" t="s">
        <v>349</v>
      </c>
      <c r="AC48" s="547" t="s">
        <v>595</v>
      </c>
      <c r="AD48" s="547" t="s">
        <v>352</v>
      </c>
      <c r="AE48" s="547" t="s">
        <v>43</v>
      </c>
      <c r="AF48" s="547" t="s">
        <v>42</v>
      </c>
      <c r="AG48" s="547" t="s">
        <v>44</v>
      </c>
      <c r="AH48" s="547" t="s">
        <v>397</v>
      </c>
      <c r="AI48" s="547" t="s">
        <v>394</v>
      </c>
      <c r="AJ48" s="547" t="s">
        <v>133</v>
      </c>
      <c r="AK48" s="547" t="s">
        <v>647</v>
      </c>
      <c r="AL48" s="547" t="s">
        <v>359</v>
      </c>
    </row>
    <row r="49" spans="1:38" x14ac:dyDescent="0.25">
      <c r="A49" s="425" t="str">
        <f t="shared" ref="A49:A85" si="0">$A3</f>
        <v>AT</v>
      </c>
      <c r="B49" s="366">
        <f>B3</f>
        <v>2016</v>
      </c>
      <c r="C49" s="366" t="str">
        <f>C3</f>
        <v>TWh</v>
      </c>
      <c r="D49" s="144">
        <f>E3</f>
        <v>0</v>
      </c>
      <c r="E49" s="144">
        <f>G3</f>
        <v>0</v>
      </c>
      <c r="F49" s="167">
        <f>J3</f>
        <v>2</v>
      </c>
      <c r="G49" s="167">
        <f>H3+I3</f>
        <v>8.4</v>
      </c>
      <c r="H49" s="422">
        <f>M3+N3+O3+L3+K3</f>
        <v>3.7</v>
      </c>
      <c r="I49" s="167">
        <f>V3</f>
        <v>5.2</v>
      </c>
      <c r="J49" s="144">
        <f>U3</f>
        <v>0</v>
      </c>
      <c r="K49" s="422">
        <f>W3</f>
        <v>0</v>
      </c>
      <c r="L49" s="422">
        <f>Y3+Z3</f>
        <v>0</v>
      </c>
      <c r="M49" s="422">
        <f>X3+AA3+AB3+AG3+AH3</f>
        <v>9.8000000000000007</v>
      </c>
      <c r="N49" s="167">
        <f>SUM(AC3,AD3,AE3,AF3)</f>
        <v>35.5</v>
      </c>
      <c r="O49" s="167">
        <f>SUM(P3,Q3,)</f>
        <v>3.1</v>
      </c>
      <c r="P49" s="422">
        <f>SUM(R3:S3)</f>
        <v>0</v>
      </c>
      <c r="Q49" s="167">
        <f t="shared" ref="Q49:Q85" si="1">SUM(D49:P49)</f>
        <v>67.699999999999989</v>
      </c>
      <c r="R49" s="167">
        <f>AI3</f>
        <v>67.599999999999994</v>
      </c>
      <c r="S49" s="424">
        <f>Q49/R49</f>
        <v>1.0014792899408282</v>
      </c>
      <c r="T49" s="516">
        <f>INDEX($A$3:$AL$39,MATCH(Generation_Entsoe_SFS_2016[[#This Row],[Country]],$A$3:$A$39,0),MATCH(Generation_Entsoe_SFS_2016[[#Headers],[Consumption]],$A$1:$AL$1,0))</f>
        <v>70.3</v>
      </c>
      <c r="U49" s="516">
        <f>INDEX($A$3:$AL$39,MATCH(Generation_Entsoe_SFS_2016[[#This Row],[Country]],$A$3:$A$39,0),MATCH(Generation_Entsoe_SFS_2016[[#Headers],[Pumping]],$A$1:$AL$1,0))</f>
        <v>4.5</v>
      </c>
      <c r="W49" s="543" t="str">
        <f t="shared" ref="W49:W85" si="2">$A3</f>
        <v>AT</v>
      </c>
      <c r="X49" s="544">
        <v>2016</v>
      </c>
      <c r="Y49" s="544" t="s">
        <v>648</v>
      </c>
      <c r="Z49" s="548">
        <f>IFERROR(Generation_Entsoe_SFS_2016[[#This Row],[Nuclear]]/Capacity_Entsoe_SFS_2016[[#This Row],[Nuclear]]*10^6,0)</f>
        <v>0</v>
      </c>
      <c r="AA49" s="548">
        <f>IFERROR(Generation_Entsoe_SFS_2016[[#This Row],[Lignite]]/Capacity_Entsoe_SFS_2016[[#This Row],[Lignite]]*10^6,0)</f>
        <v>0</v>
      </c>
      <c r="AB49" s="548">
        <f>IFERROR(Generation_Entsoe_SFS_2016[[#This Row],[Hard coal]]/Capacity_Entsoe_SFS_2016[[#This Row],[Hard coal]]*10^6,0)</f>
        <v>1707.9419299743809</v>
      </c>
      <c r="AC49" s="548">
        <f>IFERROR(Generation_Entsoe_SFS_2016[[#This Row],[Fossil gases]]/Capacity_Entsoe_SFS_2016[[#This Row],[Fossil gases]]*10^6,0)</f>
        <v>1742.7385892116183</v>
      </c>
      <c r="AD49" s="548">
        <f>IFERROR(Generation_Entsoe_SFS_2016[[#This Row],[Other fossil fuels]]/Capacity_Entsoe_SFS_2016[[#This Row],[Other fossil fuels]]*10^6,0)</f>
        <v>3464.4194756554307</v>
      </c>
      <c r="AE49" s="548">
        <f>IFERROR(Generation_Entsoe_SFS_2016[[#This Row],[Wind onshore]]/Capacity_Entsoe_SFS_2016[[#This Row],[Wind onshore]]*10^6,0)</f>
        <v>2089.1924467657695</v>
      </c>
      <c r="AF49" s="548">
        <f>IFERROR(Generation_Entsoe_SFS_2016[[#This Row],[Wind offshore]]/Capacity_Entsoe_SFS_2016[[#This Row],[Wind offshore]]*10^6,0)</f>
        <v>0</v>
      </c>
      <c r="AG49" s="548">
        <f>IFERROR(Generation_Entsoe_SFS_2016[[#This Row],[Solar PV]]/Capacity_Entsoe_SFS_2016[[#This Row],[Solar PV]]*10^6,0)</f>
        <v>0</v>
      </c>
      <c r="AH49" s="548">
        <f>IFERROR(Generation_Entsoe_SFS_2016[[#This Row],[Bioenergy]]/Capacity_Entsoe_SFS_2016[[#This Row],[Bioenergy]]*10^6,0)</f>
        <v>0</v>
      </c>
      <c r="AI49" s="554">
        <f>IFERROR(Generation_Entsoe_SFS_2016[[#This Row],[Other RES]]/Capacity_Entsoe_SFS_2016[[#This Row],[Other RES]]*10^6,0)</f>
        <v>408333.33333333337</v>
      </c>
      <c r="AJ49" s="548">
        <f>IFERROR(Generation_Entsoe_SFS_2016[[#This Row],[Renewable Hydro]]/Capacity_Entsoe_SFS_2016[[#This Row],[Renewable Hydro]]*10^6,0)</f>
        <v>2599.5899238429993</v>
      </c>
      <c r="AK49" s="548">
        <f>IFERROR(Generation_Entsoe_SFS_2016[[#This Row],[Pumped Hydro]]/Capacity_Entsoe_SFS_2016[[#This Row],[Pumped Hydro]]*10^6,0)</f>
        <v>0</v>
      </c>
      <c r="AL49" s="548">
        <f>IFERROR(Generation_Entsoe_SFS_2016[[#This Row],[Other sources]]/Capacity_Entsoe_SFS_2016[[#This Row],[Other sources]]*10^6,0)</f>
        <v>0</v>
      </c>
    </row>
    <row r="50" spans="1:38" x14ac:dyDescent="0.25">
      <c r="A50" s="425" t="str">
        <f t="shared" si="0"/>
        <v>BA</v>
      </c>
      <c r="B50" s="366">
        <f t="shared" ref="B50:C64" si="3">B5</f>
        <v>2016</v>
      </c>
      <c r="C50" s="366" t="str">
        <f t="shared" si="3"/>
        <v>TWh</v>
      </c>
      <c r="D50" s="144">
        <f t="shared" ref="D50:D85" si="4">E4</f>
        <v>0</v>
      </c>
      <c r="E50" s="144">
        <f t="shared" ref="E50:E85" si="5">G4</f>
        <v>10.5</v>
      </c>
      <c r="F50" s="167">
        <f t="shared" ref="F50:F85" si="6">J4</f>
        <v>0</v>
      </c>
      <c r="G50" s="167">
        <f t="shared" ref="G50:G85" si="7">H4+I4</f>
        <v>0</v>
      </c>
      <c r="H50" s="422">
        <f t="shared" ref="H50:H85" si="8">M4+N4+O4+L4+K4</f>
        <v>0</v>
      </c>
      <c r="I50" s="167">
        <f t="shared" ref="I50:I85" si="9">V4</f>
        <v>0</v>
      </c>
      <c r="J50" s="144">
        <f t="shared" ref="J50:J85" si="10">U4</f>
        <v>0</v>
      </c>
      <c r="K50" s="422">
        <f t="shared" ref="K50:K85" si="11">W4</f>
        <v>0</v>
      </c>
      <c r="L50" s="422">
        <f t="shared" ref="L50:L85" si="12">Y4+Z4</f>
        <v>0</v>
      </c>
      <c r="M50" s="422">
        <f t="shared" ref="M50:M85" si="13">X4+AA4+AB4+AG4+AH4</f>
        <v>0.1</v>
      </c>
      <c r="N50" s="167">
        <f t="shared" ref="N50:N85" si="14">SUM(AC4,AD4,AE4,AF4)</f>
        <v>5.5</v>
      </c>
      <c r="O50" s="167">
        <f t="shared" ref="O50:O85" si="15">SUM(P4,Q4,)</f>
        <v>0</v>
      </c>
      <c r="P50" s="422">
        <f t="shared" ref="P50:P85" si="16">SUM(R4:S4)</f>
        <v>0</v>
      </c>
      <c r="Q50" s="167">
        <f t="shared" si="1"/>
        <v>16.100000000000001</v>
      </c>
      <c r="R50" s="167">
        <f t="shared" ref="R50:R85" si="17">AI4</f>
        <v>16.2</v>
      </c>
      <c r="S50" s="424">
        <f t="shared" ref="S50:S79" si="18">Q50/R50</f>
        <v>0.99382716049382724</v>
      </c>
      <c r="T50" s="516">
        <f>INDEX($A$3:$AL$39,MATCH(Generation_Entsoe_SFS_2016[[#This Row],[Country]],$A$3:$A$39,0),MATCH(Generation_Entsoe_SFS_2016[[#Headers],[Consumption]],$A$1:$AL$1,0))</f>
        <v>12.3</v>
      </c>
      <c r="U50" s="516">
        <f>INDEX($A$3:$AL$39,MATCH(Generation_Entsoe_SFS_2016[[#This Row],[Country]],$A$3:$A$39,0),MATCH(Generation_Entsoe_SFS_2016[[#Headers],[Pumping]],$A$1:$AL$1,0))</f>
        <v>0</v>
      </c>
      <c r="W50" s="543" t="str">
        <f t="shared" si="2"/>
        <v>BA</v>
      </c>
      <c r="X50" s="544">
        <v>2016</v>
      </c>
      <c r="Y50" s="544" t="s">
        <v>648</v>
      </c>
      <c r="Z50" s="549">
        <f>IFERROR(Generation_Entsoe_SFS_2016[[#This Row],[Nuclear]]/Capacity_Entsoe_SFS_2016[[#This Row],[Nuclear]]*10^6,0)</f>
        <v>0</v>
      </c>
      <c r="AA50" s="549">
        <f>IFERROR(Generation_Entsoe_SFS_2016[[#This Row],[Lignite]]/Capacity_Entsoe_SFS_2016[[#This Row],[Lignite]]*10^6,0)</f>
        <v>5597.0149253731342</v>
      </c>
      <c r="AB50" s="549">
        <f>IFERROR(Generation_Entsoe_SFS_2016[[#This Row],[Hard coal]]/Capacity_Entsoe_SFS_2016[[#This Row],[Hard coal]]*10^6,0)</f>
        <v>0</v>
      </c>
      <c r="AC50" s="549">
        <f>IFERROR(Generation_Entsoe_SFS_2016[[#This Row],[Fossil gases]]/Capacity_Entsoe_SFS_2016[[#This Row],[Fossil gases]]*10^6,0)</f>
        <v>0</v>
      </c>
      <c r="AD50" s="549">
        <f>IFERROR(Generation_Entsoe_SFS_2016[[#This Row],[Other fossil fuels]]/Capacity_Entsoe_SFS_2016[[#This Row],[Other fossil fuels]]*10^6,0)</f>
        <v>0</v>
      </c>
      <c r="AE50" s="549">
        <f>IFERROR(Generation_Entsoe_SFS_2016[[#This Row],[Wind onshore]]/Capacity_Entsoe_SFS_2016[[#This Row],[Wind onshore]]*10^6,0)</f>
        <v>0</v>
      </c>
      <c r="AF50" s="549">
        <f>IFERROR(Generation_Entsoe_SFS_2016[[#This Row],[Wind offshore]]/Capacity_Entsoe_SFS_2016[[#This Row],[Wind offshore]]*10^6,0)</f>
        <v>0</v>
      </c>
      <c r="AG50" s="549">
        <f>IFERROR(Generation_Entsoe_SFS_2016[[#This Row],[Solar PV]]/Capacity_Entsoe_SFS_2016[[#This Row],[Solar PV]]*10^6,0)</f>
        <v>0</v>
      </c>
      <c r="AH50" s="549">
        <f>IFERROR(Generation_Entsoe_SFS_2016[[#This Row],[Bioenergy]]/Capacity_Entsoe_SFS_2016[[#This Row],[Bioenergy]]*10^6,0)</f>
        <v>0</v>
      </c>
      <c r="AI50" s="549">
        <f>IFERROR(Generation_Entsoe_SFS_2016[[#This Row],[Other RES]]/Capacity_Entsoe_SFS_2016[[#This Row],[Other RES]]*10^6,0)</f>
        <v>0</v>
      </c>
      <c r="AJ50" s="549">
        <f>IFERROR(Generation_Entsoe_SFS_2016[[#This Row],[Renewable Hydro]]/Capacity_Entsoe_SFS_2016[[#This Row],[Renewable Hydro]]*10^6,0)</f>
        <v>3321.2560386473428</v>
      </c>
      <c r="AK50" s="549">
        <f>IFERROR(Generation_Entsoe_SFS_2016[[#This Row],[Pumped Hydro]]/Capacity_Entsoe_SFS_2016[[#This Row],[Pumped Hydro]]*10^6,0)</f>
        <v>0</v>
      </c>
      <c r="AL50" s="549">
        <f>IFERROR(Generation_Entsoe_SFS_2016[[#This Row],[Other sources]]/Capacity_Entsoe_SFS_2016[[#This Row],[Other sources]]*10^6,0)</f>
        <v>0</v>
      </c>
    </row>
    <row r="51" spans="1:38" x14ac:dyDescent="0.25">
      <c r="A51" s="425" t="str">
        <f t="shared" si="0"/>
        <v>BE</v>
      </c>
      <c r="B51" s="366">
        <f t="shared" si="3"/>
        <v>2016</v>
      </c>
      <c r="C51" s="366" t="str">
        <f t="shared" si="3"/>
        <v>TWh</v>
      </c>
      <c r="D51" s="144">
        <f t="shared" si="4"/>
        <v>41.3</v>
      </c>
      <c r="E51" s="144">
        <f t="shared" si="5"/>
        <v>0</v>
      </c>
      <c r="F51" s="167">
        <f t="shared" si="6"/>
        <v>2.5</v>
      </c>
      <c r="G51" s="167">
        <f t="shared" si="7"/>
        <v>20.2</v>
      </c>
      <c r="H51" s="422">
        <f t="shared" si="8"/>
        <v>0.1</v>
      </c>
      <c r="I51" s="167">
        <f t="shared" si="9"/>
        <v>2.7</v>
      </c>
      <c r="J51" s="144">
        <f t="shared" si="10"/>
        <v>2.4</v>
      </c>
      <c r="K51" s="422">
        <f t="shared" si="11"/>
        <v>2.9</v>
      </c>
      <c r="L51" s="422">
        <f t="shared" si="12"/>
        <v>3.4</v>
      </c>
      <c r="M51" s="422">
        <f t="shared" si="13"/>
        <v>1.3</v>
      </c>
      <c r="N51" s="167">
        <f t="shared" si="14"/>
        <v>0.3</v>
      </c>
      <c r="O51" s="167">
        <f t="shared" si="15"/>
        <v>1.1000000000000001</v>
      </c>
      <c r="P51" s="422">
        <f t="shared" si="16"/>
        <v>1.2</v>
      </c>
      <c r="Q51" s="167">
        <f t="shared" si="1"/>
        <v>79.400000000000006</v>
      </c>
      <c r="R51" s="167">
        <f t="shared" si="17"/>
        <v>79.5</v>
      </c>
      <c r="S51" s="424">
        <f t="shared" si="18"/>
        <v>0.99874213836477999</v>
      </c>
      <c r="T51" s="516">
        <f>INDEX($A$3:$AL$39,MATCH(Generation_Entsoe_SFS_2016[[#This Row],[Country]],$A$3:$A$39,0),MATCH(Generation_Entsoe_SFS_2016[[#Headers],[Consumption]],$A$1:$AL$1,0))</f>
        <v>84.2</v>
      </c>
      <c r="U51" s="516">
        <f>INDEX($A$3:$AL$39,MATCH(Generation_Entsoe_SFS_2016[[#This Row],[Country]],$A$3:$A$39,0),MATCH(Generation_Entsoe_SFS_2016[[#Headers],[Pumping]],$A$1:$AL$1,0))</f>
        <v>1.5</v>
      </c>
      <c r="W51" s="543" t="str">
        <f t="shared" si="2"/>
        <v>BE</v>
      </c>
      <c r="X51" s="544">
        <v>2016</v>
      </c>
      <c r="Y51" s="544" t="s">
        <v>648</v>
      </c>
      <c r="Z51" s="548">
        <f>IFERROR(Generation_Entsoe_SFS_2016[[#This Row],[Nuclear]]/Capacity_Entsoe_SFS_2016[[#This Row],[Nuclear]]*10^6,0)</f>
        <v>6969.2878839014502</v>
      </c>
      <c r="AA51" s="548">
        <f>IFERROR(Generation_Entsoe_SFS_2016[[#This Row],[Lignite]]/Capacity_Entsoe_SFS_2016[[#This Row],[Lignite]]*10^6,0)</f>
        <v>0</v>
      </c>
      <c r="AB51" s="548">
        <f>IFERROR(Generation_Entsoe_SFS_2016[[#This Row],[Hard coal]]/Capacity_Entsoe_SFS_2016[[#This Row],[Hard coal]]*10^6,0)</f>
        <v>0</v>
      </c>
      <c r="AC51" s="548">
        <f>IFERROR(Generation_Entsoe_SFS_2016[[#This Row],[Fossil gases]]/Capacity_Entsoe_SFS_2016[[#This Row],[Fossil gases]]*10^6,0)</f>
        <v>3085.8539566147265</v>
      </c>
      <c r="AD51" s="548">
        <f>IFERROR(Generation_Entsoe_SFS_2016[[#This Row],[Other fossil fuels]]/Capacity_Entsoe_SFS_2016[[#This Row],[Other fossil fuels]]*10^6,0)</f>
        <v>625</v>
      </c>
      <c r="AE51" s="548">
        <f>IFERROR(Generation_Entsoe_SFS_2016[[#This Row],[Wind onshore]]/Capacity_Entsoe_SFS_2016[[#This Row],[Wind onshore]]*10^6,0)</f>
        <v>1708.8607594936711</v>
      </c>
      <c r="AF51" s="548">
        <f>IFERROR(Generation_Entsoe_SFS_2016[[#This Row],[Wind offshore]]/Capacity_Entsoe_SFS_2016[[#This Row],[Wind offshore]]*10^6,0)</f>
        <v>3370.7865168539329</v>
      </c>
      <c r="AG51" s="548">
        <f>IFERROR(Generation_Entsoe_SFS_2016[[#This Row],[Solar PV]]/Capacity_Entsoe_SFS_2016[[#This Row],[Solar PV]]*10^6,0)</f>
        <v>939.42338840298021</v>
      </c>
      <c r="AH51" s="548">
        <f>IFERROR(Generation_Entsoe_SFS_2016[[#This Row],[Bioenergy]]/Capacity_Entsoe_SFS_2016[[#This Row],[Bioenergy]]*10^6,0)</f>
        <v>4131.227217496963</v>
      </c>
      <c r="AI51" s="548">
        <f>IFERROR(Generation_Entsoe_SFS_2016[[#This Row],[Other RES]]/Capacity_Entsoe_SFS_2016[[#This Row],[Other RES]]*10^6,0)</f>
        <v>0</v>
      </c>
      <c r="AJ51" s="548">
        <f>IFERROR(Generation_Entsoe_SFS_2016[[#This Row],[Renewable Hydro]]/Capacity_Entsoe_SFS_2016[[#This Row],[Renewable Hydro]]*10^6,0)</f>
        <v>2459.0163934426228</v>
      </c>
      <c r="AK51" s="548">
        <f>IFERROR(Generation_Entsoe_SFS_2016[[#This Row],[Pumped Hydro]]/Capacity_Entsoe_SFS_2016[[#This Row],[Pumped Hydro]]*10^6,0)</f>
        <v>840.97859327217134</v>
      </c>
      <c r="AL51" s="548">
        <f>IFERROR(Generation_Entsoe_SFS_2016[[#This Row],[Other sources]]/Capacity_Entsoe_SFS_2016[[#This Row],[Other sources]]*10^6,0)</f>
        <v>3225.8064516129034</v>
      </c>
    </row>
    <row r="52" spans="1:38" x14ac:dyDescent="0.25">
      <c r="A52" s="425" t="str">
        <f t="shared" si="0"/>
        <v>BG</v>
      </c>
      <c r="B52" s="366">
        <f t="shared" si="3"/>
        <v>2016</v>
      </c>
      <c r="C52" s="366" t="str">
        <f t="shared" si="3"/>
        <v>TWh</v>
      </c>
      <c r="D52" s="144">
        <f t="shared" si="4"/>
        <v>14.9</v>
      </c>
      <c r="E52" s="144">
        <f t="shared" si="5"/>
        <v>16.100000000000001</v>
      </c>
      <c r="F52" s="167">
        <f t="shared" si="6"/>
        <v>0.4</v>
      </c>
      <c r="G52" s="167">
        <f t="shared" si="7"/>
        <v>2.1</v>
      </c>
      <c r="H52" s="422">
        <f t="shared" si="8"/>
        <v>0</v>
      </c>
      <c r="I52" s="167">
        <f t="shared" si="9"/>
        <v>1.4</v>
      </c>
      <c r="J52" s="144">
        <f t="shared" si="10"/>
        <v>0</v>
      </c>
      <c r="K52" s="422">
        <f t="shared" si="11"/>
        <v>1.4</v>
      </c>
      <c r="L52" s="422">
        <f t="shared" si="12"/>
        <v>0.3</v>
      </c>
      <c r="M52" s="422">
        <f t="shared" si="13"/>
        <v>0</v>
      </c>
      <c r="N52" s="167">
        <f t="shared" si="14"/>
        <v>3.9</v>
      </c>
      <c r="O52" s="167">
        <f t="shared" si="15"/>
        <v>0.7</v>
      </c>
      <c r="P52" s="422">
        <f t="shared" si="16"/>
        <v>0</v>
      </c>
      <c r="Q52" s="167">
        <f t="shared" si="1"/>
        <v>41.199999999999996</v>
      </c>
      <c r="R52" s="167">
        <f t="shared" si="17"/>
        <v>41</v>
      </c>
      <c r="S52" s="424">
        <f t="shared" si="18"/>
        <v>1.0048780487804878</v>
      </c>
      <c r="T52" s="516">
        <f>INDEX($A$3:$AL$39,MATCH(Generation_Entsoe_SFS_2016[[#This Row],[Country]],$A$3:$A$39,0),MATCH(Generation_Entsoe_SFS_2016[[#Headers],[Consumption]],$A$1:$AL$1,0))</f>
        <v>33.700000000000003</v>
      </c>
      <c r="U52" s="516">
        <f>INDEX($A$3:$AL$39,MATCH(Generation_Entsoe_SFS_2016[[#This Row],[Country]],$A$3:$A$39,0),MATCH(Generation_Entsoe_SFS_2016[[#Headers],[Pumping]],$A$1:$AL$1,0))</f>
        <v>0.9</v>
      </c>
      <c r="W52" s="543" t="str">
        <f t="shared" si="2"/>
        <v>BG</v>
      </c>
      <c r="X52" s="544">
        <v>2016</v>
      </c>
      <c r="Y52" s="544" t="s">
        <v>648</v>
      </c>
      <c r="Z52" s="549">
        <f>IFERROR(Generation_Entsoe_SFS_2016[[#This Row],[Nuclear]]/Capacity_Entsoe_SFS_2016[[#This Row],[Nuclear]]*10^6,0)</f>
        <v>7450</v>
      </c>
      <c r="AA52" s="549">
        <f>IFERROR(Generation_Entsoe_SFS_2016[[#This Row],[Lignite]]/Capacity_Entsoe_SFS_2016[[#This Row],[Lignite]]*10^6,0)</f>
        <v>3834.2462491069309</v>
      </c>
      <c r="AB52" s="549">
        <f>IFERROR(Generation_Entsoe_SFS_2016[[#This Row],[Hard coal]]/Capacity_Entsoe_SFS_2016[[#This Row],[Hard coal]]*10^6,0)</f>
        <v>564.9717514124294</v>
      </c>
      <c r="AC52" s="549">
        <f>IFERROR(Generation_Entsoe_SFS_2016[[#This Row],[Fossil gases]]/Capacity_Entsoe_SFS_2016[[#This Row],[Fossil gases]]*10^6,0)</f>
        <v>2709.677419354839</v>
      </c>
      <c r="AD52" s="549">
        <f>IFERROR(Generation_Entsoe_SFS_2016[[#This Row],[Other fossil fuels]]/Capacity_Entsoe_SFS_2016[[#This Row],[Other fossil fuels]]*10^6,0)</f>
        <v>0</v>
      </c>
      <c r="AE52" s="549">
        <f>IFERROR(Generation_Entsoe_SFS_2016[[#This Row],[Wind onshore]]/Capacity_Entsoe_SFS_2016[[#This Row],[Wind onshore]]*10^6,0)</f>
        <v>1997.1469329529241</v>
      </c>
      <c r="AF52" s="549">
        <f>IFERROR(Generation_Entsoe_SFS_2016[[#This Row],[Wind offshore]]/Capacity_Entsoe_SFS_2016[[#This Row],[Wind offshore]]*10^6,0)</f>
        <v>0</v>
      </c>
      <c r="AG52" s="549">
        <f>IFERROR(Generation_Entsoe_SFS_2016[[#This Row],[Solar PV]]/Capacity_Entsoe_SFS_2016[[#This Row],[Solar PV]]*10^6,0)</f>
        <v>1342.2818791946308</v>
      </c>
      <c r="AH52" s="549">
        <f>IFERROR(Generation_Entsoe_SFS_2016[[#This Row],[Bioenergy]]/Capacity_Entsoe_SFS_2016[[#This Row],[Bioenergy]]*10^6,0)</f>
        <v>4347.826086956522</v>
      </c>
      <c r="AI52" s="549">
        <f>IFERROR(Generation_Entsoe_SFS_2016[[#This Row],[Other RES]]/Capacity_Entsoe_SFS_2016[[#This Row],[Other RES]]*10^6,0)</f>
        <v>0</v>
      </c>
      <c r="AJ52" s="549">
        <f>IFERROR(Generation_Entsoe_SFS_2016[[#This Row],[Renewable Hydro]]/Capacity_Entsoe_SFS_2016[[#This Row],[Renewable Hydro]]*10^6,0)</f>
        <v>1767.1046669687357</v>
      </c>
      <c r="AK52" s="549">
        <f>IFERROR(Generation_Entsoe_SFS_2016[[#This Row],[Pumped Hydro]]/Capacity_Entsoe_SFS_2016[[#This Row],[Pumped Hydro]]*10^6,0)</f>
        <v>702.1063189568705</v>
      </c>
      <c r="AL52" s="549">
        <f>IFERROR(Generation_Entsoe_SFS_2016[[#This Row],[Other sources]]/Capacity_Entsoe_SFS_2016[[#This Row],[Other sources]]*10^6,0)</f>
        <v>0</v>
      </c>
    </row>
    <row r="53" spans="1:38" x14ac:dyDescent="0.25">
      <c r="A53" s="425" t="str">
        <f t="shared" si="0"/>
        <v>CH</v>
      </c>
      <c r="B53" s="366">
        <f t="shared" si="3"/>
        <v>2016</v>
      </c>
      <c r="C53" s="366" t="str">
        <f t="shared" si="3"/>
        <v>TWh</v>
      </c>
      <c r="D53" s="144">
        <f t="shared" si="4"/>
        <v>20.2</v>
      </c>
      <c r="E53" s="144">
        <f t="shared" si="5"/>
        <v>0</v>
      </c>
      <c r="F53" s="167">
        <f t="shared" si="6"/>
        <v>0</v>
      </c>
      <c r="G53" s="167">
        <f t="shared" si="7"/>
        <v>0.3</v>
      </c>
      <c r="H53" s="422">
        <f t="shared" si="8"/>
        <v>1.1000000000000001</v>
      </c>
      <c r="I53" s="167">
        <f t="shared" si="9"/>
        <v>0.1</v>
      </c>
      <c r="J53" s="144">
        <f t="shared" si="10"/>
        <v>0</v>
      </c>
      <c r="K53" s="422">
        <f t="shared" si="11"/>
        <v>0.5</v>
      </c>
      <c r="L53" s="422">
        <f t="shared" si="12"/>
        <v>0.4</v>
      </c>
      <c r="M53" s="422">
        <f t="shared" si="13"/>
        <v>2</v>
      </c>
      <c r="N53" s="167">
        <f t="shared" si="14"/>
        <v>18.399999999999999</v>
      </c>
      <c r="O53" s="167">
        <f t="shared" si="15"/>
        <v>17.900000000000002</v>
      </c>
      <c r="P53" s="422">
        <f t="shared" si="16"/>
        <v>0.7</v>
      </c>
      <c r="Q53" s="167">
        <f t="shared" si="1"/>
        <v>61.600000000000009</v>
      </c>
      <c r="R53" s="167">
        <f t="shared" si="17"/>
        <v>61.6</v>
      </c>
      <c r="S53" s="424">
        <f t="shared" si="18"/>
        <v>1.0000000000000002</v>
      </c>
      <c r="T53" s="516">
        <f>INDEX($A$3:$AL$39,MATCH(Generation_Entsoe_SFS_2016[[#This Row],[Country]],$A$3:$A$39,0),MATCH(Generation_Entsoe_SFS_2016[[#Headers],[Consumption]],$A$1:$AL$1,0))</f>
        <v>63.1</v>
      </c>
      <c r="U53" s="516">
        <f>INDEX($A$3:$AL$39,MATCH(Generation_Entsoe_SFS_2016[[#This Row],[Country]],$A$3:$A$39,0),MATCH(Generation_Entsoe_SFS_2016[[#Headers],[Pumping]],$A$1:$AL$1,0))</f>
        <v>2.9</v>
      </c>
      <c r="W53" s="543" t="str">
        <f t="shared" si="2"/>
        <v>CH</v>
      </c>
      <c r="X53" s="544">
        <v>2016</v>
      </c>
      <c r="Y53" s="544" t="s">
        <v>648</v>
      </c>
      <c r="Z53" s="548">
        <f>IFERROR(Generation_Entsoe_SFS_2016[[#This Row],[Nuclear]]/Capacity_Entsoe_SFS_2016[[#This Row],[Nuclear]]*10^6,0)</f>
        <v>6060.606060606061</v>
      </c>
      <c r="AA53" s="548">
        <f>IFERROR(Generation_Entsoe_SFS_2016[[#This Row],[Lignite]]/Capacity_Entsoe_SFS_2016[[#This Row],[Lignite]]*10^6,0)</f>
        <v>0</v>
      </c>
      <c r="AB53" s="548">
        <f>IFERROR(Generation_Entsoe_SFS_2016[[#This Row],[Hard coal]]/Capacity_Entsoe_SFS_2016[[#This Row],[Hard coal]]*10^6,0)</f>
        <v>0</v>
      </c>
      <c r="AC53" s="548">
        <f>IFERROR(Generation_Entsoe_SFS_2016[[#This Row],[Fossil gases]]/Capacity_Entsoe_SFS_2016[[#This Row],[Fossil gases]]*10^6,0)</f>
        <v>0</v>
      </c>
      <c r="AD53" s="548">
        <f>IFERROR(Generation_Entsoe_SFS_2016[[#This Row],[Other fossil fuels]]/Capacity_Entsoe_SFS_2016[[#This Row],[Other fossil fuels]]*10^6,0)</f>
        <v>2195.6087824351303</v>
      </c>
      <c r="AE53" s="548">
        <f>IFERROR(Generation_Entsoe_SFS_2016[[#This Row],[Wind onshore]]/Capacity_Entsoe_SFS_2016[[#This Row],[Wind onshore]]*10^6,0)</f>
        <v>1666.6666666666667</v>
      </c>
      <c r="AF53" s="548">
        <f>IFERROR(Generation_Entsoe_SFS_2016[[#This Row],[Wind offshore]]/Capacity_Entsoe_SFS_2016[[#This Row],[Wind offshore]]*10^6,0)</f>
        <v>0</v>
      </c>
      <c r="AG53" s="548">
        <f>IFERROR(Generation_Entsoe_SFS_2016[[#This Row],[Solar PV]]/Capacity_Entsoe_SFS_2016[[#This Row],[Solar PV]]*10^6,0)</f>
        <v>471.25353440150798</v>
      </c>
      <c r="AH53" s="548">
        <f>IFERROR(Generation_Entsoe_SFS_2016[[#This Row],[Bioenergy]]/Capacity_Entsoe_SFS_2016[[#This Row],[Bioenergy]]*10^6,0)</f>
        <v>1612.9032258064517</v>
      </c>
      <c r="AI53" s="548">
        <f>IFERROR(Generation_Entsoe_SFS_2016[[#This Row],[Other RES]]/Capacity_Entsoe_SFS_2016[[#This Row],[Other RES]]*10^6,0)</f>
        <v>8196.7213114754104</v>
      </c>
      <c r="AJ53" s="548">
        <f>IFERROR(Generation_Entsoe_SFS_2016[[#This Row],[Renewable Hydro]]/Capacity_Entsoe_SFS_2016[[#This Row],[Renewable Hydro]]*10^6,0)</f>
        <v>1488.4322925093027</v>
      </c>
      <c r="AK53" s="554">
        <f>IFERROR(Generation_Entsoe_SFS_2016[[#This Row],[Pumped Hydro]]/Capacity_Entsoe_SFS_2016[[#This Row],[Pumped Hydro]]*10^6,0)</f>
        <v>12942.877801879973</v>
      </c>
      <c r="AL53" s="548">
        <f>IFERROR(Generation_Entsoe_SFS_2016[[#This Row],[Other sources]]/Capacity_Entsoe_SFS_2016[[#This Row],[Other sources]]*10^6,0)</f>
        <v>0</v>
      </c>
    </row>
    <row r="54" spans="1:38" x14ac:dyDescent="0.25">
      <c r="A54" s="425" t="str">
        <f t="shared" si="0"/>
        <v>CY</v>
      </c>
      <c r="B54" s="366">
        <f t="shared" si="3"/>
        <v>2016</v>
      </c>
      <c r="C54" s="366" t="str">
        <f t="shared" si="3"/>
        <v>TWh</v>
      </c>
      <c r="D54" s="144">
        <f t="shared" si="4"/>
        <v>0</v>
      </c>
      <c r="E54" s="144">
        <f t="shared" si="5"/>
        <v>0</v>
      </c>
      <c r="F54" s="167">
        <f t="shared" si="6"/>
        <v>0</v>
      </c>
      <c r="G54" s="167">
        <f t="shared" si="7"/>
        <v>0</v>
      </c>
      <c r="H54" s="422">
        <f t="shared" si="8"/>
        <v>4.5</v>
      </c>
      <c r="I54" s="167">
        <f t="shared" si="9"/>
        <v>0.2</v>
      </c>
      <c r="J54" s="144">
        <f t="shared" si="10"/>
        <v>0</v>
      </c>
      <c r="K54" s="422">
        <f t="shared" si="11"/>
        <v>0</v>
      </c>
      <c r="L54" s="422">
        <f t="shared" si="12"/>
        <v>0</v>
      </c>
      <c r="M54" s="422">
        <f t="shared" si="13"/>
        <v>0</v>
      </c>
      <c r="N54" s="167">
        <f t="shared" si="14"/>
        <v>0</v>
      </c>
      <c r="O54" s="167">
        <f t="shared" si="15"/>
        <v>0</v>
      </c>
      <c r="P54" s="422">
        <f t="shared" si="16"/>
        <v>0</v>
      </c>
      <c r="Q54" s="167">
        <f t="shared" si="1"/>
        <v>4.7</v>
      </c>
      <c r="R54" s="167">
        <f t="shared" si="17"/>
        <v>4.7</v>
      </c>
      <c r="S54" s="424">
        <f t="shared" si="18"/>
        <v>1</v>
      </c>
      <c r="T54" s="516">
        <f>INDEX($A$3:$AL$39,MATCH(Generation_Entsoe_SFS_2016[[#This Row],[Country]],$A$3:$A$39,0),MATCH(Generation_Entsoe_SFS_2016[[#Headers],[Consumption]],$A$1:$AL$1,0))</f>
        <v>4.7</v>
      </c>
      <c r="U54" s="516">
        <f>INDEX($A$3:$AL$39,MATCH(Generation_Entsoe_SFS_2016[[#This Row],[Country]],$A$3:$A$39,0),MATCH(Generation_Entsoe_SFS_2016[[#Headers],[Pumping]],$A$1:$AL$1,0))</f>
        <v>0</v>
      </c>
      <c r="W54" s="543" t="str">
        <f t="shared" si="2"/>
        <v>CY</v>
      </c>
      <c r="X54" s="544">
        <v>2016</v>
      </c>
      <c r="Y54" s="544" t="s">
        <v>648</v>
      </c>
      <c r="Z54" s="549">
        <f>IFERROR(Generation_Entsoe_SFS_2016[[#This Row],[Nuclear]]/Capacity_Entsoe_SFS_2016[[#This Row],[Nuclear]]*10^6,0)</f>
        <v>0</v>
      </c>
      <c r="AA54" s="549">
        <f>IFERROR(Generation_Entsoe_SFS_2016[[#This Row],[Lignite]]/Capacity_Entsoe_SFS_2016[[#This Row],[Lignite]]*10^6,0)</f>
        <v>0</v>
      </c>
      <c r="AB54" s="549">
        <f>IFERROR(Generation_Entsoe_SFS_2016[[#This Row],[Hard coal]]/Capacity_Entsoe_SFS_2016[[#This Row],[Hard coal]]*10^6,0)</f>
        <v>0</v>
      </c>
      <c r="AC54" s="549">
        <f>IFERROR(Generation_Entsoe_SFS_2016[[#This Row],[Fossil gases]]/Capacity_Entsoe_SFS_2016[[#This Row],[Fossil gases]]*10^6,0)</f>
        <v>0</v>
      </c>
      <c r="AD54" s="549">
        <f>IFERROR(Generation_Entsoe_SFS_2016[[#This Row],[Other fossil fuels]]/Capacity_Entsoe_SFS_2016[[#This Row],[Other fossil fuels]]*10^6,0)</f>
        <v>3044.6549391069011</v>
      </c>
      <c r="AE54" s="549">
        <f>IFERROR(Generation_Entsoe_SFS_2016[[#This Row],[Wind onshore]]/Capacity_Entsoe_SFS_2016[[#This Row],[Wind onshore]]*10^6,0)</f>
        <v>1290.3225806451612</v>
      </c>
      <c r="AF54" s="549">
        <f>IFERROR(Generation_Entsoe_SFS_2016[[#This Row],[Wind offshore]]/Capacity_Entsoe_SFS_2016[[#This Row],[Wind offshore]]*10^6,0)</f>
        <v>0</v>
      </c>
      <c r="AG54" s="549">
        <f>IFERROR(Generation_Entsoe_SFS_2016[[#This Row],[Solar PV]]/Capacity_Entsoe_SFS_2016[[#This Row],[Solar PV]]*10^6,0)</f>
        <v>0</v>
      </c>
      <c r="AH54" s="549">
        <f>IFERROR(Generation_Entsoe_SFS_2016[[#This Row],[Bioenergy]]/Capacity_Entsoe_SFS_2016[[#This Row],[Bioenergy]]*10^6,0)</f>
        <v>0</v>
      </c>
      <c r="AI54" s="549">
        <f>IFERROR(Generation_Entsoe_SFS_2016[[#This Row],[Other RES]]/Capacity_Entsoe_SFS_2016[[#This Row],[Other RES]]*10^6,0)</f>
        <v>0</v>
      </c>
      <c r="AJ54" s="549">
        <f>IFERROR(Generation_Entsoe_SFS_2016[[#This Row],[Renewable Hydro]]/Capacity_Entsoe_SFS_2016[[#This Row],[Renewable Hydro]]*10^6,0)</f>
        <v>0</v>
      </c>
      <c r="AK54" s="549">
        <f>IFERROR(Generation_Entsoe_SFS_2016[[#This Row],[Pumped Hydro]]/Capacity_Entsoe_SFS_2016[[#This Row],[Pumped Hydro]]*10^6,0)</f>
        <v>0</v>
      </c>
      <c r="AL54" s="549">
        <f>IFERROR(Generation_Entsoe_SFS_2016[[#This Row],[Other sources]]/Capacity_Entsoe_SFS_2016[[#This Row],[Other sources]]*10^6,0)</f>
        <v>0</v>
      </c>
    </row>
    <row r="55" spans="1:38" x14ac:dyDescent="0.25">
      <c r="A55" s="425" t="str">
        <f t="shared" si="0"/>
        <v>CZ</v>
      </c>
      <c r="B55" s="366">
        <f t="shared" si="3"/>
        <v>2016</v>
      </c>
      <c r="C55" s="366" t="str">
        <f t="shared" si="3"/>
        <v>TWh</v>
      </c>
      <c r="D55" s="144">
        <f t="shared" si="4"/>
        <v>22.7</v>
      </c>
      <c r="E55" s="144">
        <f t="shared" si="5"/>
        <v>32.9</v>
      </c>
      <c r="F55" s="167">
        <f t="shared" si="6"/>
        <v>5.2</v>
      </c>
      <c r="G55" s="167">
        <f t="shared" si="7"/>
        <v>6.3</v>
      </c>
      <c r="H55" s="422">
        <f t="shared" si="8"/>
        <v>0.2</v>
      </c>
      <c r="I55" s="167">
        <f t="shared" si="9"/>
        <v>0.5</v>
      </c>
      <c r="J55" s="144">
        <f t="shared" si="10"/>
        <v>0</v>
      </c>
      <c r="K55" s="422">
        <f t="shared" si="11"/>
        <v>2.1</v>
      </c>
      <c r="L55" s="422">
        <f t="shared" si="12"/>
        <v>4.3</v>
      </c>
      <c r="M55" s="422">
        <f t="shared" si="13"/>
        <v>0</v>
      </c>
      <c r="N55" s="167">
        <f t="shared" si="14"/>
        <v>2</v>
      </c>
      <c r="O55" s="167">
        <f t="shared" si="15"/>
        <v>1.2</v>
      </c>
      <c r="P55" s="422">
        <f t="shared" si="16"/>
        <v>0</v>
      </c>
      <c r="Q55" s="167">
        <f t="shared" si="1"/>
        <v>77.399999999999991</v>
      </c>
      <c r="R55" s="167">
        <f t="shared" si="17"/>
        <v>77.400000000000006</v>
      </c>
      <c r="S55" s="424">
        <f t="shared" si="18"/>
        <v>0.99999999999999978</v>
      </c>
      <c r="T55" s="516">
        <f>INDEX($A$3:$AL$39,MATCH(Generation_Entsoe_SFS_2016[[#This Row],[Country]],$A$3:$A$39,0),MATCH(Generation_Entsoe_SFS_2016[[#Headers],[Consumption]],$A$1:$AL$1,0))</f>
        <v>64.900000000000006</v>
      </c>
      <c r="U55" s="516">
        <f>INDEX($A$3:$AL$39,MATCH(Generation_Entsoe_SFS_2016[[#This Row],[Country]],$A$3:$A$39,0),MATCH(Generation_Entsoe_SFS_2016[[#Headers],[Pumping]],$A$1:$AL$1,0))</f>
        <v>1.6</v>
      </c>
      <c r="W55" s="543" t="str">
        <f t="shared" si="2"/>
        <v>CZ</v>
      </c>
      <c r="X55" s="544">
        <v>2016</v>
      </c>
      <c r="Y55" s="544" t="s">
        <v>648</v>
      </c>
      <c r="Z55" s="548">
        <f>IFERROR(Generation_Entsoe_SFS_2016[[#This Row],[Nuclear]]/Capacity_Entsoe_SFS_2016[[#This Row],[Nuclear]]*10^6,0)</f>
        <v>5618.8118811881186</v>
      </c>
      <c r="AA55" s="548">
        <f>IFERROR(Generation_Entsoe_SFS_2016[[#This Row],[Lignite]]/Capacity_Entsoe_SFS_2016[[#This Row],[Lignite]]*10^6,0)</f>
        <v>4149.325261697566</v>
      </c>
      <c r="AB55" s="548">
        <f>IFERROR(Generation_Entsoe_SFS_2016[[#This Row],[Hard coal]]/Capacity_Entsoe_SFS_2016[[#This Row],[Hard coal]]*10^6,0)</f>
        <v>4333.333333333333</v>
      </c>
      <c r="AC55" s="548">
        <f>IFERROR(Generation_Entsoe_SFS_2016[[#This Row],[Fossil gases]]/Capacity_Entsoe_SFS_2016[[#This Row],[Fossil gases]]*10^6,0)</f>
        <v>3922.7895392278951</v>
      </c>
      <c r="AD55" s="548">
        <f>IFERROR(Generation_Entsoe_SFS_2016[[#This Row],[Other fossil fuels]]/Capacity_Entsoe_SFS_2016[[#This Row],[Other fossil fuels]]*10^6,0)</f>
        <v>0</v>
      </c>
      <c r="AE55" s="548">
        <f>IFERROR(Generation_Entsoe_SFS_2016[[#This Row],[Wind onshore]]/Capacity_Entsoe_SFS_2016[[#This Row],[Wind onshore]]*10^6,0)</f>
        <v>1805.0541516245487</v>
      </c>
      <c r="AF55" s="548">
        <f>IFERROR(Generation_Entsoe_SFS_2016[[#This Row],[Wind offshore]]/Capacity_Entsoe_SFS_2016[[#This Row],[Wind offshore]]*10^6,0)</f>
        <v>0</v>
      </c>
      <c r="AG55" s="548">
        <f>IFERROR(Generation_Entsoe_SFS_2016[[#This Row],[Solar PV]]/Capacity_Entsoe_SFS_2016[[#This Row],[Solar PV]]*10^6,0)</f>
        <v>1036.0138135175137</v>
      </c>
      <c r="AH55" s="548">
        <f>IFERROR(Generation_Entsoe_SFS_2016[[#This Row],[Bioenergy]]/Capacity_Entsoe_SFS_2016[[#This Row],[Bioenergy]]*10^6,0)</f>
        <v>5058.8235294117649</v>
      </c>
      <c r="AI55" s="548">
        <f>IFERROR(Generation_Entsoe_SFS_2016[[#This Row],[Other RES]]/Capacity_Entsoe_SFS_2016[[#This Row],[Other RES]]*10^6,0)</f>
        <v>0</v>
      </c>
      <c r="AJ55" s="548">
        <f>IFERROR(Generation_Entsoe_SFS_2016[[#This Row],[Renewable Hydro]]/Capacity_Entsoe_SFS_2016[[#This Row],[Renewable Hydro]]*10^6,0)</f>
        <v>1839.9264029438823</v>
      </c>
      <c r="AK55" s="548">
        <f>IFERROR(Generation_Entsoe_SFS_2016[[#This Row],[Pumped Hydro]]/Capacity_Entsoe_SFS_2016[[#This Row],[Pumped Hydro]]*10^6,0)</f>
        <v>1023.8907849829352</v>
      </c>
      <c r="AL55" s="548">
        <f>IFERROR(Generation_Entsoe_SFS_2016[[#This Row],[Other sources]]/Capacity_Entsoe_SFS_2016[[#This Row],[Other sources]]*10^6,0)</f>
        <v>0</v>
      </c>
    </row>
    <row r="56" spans="1:38" x14ac:dyDescent="0.25">
      <c r="A56" s="425" t="str">
        <f t="shared" si="0"/>
        <v>DE</v>
      </c>
      <c r="B56" s="366">
        <f t="shared" si="3"/>
        <v>2016</v>
      </c>
      <c r="C56" s="366" t="str">
        <f t="shared" si="3"/>
        <v>TWh</v>
      </c>
      <c r="D56" s="144">
        <f t="shared" si="4"/>
        <v>80</v>
      </c>
      <c r="E56" s="144">
        <f t="shared" si="5"/>
        <v>138.4</v>
      </c>
      <c r="F56" s="167">
        <f t="shared" si="6"/>
        <v>100.5</v>
      </c>
      <c r="G56" s="167">
        <f t="shared" si="7"/>
        <v>91.1</v>
      </c>
      <c r="H56" s="422">
        <f t="shared" si="8"/>
        <v>7.4</v>
      </c>
      <c r="I56" s="167">
        <f t="shared" si="9"/>
        <v>66.099999999999994</v>
      </c>
      <c r="J56" s="144">
        <f t="shared" si="10"/>
        <v>12.1</v>
      </c>
      <c r="K56" s="422">
        <f t="shared" si="11"/>
        <v>34.9</v>
      </c>
      <c r="L56" s="422">
        <f t="shared" si="12"/>
        <v>40.700000000000003</v>
      </c>
      <c r="M56" s="422">
        <f t="shared" si="13"/>
        <v>6.7</v>
      </c>
      <c r="N56" s="167">
        <f t="shared" si="14"/>
        <v>20.900000000000002</v>
      </c>
      <c r="O56" s="167">
        <f t="shared" si="15"/>
        <v>6</v>
      </c>
      <c r="P56" s="422">
        <f t="shared" si="16"/>
        <v>5</v>
      </c>
      <c r="Q56" s="167">
        <f t="shared" si="1"/>
        <v>609.80000000000007</v>
      </c>
      <c r="R56" s="167">
        <f t="shared" si="17"/>
        <v>609.6</v>
      </c>
      <c r="S56" s="424">
        <f t="shared" si="18"/>
        <v>1.0003280839895015</v>
      </c>
      <c r="T56" s="516">
        <f>INDEX($A$3:$AL$39,MATCH(Generation_Entsoe_SFS_2016[[#This Row],[Country]],$A$3:$A$39,0),MATCH(Generation_Entsoe_SFS_2016[[#Headers],[Consumption]],$A$1:$AL$1,0))</f>
        <v>548.4</v>
      </c>
      <c r="U56" s="516">
        <f>INDEX($A$3:$AL$39,MATCH(Generation_Entsoe_SFS_2016[[#This Row],[Country]],$A$3:$A$39,0),MATCH(Generation_Entsoe_SFS_2016[[#Headers],[Pumping]],$A$1:$AL$1,0))</f>
        <v>7.5</v>
      </c>
      <c r="W56" s="543" t="str">
        <f t="shared" si="2"/>
        <v>DE</v>
      </c>
      <c r="X56" s="544">
        <v>2016</v>
      </c>
      <c r="Y56" s="544" t="s">
        <v>648</v>
      </c>
      <c r="Z56" s="549">
        <f>IFERROR(Generation_Entsoe_SFS_2016[[#This Row],[Nuclear]]/Capacity_Entsoe_SFS_2016[[#This Row],[Nuclear]]*10^6,0)</f>
        <v>7412.2116186417115</v>
      </c>
      <c r="AA56" s="549">
        <f>IFERROR(Generation_Entsoe_SFS_2016[[#This Row],[Lignite]]/Capacity_Entsoe_SFS_2016[[#This Row],[Lignite]]*10^6,0)</f>
        <v>6633.7535349662085</v>
      </c>
      <c r="AB56" s="549">
        <f>IFERROR(Generation_Entsoe_SFS_2016[[#This Row],[Hard coal]]/Capacity_Entsoe_SFS_2016[[#This Row],[Hard coal]]*10^6,0)</f>
        <v>3747.48303378328</v>
      </c>
      <c r="AC56" s="549">
        <f>IFERROR(Generation_Entsoe_SFS_2016[[#This Row],[Fossil gases]]/Capacity_Entsoe_SFS_2016[[#This Row],[Fossil gases]]*10^6,0)</f>
        <v>3185.760246188278</v>
      </c>
      <c r="AD56" s="549">
        <f>IFERROR(Generation_Entsoe_SFS_2016[[#This Row],[Other fossil fuels]]/Capacity_Entsoe_SFS_2016[[#This Row],[Other fossil fuels]]*10^6,0)</f>
        <v>937.06470811700649</v>
      </c>
      <c r="AE56" s="549">
        <f>IFERROR(Generation_Entsoe_SFS_2016[[#This Row],[Wind onshore]]/Capacity_Entsoe_SFS_2016[[#This Row],[Wind onshore]]*10^6,0)</f>
        <v>1468.7583325926585</v>
      </c>
      <c r="AF56" s="549">
        <f>IFERROR(Generation_Entsoe_SFS_2016[[#This Row],[Wind offshore]]/Capacity_Entsoe_SFS_2016[[#This Row],[Wind offshore]]*10^6,0)</f>
        <v>2935.4682193110139</v>
      </c>
      <c r="AG56" s="549">
        <f>IFERROR(Generation_Entsoe_SFS_2016[[#This Row],[Solar PV]]/Capacity_Entsoe_SFS_2016[[#This Row],[Solar PV]]*10^6,0)</f>
        <v>877.08275740745387</v>
      </c>
      <c r="AH56" s="549">
        <f>IFERROR(Generation_Entsoe_SFS_2016[[#This Row],[Bioenergy]]/Capacity_Entsoe_SFS_2016[[#This Row],[Bioenergy]]*10^6,0)</f>
        <v>5891.7197452229302</v>
      </c>
      <c r="AI56" s="549">
        <f>IFERROR(Generation_Entsoe_SFS_2016[[#This Row],[Other RES]]/Capacity_Entsoe_SFS_2016[[#This Row],[Other RES]]*10^6,0)</f>
        <v>5606.6945606694562</v>
      </c>
      <c r="AJ56" s="549">
        <f>IFERROR(Generation_Entsoe_SFS_2016[[#This Row],[Renewable Hydro]]/Capacity_Entsoe_SFS_2016[[#This Row],[Renewable Hydro]]*10^6,0)</f>
        <v>5060.5326876513318</v>
      </c>
      <c r="AK56" s="549">
        <f>IFERROR(Generation_Entsoe_SFS_2016[[#This Row],[Pumped Hydro]]/Capacity_Entsoe_SFS_2016[[#This Row],[Pumped Hydro]]*10^6,0)</f>
        <v>945.62647754137106</v>
      </c>
      <c r="AL56" s="549">
        <f>IFERROR(Generation_Entsoe_SFS_2016[[#This Row],[Other sources]]/Capacity_Entsoe_SFS_2016[[#This Row],[Other sources]]*10^6,0)</f>
        <v>7704.160246533128</v>
      </c>
    </row>
    <row r="57" spans="1:38" x14ac:dyDescent="0.25">
      <c r="A57" s="425" t="str">
        <f t="shared" si="0"/>
        <v>DK</v>
      </c>
      <c r="B57" s="366">
        <f t="shared" si="3"/>
        <v>2016</v>
      </c>
      <c r="C57" s="366" t="str">
        <f t="shared" si="3"/>
        <v>TWh</v>
      </c>
      <c r="D57" s="144">
        <f t="shared" si="4"/>
        <v>0</v>
      </c>
      <c r="E57" s="144">
        <f t="shared" si="5"/>
        <v>0</v>
      </c>
      <c r="F57" s="167">
        <f t="shared" si="6"/>
        <v>8.1</v>
      </c>
      <c r="G57" s="167">
        <f t="shared" si="7"/>
        <v>2.2000000000000002</v>
      </c>
      <c r="H57" s="422">
        <f t="shared" si="8"/>
        <v>0.1</v>
      </c>
      <c r="I57" s="167">
        <f t="shared" si="9"/>
        <v>8.1</v>
      </c>
      <c r="J57" s="144">
        <f t="shared" si="10"/>
        <v>4.7</v>
      </c>
      <c r="K57" s="422">
        <f t="shared" si="11"/>
        <v>0.7</v>
      </c>
      <c r="L57" s="422">
        <f t="shared" si="12"/>
        <v>3.5</v>
      </c>
      <c r="M57" s="422">
        <f t="shared" si="13"/>
        <v>1.4</v>
      </c>
      <c r="N57" s="167">
        <f t="shared" si="14"/>
        <v>0</v>
      </c>
      <c r="O57" s="167">
        <f t="shared" si="15"/>
        <v>0</v>
      </c>
      <c r="P57" s="422">
        <f t="shared" si="16"/>
        <v>0</v>
      </c>
      <c r="Q57" s="167">
        <f t="shared" si="1"/>
        <v>28.799999999999997</v>
      </c>
      <c r="R57" s="167">
        <f t="shared" si="17"/>
        <v>28.9</v>
      </c>
      <c r="S57" s="424">
        <f t="shared" si="18"/>
        <v>0.9965397923875432</v>
      </c>
      <c r="T57" s="516">
        <f>INDEX($A$3:$AL$39,MATCH(Generation_Entsoe_SFS_2016[[#This Row],[Country]],$A$3:$A$39,0),MATCH(Generation_Entsoe_SFS_2016[[#Headers],[Consumption]],$A$1:$AL$1,0))</f>
        <v>34.700000000000003</v>
      </c>
      <c r="U57" s="516">
        <f>INDEX($A$3:$AL$39,MATCH(Generation_Entsoe_SFS_2016[[#This Row],[Country]],$A$3:$A$39,0),MATCH(Generation_Entsoe_SFS_2016[[#Headers],[Pumping]],$A$1:$AL$1,0))</f>
        <v>0</v>
      </c>
      <c r="W57" s="543" t="str">
        <f t="shared" si="2"/>
        <v>DK</v>
      </c>
      <c r="X57" s="544">
        <v>2016</v>
      </c>
      <c r="Y57" s="544" t="s">
        <v>648</v>
      </c>
      <c r="Z57" s="548">
        <f>IFERROR(Generation_Entsoe_SFS_2016[[#This Row],[Nuclear]]/Capacity_Entsoe_SFS_2016[[#This Row],[Nuclear]]*10^6,0)</f>
        <v>0</v>
      </c>
      <c r="AA57" s="548">
        <f>IFERROR(Generation_Entsoe_SFS_2016[[#This Row],[Lignite]]/Capacity_Entsoe_SFS_2016[[#This Row],[Lignite]]*10^6,0)</f>
        <v>0</v>
      </c>
      <c r="AB57" s="548">
        <f>IFERROR(Generation_Entsoe_SFS_2016[[#This Row],[Hard coal]]/Capacity_Entsoe_SFS_2016[[#This Row],[Hard coal]]*10^6,0)</f>
        <v>1780.21978021978</v>
      </c>
      <c r="AC57" s="548">
        <f>IFERROR(Generation_Entsoe_SFS_2016[[#This Row],[Fossil gases]]/Capacity_Entsoe_SFS_2016[[#This Row],[Fossil gases]]*10^6,0)</f>
        <v>904.97737556561094</v>
      </c>
      <c r="AD57" s="548">
        <f>IFERROR(Generation_Entsoe_SFS_2016[[#This Row],[Other fossil fuels]]/Capacity_Entsoe_SFS_2016[[#This Row],[Other fossil fuels]]*10^6,0)</f>
        <v>113.25028312570781</v>
      </c>
      <c r="AE57" s="548">
        <f>IFERROR(Generation_Entsoe_SFS_2016[[#This Row],[Wind onshore]]/Capacity_Entsoe_SFS_2016[[#This Row],[Wind onshore]]*10^6,0)</f>
        <v>2036.1990950226241</v>
      </c>
      <c r="AF57" s="548">
        <f>IFERROR(Generation_Entsoe_SFS_2016[[#This Row],[Wind offshore]]/Capacity_Entsoe_SFS_2016[[#This Row],[Wind offshore]]*10^6,0)</f>
        <v>3697.8756884343038</v>
      </c>
      <c r="AG57" s="548">
        <f>IFERROR(Generation_Entsoe_SFS_2016[[#This Row],[Solar PV]]/Capacity_Entsoe_SFS_2016[[#This Row],[Solar PV]]*10^6,0)</f>
        <v>822.56169212690952</v>
      </c>
      <c r="AH57" s="548">
        <f>IFERROR(Generation_Entsoe_SFS_2016[[#This Row],[Bioenergy]]/Capacity_Entsoe_SFS_2016[[#This Row],[Bioenergy]]*10^6,0)</f>
        <v>2971.1375212224107</v>
      </c>
      <c r="AI57" s="548">
        <f>IFERROR(Generation_Entsoe_SFS_2016[[#This Row],[Other RES]]/Capacity_Entsoe_SFS_2016[[#This Row],[Other RES]]*10^6,0)</f>
        <v>3723.4042553191489</v>
      </c>
      <c r="AJ57" s="548">
        <f>IFERROR(Generation_Entsoe_SFS_2016[[#This Row],[Renewable Hydro]]/Capacity_Entsoe_SFS_2016[[#This Row],[Renewable Hydro]]*10^6,0)</f>
        <v>0</v>
      </c>
      <c r="AK57" s="548">
        <f>IFERROR(Generation_Entsoe_SFS_2016[[#This Row],[Pumped Hydro]]/Capacity_Entsoe_SFS_2016[[#This Row],[Pumped Hydro]]*10^6,0)</f>
        <v>0</v>
      </c>
      <c r="AL57" s="548">
        <f>IFERROR(Generation_Entsoe_SFS_2016[[#This Row],[Other sources]]/Capacity_Entsoe_SFS_2016[[#This Row],[Other sources]]*10^6,0)</f>
        <v>0</v>
      </c>
    </row>
    <row r="58" spans="1:38" x14ac:dyDescent="0.25">
      <c r="A58" s="425" t="str">
        <f t="shared" si="0"/>
        <v>EE</v>
      </c>
      <c r="B58" s="366">
        <f t="shared" si="3"/>
        <v>2016</v>
      </c>
      <c r="C58" s="366" t="str">
        <f t="shared" si="3"/>
        <v>TWh</v>
      </c>
      <c r="D58" s="144">
        <f t="shared" si="4"/>
        <v>0</v>
      </c>
      <c r="E58" s="144">
        <f t="shared" si="5"/>
        <v>0</v>
      </c>
      <c r="F58" s="167">
        <f t="shared" si="6"/>
        <v>0</v>
      </c>
      <c r="G58" s="167">
        <f t="shared" si="7"/>
        <v>0</v>
      </c>
      <c r="H58" s="422">
        <f t="shared" si="8"/>
        <v>9</v>
      </c>
      <c r="I58" s="167">
        <f t="shared" si="9"/>
        <v>0.6</v>
      </c>
      <c r="J58" s="144">
        <f t="shared" si="10"/>
        <v>0</v>
      </c>
      <c r="K58" s="422">
        <f t="shared" si="11"/>
        <v>0</v>
      </c>
      <c r="L58" s="422">
        <f t="shared" si="12"/>
        <v>0.7</v>
      </c>
      <c r="M58" s="422">
        <f t="shared" si="13"/>
        <v>0.1</v>
      </c>
      <c r="N58" s="167">
        <f t="shared" si="14"/>
        <v>0</v>
      </c>
      <c r="O58" s="167">
        <f t="shared" si="15"/>
        <v>0</v>
      </c>
      <c r="P58" s="422">
        <f t="shared" si="16"/>
        <v>0</v>
      </c>
      <c r="Q58" s="167">
        <f t="shared" si="1"/>
        <v>10.399999999999999</v>
      </c>
      <c r="R58" s="167">
        <f t="shared" si="17"/>
        <v>10.4</v>
      </c>
      <c r="S58" s="424">
        <f t="shared" si="18"/>
        <v>0.99999999999999978</v>
      </c>
      <c r="T58" s="516">
        <f>INDEX($A$3:$AL$39,MATCH(Generation_Entsoe_SFS_2016[[#This Row],[Country]],$A$3:$A$39,0),MATCH(Generation_Entsoe_SFS_2016[[#Headers],[Consumption]],$A$1:$AL$1,0))</f>
        <v>8.4</v>
      </c>
      <c r="U58" s="516">
        <f>INDEX($A$3:$AL$39,MATCH(Generation_Entsoe_SFS_2016[[#This Row],[Country]],$A$3:$A$39,0),MATCH(Generation_Entsoe_SFS_2016[[#Headers],[Pumping]],$A$1:$AL$1,0))</f>
        <v>0</v>
      </c>
      <c r="W58" s="543" t="str">
        <f t="shared" si="2"/>
        <v>EE</v>
      </c>
      <c r="X58" s="544">
        <v>2016</v>
      </c>
      <c r="Y58" s="544" t="s">
        <v>648</v>
      </c>
      <c r="Z58" s="549">
        <f>IFERROR(Generation_Entsoe_SFS_2016[[#This Row],[Nuclear]]/Capacity_Entsoe_SFS_2016[[#This Row],[Nuclear]]*10^6,0)</f>
        <v>0</v>
      </c>
      <c r="AA58" s="549">
        <f>IFERROR(Generation_Entsoe_SFS_2016[[#This Row],[Lignite]]/Capacity_Entsoe_SFS_2016[[#This Row],[Lignite]]*10^6,0)</f>
        <v>0</v>
      </c>
      <c r="AB58" s="549">
        <f>IFERROR(Generation_Entsoe_SFS_2016[[#This Row],[Hard coal]]/Capacity_Entsoe_SFS_2016[[#This Row],[Hard coal]]*10^6,0)</f>
        <v>0</v>
      </c>
      <c r="AC58" s="549">
        <f>IFERROR(Generation_Entsoe_SFS_2016[[#This Row],[Fossil gases]]/Capacity_Entsoe_SFS_2016[[#This Row],[Fossil gases]]*10^6,0)</f>
        <v>0</v>
      </c>
      <c r="AD58" s="549">
        <f>IFERROR(Generation_Entsoe_SFS_2016[[#This Row],[Other fossil fuels]]/Capacity_Entsoe_SFS_2016[[#This Row],[Other fossil fuels]]*10^6,0)</f>
        <v>4017.8571428571427</v>
      </c>
      <c r="AE58" s="549">
        <f>IFERROR(Generation_Entsoe_SFS_2016[[#This Row],[Wind onshore]]/Capacity_Entsoe_SFS_2016[[#This Row],[Wind onshore]]*10^6,0)</f>
        <v>1599.9999999999998</v>
      </c>
      <c r="AF58" s="549">
        <f>IFERROR(Generation_Entsoe_SFS_2016[[#This Row],[Wind offshore]]/Capacity_Entsoe_SFS_2016[[#This Row],[Wind offshore]]*10^6,0)</f>
        <v>0</v>
      </c>
      <c r="AG58" s="549">
        <f>IFERROR(Generation_Entsoe_SFS_2016[[#This Row],[Solar PV]]/Capacity_Entsoe_SFS_2016[[#This Row],[Solar PV]]*10^6,0)</f>
        <v>0</v>
      </c>
      <c r="AH58" s="555">
        <f>IFERROR(Generation_Entsoe_SFS_2016[[#This Row],[Bioenergy]]/Capacity_Entsoe_SFS_2016[[#This Row],[Bioenergy]]*10^6,0)</f>
        <v>8536.585365853658</v>
      </c>
      <c r="AI58" s="555">
        <f>IFERROR(Generation_Entsoe_SFS_2016[[#This Row],[Other RES]]/Capacity_Entsoe_SFS_2016[[#This Row],[Other RES]]*10^6,0)</f>
        <v>25000</v>
      </c>
      <c r="AJ58" s="549">
        <f>IFERROR(Generation_Entsoe_SFS_2016[[#This Row],[Renewable Hydro]]/Capacity_Entsoe_SFS_2016[[#This Row],[Renewable Hydro]]*10^6,0)</f>
        <v>0</v>
      </c>
      <c r="AK58" s="549">
        <f>IFERROR(Generation_Entsoe_SFS_2016[[#This Row],[Pumped Hydro]]/Capacity_Entsoe_SFS_2016[[#This Row],[Pumped Hydro]]*10^6,0)</f>
        <v>0</v>
      </c>
      <c r="AL58" s="549">
        <f>IFERROR(Generation_Entsoe_SFS_2016[[#This Row],[Other sources]]/Capacity_Entsoe_SFS_2016[[#This Row],[Other sources]]*10^6,0)</f>
        <v>0</v>
      </c>
    </row>
    <row r="59" spans="1:38" x14ac:dyDescent="0.25">
      <c r="A59" s="425" t="str">
        <f t="shared" si="0"/>
        <v>ES</v>
      </c>
      <c r="B59" s="366">
        <f t="shared" si="3"/>
        <v>2016</v>
      </c>
      <c r="C59" s="366" t="str">
        <f t="shared" si="3"/>
        <v>TWh</v>
      </c>
      <c r="D59" s="144">
        <f t="shared" si="4"/>
        <v>56.1</v>
      </c>
      <c r="E59" s="144">
        <f t="shared" si="5"/>
        <v>3.3</v>
      </c>
      <c r="F59" s="167">
        <f t="shared" si="6"/>
        <v>34.200000000000003</v>
      </c>
      <c r="G59" s="167">
        <f t="shared" si="7"/>
        <v>51.2</v>
      </c>
      <c r="H59" s="422">
        <f t="shared" si="8"/>
        <v>10.4</v>
      </c>
      <c r="I59" s="167">
        <f t="shared" si="9"/>
        <v>47.7</v>
      </c>
      <c r="J59" s="144">
        <f t="shared" si="10"/>
        <v>0</v>
      </c>
      <c r="K59" s="422">
        <f t="shared" si="11"/>
        <v>8</v>
      </c>
      <c r="L59" s="422">
        <f t="shared" si="12"/>
        <v>3.4</v>
      </c>
      <c r="M59" s="422">
        <f t="shared" si="13"/>
        <v>5.8999999999999995</v>
      </c>
      <c r="N59" s="167">
        <f t="shared" si="14"/>
        <v>35.799999999999997</v>
      </c>
      <c r="O59" s="167">
        <f t="shared" si="15"/>
        <v>3.4000000000000004</v>
      </c>
      <c r="P59" s="422">
        <f t="shared" si="16"/>
        <v>2.8000000000000003</v>
      </c>
      <c r="Q59" s="167">
        <f t="shared" si="1"/>
        <v>262.20000000000005</v>
      </c>
      <c r="R59" s="167">
        <f t="shared" si="17"/>
        <v>262.2</v>
      </c>
      <c r="S59" s="424">
        <f t="shared" si="18"/>
        <v>1.0000000000000002</v>
      </c>
      <c r="T59" s="516">
        <f>INDEX($A$3:$AL$39,MATCH(Generation_Entsoe_SFS_2016[[#This Row],[Country]],$A$3:$A$39,0),MATCH(Generation_Entsoe_SFS_2016[[#Headers],[Consumption]],$A$1:$AL$1,0))</f>
        <v>265</v>
      </c>
      <c r="U59" s="516">
        <f>INDEX($A$3:$AL$39,MATCH(Generation_Entsoe_SFS_2016[[#This Row],[Country]],$A$3:$A$39,0),MATCH(Generation_Entsoe_SFS_2016[[#Headers],[Pumping]],$A$1:$AL$1,0))</f>
        <v>4.8</v>
      </c>
      <c r="W59" s="543" t="str">
        <f t="shared" si="2"/>
        <v>ES</v>
      </c>
      <c r="X59" s="544">
        <v>2016</v>
      </c>
      <c r="Y59" s="544" t="s">
        <v>648</v>
      </c>
      <c r="Z59" s="548">
        <f>IFERROR(Generation_Entsoe_SFS_2016[[#This Row],[Nuclear]]/Capacity_Entsoe_SFS_2016[[#This Row],[Nuclear]]*10^6,0)</f>
        <v>7407.8964743166516</v>
      </c>
      <c r="AA59" s="548">
        <f>IFERROR(Generation_Entsoe_SFS_2016[[#This Row],[Lignite]]/Capacity_Entsoe_SFS_2016[[#This Row],[Lignite]]*10^6,0)</f>
        <v>3124.9999999999995</v>
      </c>
      <c r="AB59" s="548">
        <f>IFERROR(Generation_Entsoe_SFS_2016[[#This Row],[Hard coal]]/Capacity_Entsoe_SFS_2016[[#This Row],[Hard coal]]*10^6,0)</f>
        <v>3821.6560509554147</v>
      </c>
      <c r="AC59" s="548">
        <f>IFERROR(Generation_Entsoe_SFS_2016[[#This Row],[Fossil gases]]/Capacity_Entsoe_SFS_2016[[#This Row],[Fossil gases]]*10^6,0)</f>
        <v>1584.0113850818302</v>
      </c>
      <c r="AD59" s="548">
        <f>IFERROR(Generation_Entsoe_SFS_2016[[#This Row],[Other fossil fuels]]/Capacity_Entsoe_SFS_2016[[#This Row],[Other fossil fuels]]*10^6,0)</f>
        <v>3036.4963503649637</v>
      </c>
      <c r="AE59" s="548">
        <f>IFERROR(Generation_Entsoe_SFS_2016[[#This Row],[Wind onshore]]/Capacity_Entsoe_SFS_2016[[#This Row],[Wind onshore]]*10^6,0)</f>
        <v>2068.7860519581909</v>
      </c>
      <c r="AF59" s="548">
        <f>IFERROR(Generation_Entsoe_SFS_2016[[#This Row],[Wind offshore]]/Capacity_Entsoe_SFS_2016[[#This Row],[Wind offshore]]*10^6,0)</f>
        <v>0</v>
      </c>
      <c r="AG59" s="548">
        <f>IFERROR(Generation_Entsoe_SFS_2016[[#This Row],[Solar PV]]/Capacity_Entsoe_SFS_2016[[#This Row],[Solar PV]]*10^6,0)</f>
        <v>1711.5960633290545</v>
      </c>
      <c r="AH59" s="548">
        <f>IFERROR(Generation_Entsoe_SFS_2016[[#This Row],[Bioenergy]]/Capacity_Entsoe_SFS_2016[[#This Row],[Bioenergy]]*10^6,0)</f>
        <v>4569.8924731182797</v>
      </c>
      <c r="AI59" s="548">
        <f>IFERROR(Generation_Entsoe_SFS_2016[[#This Row],[Other RES]]/Capacity_Entsoe_SFS_2016[[#This Row],[Other RES]]*10^6,0)</f>
        <v>2436.0033030553259</v>
      </c>
      <c r="AJ59" s="548">
        <f>IFERROR(Generation_Entsoe_SFS_2016[[#This Row],[Renewable Hydro]]/Capacity_Entsoe_SFS_2016[[#This Row],[Renewable Hydro]]*10^6,0)</f>
        <v>2102.7900146842881</v>
      </c>
      <c r="AK59" s="548">
        <f>IFERROR(Generation_Entsoe_SFS_2016[[#This Row],[Pumped Hydro]]/Capacity_Entsoe_SFS_2016[[#This Row],[Pumped Hydro]]*10^6,0)</f>
        <v>1021.3277260438571</v>
      </c>
      <c r="AL59" s="548">
        <f>IFERROR(Generation_Entsoe_SFS_2016[[#This Row],[Other sources]]/Capacity_Entsoe_SFS_2016[[#This Row],[Other sources]]*10^6,0)</f>
        <v>3971.6312056737593</v>
      </c>
    </row>
    <row r="60" spans="1:38" x14ac:dyDescent="0.25">
      <c r="A60" s="425" t="str">
        <f t="shared" si="0"/>
        <v>FI</v>
      </c>
      <c r="B60" s="366">
        <f t="shared" si="3"/>
        <v>2016</v>
      </c>
      <c r="C60" s="366" t="str">
        <f t="shared" si="3"/>
        <v>TWh</v>
      </c>
      <c r="D60" s="144">
        <f t="shared" si="4"/>
        <v>22.3</v>
      </c>
      <c r="E60" s="144">
        <f t="shared" si="5"/>
        <v>0</v>
      </c>
      <c r="F60" s="167">
        <f t="shared" si="6"/>
        <v>6.9</v>
      </c>
      <c r="G60" s="167">
        <f t="shared" si="7"/>
        <v>3.5</v>
      </c>
      <c r="H60" s="422">
        <f t="shared" si="8"/>
        <v>3.1</v>
      </c>
      <c r="I60" s="167">
        <f t="shared" si="9"/>
        <v>3.1</v>
      </c>
      <c r="J60" s="144">
        <f t="shared" si="10"/>
        <v>0</v>
      </c>
      <c r="K60" s="422">
        <f t="shared" si="11"/>
        <v>0</v>
      </c>
      <c r="L60" s="422">
        <f t="shared" si="12"/>
        <v>10.8</v>
      </c>
      <c r="M60" s="422">
        <f t="shared" si="13"/>
        <v>0</v>
      </c>
      <c r="N60" s="167">
        <f t="shared" si="14"/>
        <v>15.6</v>
      </c>
      <c r="O60" s="167">
        <f t="shared" si="15"/>
        <v>0</v>
      </c>
      <c r="P60" s="422">
        <f t="shared" si="16"/>
        <v>0.9</v>
      </c>
      <c r="Q60" s="167">
        <f t="shared" si="1"/>
        <v>66.2</v>
      </c>
      <c r="R60" s="167">
        <f t="shared" si="17"/>
        <v>66</v>
      </c>
      <c r="S60" s="424">
        <f t="shared" si="18"/>
        <v>1.0030303030303032</v>
      </c>
      <c r="T60" s="516">
        <f>INDEX($A$3:$AL$39,MATCH(Generation_Entsoe_SFS_2016[[#This Row],[Country]],$A$3:$A$39,0),MATCH(Generation_Entsoe_SFS_2016[[#Headers],[Consumption]],$A$1:$AL$1,0))</f>
        <v>85</v>
      </c>
      <c r="U60" s="516">
        <f>INDEX($A$3:$AL$39,MATCH(Generation_Entsoe_SFS_2016[[#This Row],[Country]],$A$3:$A$39,0),MATCH(Generation_Entsoe_SFS_2016[[#Headers],[Pumping]],$A$1:$AL$1,0))</f>
        <v>0</v>
      </c>
      <c r="W60" s="543" t="str">
        <f t="shared" si="2"/>
        <v>FI</v>
      </c>
      <c r="X60" s="544">
        <v>2016</v>
      </c>
      <c r="Y60" s="544" t="s">
        <v>648</v>
      </c>
      <c r="Z60" s="549">
        <f>IFERROR(Generation_Entsoe_SFS_2016[[#This Row],[Nuclear]]/Capacity_Entsoe_SFS_2016[[#This Row],[Nuclear]]*10^6,0)</f>
        <v>8015.8159597411932</v>
      </c>
      <c r="AA60" s="549">
        <f>IFERROR(Generation_Entsoe_SFS_2016[[#This Row],[Lignite]]/Capacity_Entsoe_SFS_2016[[#This Row],[Lignite]]*10^6,0)</f>
        <v>0</v>
      </c>
      <c r="AB60" s="549">
        <f>IFERROR(Generation_Entsoe_SFS_2016[[#This Row],[Hard coal]]/Capacity_Entsoe_SFS_2016[[#This Row],[Hard coal]]*10^6,0)</f>
        <v>2417.659425367905</v>
      </c>
      <c r="AC60" s="549">
        <f>IFERROR(Generation_Entsoe_SFS_2016[[#This Row],[Fossil gases]]/Capacity_Entsoe_SFS_2016[[#This Row],[Fossil gases]]*10^6,0)</f>
        <v>1949.8607242339833</v>
      </c>
      <c r="AD60" s="549">
        <f>IFERROR(Generation_Entsoe_SFS_2016[[#This Row],[Other fossil fuels]]/Capacity_Entsoe_SFS_2016[[#This Row],[Other fossil fuels]]*10^6,0)</f>
        <v>1010.7597000326052</v>
      </c>
      <c r="AE60" s="549">
        <f>IFERROR(Generation_Entsoe_SFS_2016[[#This Row],[Wind onshore]]/Capacity_Entsoe_SFS_2016[[#This Row],[Wind onshore]]*10^6,0)</f>
        <v>2164.8044692737431</v>
      </c>
      <c r="AF60" s="549">
        <f>IFERROR(Generation_Entsoe_SFS_2016[[#This Row],[Wind offshore]]/Capacity_Entsoe_SFS_2016[[#This Row],[Wind offshore]]*10^6,0)</f>
        <v>0</v>
      </c>
      <c r="AG60" s="549">
        <f>IFERROR(Generation_Entsoe_SFS_2016[[#This Row],[Solar PV]]/Capacity_Entsoe_SFS_2016[[#This Row],[Solar PV]]*10^6,0)</f>
        <v>0</v>
      </c>
      <c r="AH60" s="549">
        <f>IFERROR(Generation_Entsoe_SFS_2016[[#This Row],[Bioenergy]]/Capacity_Entsoe_SFS_2016[[#This Row],[Bioenergy]]*10^6,0)</f>
        <v>6494.2874323511724</v>
      </c>
      <c r="AI60" s="549">
        <f>IFERROR(Generation_Entsoe_SFS_2016[[#This Row],[Other RES]]/Capacity_Entsoe_SFS_2016[[#This Row],[Other RES]]*10^6,0)</f>
        <v>0</v>
      </c>
      <c r="AJ60" s="549">
        <f>IFERROR(Generation_Entsoe_SFS_2016[[#This Row],[Renewable Hydro]]/Capacity_Entsoe_SFS_2016[[#This Row],[Renewable Hydro]]*10^6,0)</f>
        <v>4864.3592142188963</v>
      </c>
      <c r="AK60" s="549">
        <f>IFERROR(Generation_Entsoe_SFS_2016[[#This Row],[Pumped Hydro]]/Capacity_Entsoe_SFS_2016[[#This Row],[Pumped Hydro]]*10^6,0)</f>
        <v>0</v>
      </c>
      <c r="AL60" s="549">
        <f>IFERROR(Generation_Entsoe_SFS_2016[[#This Row],[Other sources]]/Capacity_Entsoe_SFS_2016[[#This Row],[Other sources]]*10^6,0)</f>
        <v>7142.8571428571422</v>
      </c>
    </row>
    <row r="61" spans="1:38" x14ac:dyDescent="0.25">
      <c r="A61" s="425" t="str">
        <f t="shared" si="0"/>
        <v>FR</v>
      </c>
      <c r="B61" s="366">
        <f t="shared" si="3"/>
        <v>2016</v>
      </c>
      <c r="C61" s="366" t="str">
        <f t="shared" si="3"/>
        <v>TWh</v>
      </c>
      <c r="D61" s="144">
        <f t="shared" si="4"/>
        <v>384</v>
      </c>
      <c r="E61" s="144">
        <f t="shared" si="5"/>
        <v>0</v>
      </c>
      <c r="F61" s="167">
        <f t="shared" si="6"/>
        <v>7.3</v>
      </c>
      <c r="G61" s="167">
        <f t="shared" si="7"/>
        <v>35.1</v>
      </c>
      <c r="H61" s="422">
        <f t="shared" si="8"/>
        <v>3.5</v>
      </c>
      <c r="I61" s="167">
        <f t="shared" si="9"/>
        <v>20.7</v>
      </c>
      <c r="J61" s="144">
        <f t="shared" si="10"/>
        <v>0</v>
      </c>
      <c r="K61" s="422">
        <f t="shared" si="11"/>
        <v>8.4</v>
      </c>
      <c r="L61" s="422">
        <f t="shared" si="12"/>
        <v>4.2</v>
      </c>
      <c r="M61" s="422">
        <f t="shared" si="13"/>
        <v>2.2999999999999998</v>
      </c>
      <c r="N61" s="167">
        <f t="shared" si="14"/>
        <v>59.3</v>
      </c>
      <c r="O61" s="167">
        <f t="shared" si="15"/>
        <v>4.7</v>
      </c>
      <c r="P61" s="422">
        <f t="shared" si="16"/>
        <v>2</v>
      </c>
      <c r="Q61" s="167">
        <f t="shared" si="1"/>
        <v>531.5</v>
      </c>
      <c r="R61" s="167">
        <f t="shared" si="17"/>
        <v>531.4</v>
      </c>
      <c r="S61" s="424">
        <f t="shared" si="18"/>
        <v>1.0001881821603313</v>
      </c>
      <c r="T61" s="516">
        <f>INDEX($A$3:$AL$39,MATCH(Generation_Entsoe_SFS_2016[[#This Row],[Country]],$A$3:$A$39,0),MATCH(Generation_Entsoe_SFS_2016[[#Headers],[Consumption]],$A$1:$AL$1,0))</f>
        <v>483.1</v>
      </c>
      <c r="U61" s="516">
        <f>INDEX($A$3:$AL$39,MATCH(Generation_Entsoe_SFS_2016[[#This Row],[Country]],$A$3:$A$39,0),MATCH(Generation_Entsoe_SFS_2016[[#Headers],[Pumping]],$A$1:$AL$1,0))</f>
        <v>6.7</v>
      </c>
      <c r="W61" s="543" t="str">
        <f t="shared" si="2"/>
        <v>FR</v>
      </c>
      <c r="X61" s="544">
        <v>2016</v>
      </c>
      <c r="Y61" s="544" t="s">
        <v>648</v>
      </c>
      <c r="Z61" s="548">
        <f>IFERROR(Generation_Entsoe_SFS_2016[[#This Row],[Nuclear]]/Capacity_Entsoe_SFS_2016[[#This Row],[Nuclear]]*10^6,0)</f>
        <v>6082.686519879614</v>
      </c>
      <c r="AA61" s="548">
        <f>IFERROR(Generation_Entsoe_SFS_2016[[#This Row],[Lignite]]/Capacity_Entsoe_SFS_2016[[#This Row],[Lignite]]*10^6,0)</f>
        <v>0</v>
      </c>
      <c r="AB61" s="548">
        <f>IFERROR(Generation_Entsoe_SFS_2016[[#This Row],[Hard coal]]/Capacity_Entsoe_SFS_2016[[#This Row],[Hard coal]]*10^6,0)</f>
        <v>2435.7691024357691</v>
      </c>
      <c r="AC61" s="548">
        <f>IFERROR(Generation_Entsoe_SFS_2016[[#This Row],[Fossil gases]]/Capacity_Entsoe_SFS_2016[[#This Row],[Fossil gases]]*10^6,0)</f>
        <v>3005.3942974569741</v>
      </c>
      <c r="AD61" s="548">
        <f>IFERROR(Generation_Entsoe_SFS_2016[[#This Row],[Other fossil fuels]]/Capacity_Entsoe_SFS_2016[[#This Row],[Other fossil fuels]]*10^6,0)</f>
        <v>490.88359046283313</v>
      </c>
      <c r="AE61" s="548">
        <f>IFERROR(Generation_Entsoe_SFS_2016[[#This Row],[Wind onshore]]/Capacity_Entsoe_SFS_2016[[#This Row],[Wind onshore]]*10^6,0)</f>
        <v>1759.9047780989627</v>
      </c>
      <c r="AF61" s="548">
        <f>IFERROR(Generation_Entsoe_SFS_2016[[#This Row],[Wind offshore]]/Capacity_Entsoe_SFS_2016[[#This Row],[Wind offshore]]*10^6,0)</f>
        <v>0</v>
      </c>
      <c r="AG61" s="548">
        <f>IFERROR(Generation_Entsoe_SFS_2016[[#This Row],[Solar PV]]/Capacity_Entsoe_SFS_2016[[#This Row],[Solar PV]]*10^6,0)</f>
        <v>1240.401653868872</v>
      </c>
      <c r="AH61" s="548">
        <f>IFERROR(Generation_Entsoe_SFS_2016[[#This Row],[Bioenergy]]/Capacity_Entsoe_SFS_2016[[#This Row],[Bioenergy]]*10^6,0)</f>
        <v>4015.2963671128114</v>
      </c>
      <c r="AI61" s="548">
        <f>IFERROR(Generation_Entsoe_SFS_2016[[#This Row],[Other RES]]/Capacity_Entsoe_SFS_2016[[#This Row],[Other RES]]*10^6,0)</f>
        <v>881.56381755461859</v>
      </c>
      <c r="AJ61" s="548">
        <f>IFERROR(Generation_Entsoe_SFS_2016[[#This Row],[Renewable Hydro]]/Capacity_Entsoe_SFS_2016[[#This Row],[Renewable Hydro]]*10^6,0)</f>
        <v>2496.7369794955998</v>
      </c>
      <c r="AK61" s="548">
        <f>IFERROR(Generation_Entsoe_SFS_2016[[#This Row],[Pumped Hydro]]/Capacity_Entsoe_SFS_2016[[#This Row],[Pumped Hydro]]*10^6,0)</f>
        <v>0</v>
      </c>
      <c r="AL61" s="548">
        <f>IFERROR(Generation_Entsoe_SFS_2016[[#This Row],[Other sources]]/Capacity_Entsoe_SFS_2016[[#This Row],[Other sources]]*10^6,0)</f>
        <v>0</v>
      </c>
    </row>
    <row r="62" spans="1:38" x14ac:dyDescent="0.25">
      <c r="A62" s="425" t="str">
        <f t="shared" si="0"/>
        <v>GB</v>
      </c>
      <c r="B62" s="366">
        <f t="shared" si="3"/>
        <v>2016</v>
      </c>
      <c r="C62" s="366" t="str">
        <f t="shared" si="3"/>
        <v>TWh</v>
      </c>
      <c r="D62" s="144">
        <f t="shared" si="4"/>
        <v>66.8</v>
      </c>
      <c r="E62" s="144">
        <f t="shared" si="5"/>
        <v>0</v>
      </c>
      <c r="F62" s="167">
        <f t="shared" si="6"/>
        <v>30.2</v>
      </c>
      <c r="G62" s="167">
        <f t="shared" si="7"/>
        <v>150.1</v>
      </c>
      <c r="H62" s="422">
        <f t="shared" si="8"/>
        <v>0.1</v>
      </c>
      <c r="I62" s="167">
        <f t="shared" si="9"/>
        <v>25.3</v>
      </c>
      <c r="J62" s="144">
        <f t="shared" si="10"/>
        <v>12.7</v>
      </c>
      <c r="K62" s="422">
        <f t="shared" si="11"/>
        <v>9.6</v>
      </c>
      <c r="L62" s="422">
        <f t="shared" si="12"/>
        <v>18</v>
      </c>
      <c r="M62" s="422">
        <f t="shared" si="13"/>
        <v>0.1</v>
      </c>
      <c r="N62" s="167">
        <f t="shared" si="14"/>
        <v>7.5</v>
      </c>
      <c r="O62" s="167">
        <f t="shared" si="15"/>
        <v>0</v>
      </c>
      <c r="P62" s="422">
        <f t="shared" si="16"/>
        <v>0</v>
      </c>
      <c r="Q62" s="167">
        <f t="shared" si="1"/>
        <v>320.40000000000003</v>
      </c>
      <c r="R62" s="167">
        <f t="shared" si="17"/>
        <v>320.3</v>
      </c>
      <c r="S62" s="424">
        <f t="shared" si="18"/>
        <v>1.000312207305651</v>
      </c>
      <c r="T62" s="516">
        <f>INDEX($A$3:$AL$39,MATCH(Generation_Entsoe_SFS_2016[[#This Row],[Country]],$A$3:$A$39,0),MATCH(Generation_Entsoe_SFS_2016[[#Headers],[Consumption]],$A$1:$AL$1,0))</f>
        <v>334</v>
      </c>
      <c r="U62" s="516">
        <f>INDEX($A$3:$AL$39,MATCH(Generation_Entsoe_SFS_2016[[#This Row],[Country]],$A$3:$A$39,0),MATCH(Generation_Entsoe_SFS_2016[[#Headers],[Pumping]],$A$1:$AL$1,0))</f>
        <v>4</v>
      </c>
      <c r="W62" s="543" t="str">
        <f t="shared" si="2"/>
        <v>GB</v>
      </c>
      <c r="X62" s="544">
        <v>2016</v>
      </c>
      <c r="Y62" s="544" t="s">
        <v>648</v>
      </c>
      <c r="Z62" s="549">
        <f>IFERROR(Generation_Entsoe_SFS_2016[[#This Row],[Nuclear]]/Capacity_Entsoe_SFS_2016[[#This Row],[Nuclear]]*10^6,0)</f>
        <v>7237.2697724810396</v>
      </c>
      <c r="AA62" s="549">
        <f>IFERROR(Generation_Entsoe_SFS_2016[[#This Row],[Lignite]]/Capacity_Entsoe_SFS_2016[[#This Row],[Lignite]]*10^6,0)</f>
        <v>0</v>
      </c>
      <c r="AB62" s="549">
        <f>IFERROR(Generation_Entsoe_SFS_2016[[#This Row],[Hard coal]]/Capacity_Entsoe_SFS_2016[[#This Row],[Hard coal]]*10^6,0)</f>
        <v>1954.6925566343043</v>
      </c>
      <c r="AC62" s="549">
        <f>IFERROR(Generation_Entsoe_SFS_2016[[#This Row],[Fossil gases]]/Capacity_Entsoe_SFS_2016[[#This Row],[Fossil gases]]*10^6,0)</f>
        <v>4905.2287581699338</v>
      </c>
      <c r="AD62" s="549">
        <f>IFERROR(Generation_Entsoe_SFS_2016[[#This Row],[Other fossil fuels]]/Capacity_Entsoe_SFS_2016[[#This Row],[Other fossil fuels]]*10^6,0)</f>
        <v>113.63636363636364</v>
      </c>
      <c r="AE62" s="549">
        <f>IFERROR(Generation_Entsoe_SFS_2016[[#This Row],[Wind onshore]]/Capacity_Entsoe_SFS_2016[[#This Row],[Wind onshore]]*10^6,0)</f>
        <v>2530</v>
      </c>
      <c r="AF62" s="549">
        <f>IFERROR(Generation_Entsoe_SFS_2016[[#This Row],[Wind offshore]]/Capacity_Entsoe_SFS_2016[[#This Row],[Wind offshore]]*10^6,0)</f>
        <v>2539.9999999999995</v>
      </c>
      <c r="AG62" s="549">
        <f>IFERROR(Generation_Entsoe_SFS_2016[[#This Row],[Solar PV]]/Capacity_Entsoe_SFS_2016[[#This Row],[Solar PV]]*10^6,0)</f>
        <v>834.78260869565213</v>
      </c>
      <c r="AH62" s="555">
        <f>IFERROR(Generation_Entsoe_SFS_2016[[#This Row],[Bioenergy]]/Capacity_Entsoe_SFS_2016[[#This Row],[Bioenergy]]*10^6,0)</f>
        <v>13071.895424836601</v>
      </c>
      <c r="AI62" s="549">
        <f>IFERROR(Generation_Entsoe_SFS_2016[[#This Row],[Other RES]]/Capacity_Entsoe_SFS_2016[[#This Row],[Other RES]]*10^6,0)</f>
        <v>0</v>
      </c>
      <c r="AJ62" s="549">
        <f>IFERROR(Generation_Entsoe_SFS_2016[[#This Row],[Renewable Hydro]]/Capacity_Entsoe_SFS_2016[[#This Row],[Renewable Hydro]]*10^6,0)</f>
        <v>1913.2653061224489</v>
      </c>
      <c r="AK62" s="549">
        <f>IFERROR(Generation_Entsoe_SFS_2016[[#This Row],[Pumped Hydro]]/Capacity_Entsoe_SFS_2016[[#This Row],[Pumped Hydro]]*10^6,0)</f>
        <v>0</v>
      </c>
      <c r="AL62" s="549">
        <f>IFERROR(Generation_Entsoe_SFS_2016[[#This Row],[Other sources]]/Capacity_Entsoe_SFS_2016[[#This Row],[Other sources]]*10^6,0)</f>
        <v>0</v>
      </c>
    </row>
    <row r="63" spans="1:38" x14ac:dyDescent="0.25">
      <c r="A63" s="425" t="str">
        <f t="shared" si="0"/>
        <v>GR</v>
      </c>
      <c r="B63" s="366">
        <f t="shared" si="3"/>
        <v>2016</v>
      </c>
      <c r="C63" s="366" t="str">
        <f t="shared" si="3"/>
        <v>TWh</v>
      </c>
      <c r="D63" s="144">
        <f t="shared" si="4"/>
        <v>0</v>
      </c>
      <c r="E63" s="144">
        <f t="shared" si="5"/>
        <v>14.9</v>
      </c>
      <c r="F63" s="167">
        <f t="shared" si="6"/>
        <v>0</v>
      </c>
      <c r="G63" s="167">
        <f t="shared" si="7"/>
        <v>12.5</v>
      </c>
      <c r="H63" s="422">
        <f t="shared" si="8"/>
        <v>0</v>
      </c>
      <c r="I63" s="167">
        <f t="shared" si="9"/>
        <v>4.3</v>
      </c>
      <c r="J63" s="144">
        <f t="shared" si="10"/>
        <v>0</v>
      </c>
      <c r="K63" s="422">
        <f t="shared" si="11"/>
        <v>3.7</v>
      </c>
      <c r="L63" s="422">
        <f t="shared" si="12"/>
        <v>0.3</v>
      </c>
      <c r="M63" s="422">
        <f t="shared" si="13"/>
        <v>1.3</v>
      </c>
      <c r="N63" s="167">
        <f t="shared" si="14"/>
        <v>5.5</v>
      </c>
      <c r="O63" s="167">
        <f t="shared" si="15"/>
        <v>0</v>
      </c>
      <c r="P63" s="422">
        <f t="shared" si="16"/>
        <v>0</v>
      </c>
      <c r="Q63" s="167">
        <f t="shared" si="1"/>
        <v>42.499999999999993</v>
      </c>
      <c r="R63" s="167">
        <f t="shared" si="17"/>
        <v>42.5</v>
      </c>
      <c r="S63" s="424">
        <f t="shared" si="18"/>
        <v>0.99999999999999978</v>
      </c>
      <c r="T63" s="516">
        <f>INDEX($A$3:$AL$39,MATCH(Generation_Entsoe_SFS_2016[[#This Row],[Country]],$A$3:$A$39,0),MATCH(Generation_Entsoe_SFS_2016[[#Headers],[Consumption]],$A$1:$AL$1,0))</f>
        <v>51.3</v>
      </c>
      <c r="U63" s="516">
        <f>INDEX($A$3:$AL$39,MATCH(Generation_Entsoe_SFS_2016[[#This Row],[Country]],$A$3:$A$39,0),MATCH(Generation_Entsoe_SFS_2016[[#Headers],[Pumping]],$A$1:$AL$1,0))</f>
        <v>0</v>
      </c>
      <c r="W63" s="543" t="str">
        <f t="shared" si="2"/>
        <v>GR</v>
      </c>
      <c r="X63" s="544">
        <v>2016</v>
      </c>
      <c r="Y63" s="544" t="s">
        <v>648</v>
      </c>
      <c r="Z63" s="548">
        <f>IFERROR(Generation_Entsoe_SFS_2016[[#This Row],[Nuclear]]/Capacity_Entsoe_SFS_2016[[#This Row],[Nuclear]]*10^6,0)</f>
        <v>0</v>
      </c>
      <c r="AA63" s="548">
        <f>IFERROR(Generation_Entsoe_SFS_2016[[#This Row],[Lignite]]/Capacity_Entsoe_SFS_2016[[#This Row],[Lignite]]*10^6,0)</f>
        <v>3343.806104129264</v>
      </c>
      <c r="AB63" s="548">
        <f>IFERROR(Generation_Entsoe_SFS_2016[[#This Row],[Hard coal]]/Capacity_Entsoe_SFS_2016[[#This Row],[Hard coal]]*10^6,0)</f>
        <v>0</v>
      </c>
      <c r="AC63" s="548">
        <f>IFERROR(Generation_Entsoe_SFS_2016[[#This Row],[Fossil gases]]/Capacity_Entsoe_SFS_2016[[#This Row],[Fossil gases]]*10^6,0)</f>
        <v>2226.9730981649741</v>
      </c>
      <c r="AD63" s="548">
        <f>IFERROR(Generation_Entsoe_SFS_2016[[#This Row],[Other fossil fuels]]/Capacity_Entsoe_SFS_2016[[#This Row],[Other fossil fuels]]*10^6,0)</f>
        <v>0</v>
      </c>
      <c r="AE63" s="548">
        <f>IFERROR(Generation_Entsoe_SFS_2016[[#This Row],[Wind onshore]]/Capacity_Entsoe_SFS_2016[[#This Row],[Wind onshore]]*10^6,0)</f>
        <v>2055.4493307839389</v>
      </c>
      <c r="AF63" s="548">
        <f>IFERROR(Generation_Entsoe_SFS_2016[[#This Row],[Wind offshore]]/Capacity_Entsoe_SFS_2016[[#This Row],[Wind offshore]]*10^6,0)</f>
        <v>0</v>
      </c>
      <c r="AG63" s="548">
        <f>IFERROR(Generation_Entsoe_SFS_2016[[#This Row],[Solar PV]]/Capacity_Entsoe_SFS_2016[[#This Row],[Solar PV]]*10^6,0)</f>
        <v>1420.345489443378</v>
      </c>
      <c r="AH63" s="548">
        <f>IFERROR(Generation_Entsoe_SFS_2016[[#This Row],[Bioenergy]]/Capacity_Entsoe_SFS_2016[[#This Row],[Bioenergy]]*10^6,0)</f>
        <v>5769.2307692307686</v>
      </c>
      <c r="AI63" s="548">
        <f>IFERROR(Generation_Entsoe_SFS_2016[[#This Row],[Other RES]]/Capacity_Entsoe_SFS_2016[[#This Row],[Other RES]]*10^6,0)</f>
        <v>5531.9148936170213</v>
      </c>
      <c r="AJ63" s="548">
        <f>IFERROR(Generation_Entsoe_SFS_2016[[#This Row],[Renewable Hydro]]/Capacity_Entsoe_SFS_2016[[#This Row],[Renewable Hydro]]*10^6,0)</f>
        <v>1620.9843796050691</v>
      </c>
      <c r="AK63" s="548">
        <f>IFERROR(Generation_Entsoe_SFS_2016[[#This Row],[Pumped Hydro]]/Capacity_Entsoe_SFS_2016[[#This Row],[Pumped Hydro]]*10^6,0)</f>
        <v>0</v>
      </c>
      <c r="AL63" s="548">
        <f>IFERROR(Generation_Entsoe_SFS_2016[[#This Row],[Other sources]]/Capacity_Entsoe_SFS_2016[[#This Row],[Other sources]]*10^6,0)</f>
        <v>0</v>
      </c>
    </row>
    <row r="64" spans="1:38" x14ac:dyDescent="0.25">
      <c r="A64" s="425" t="str">
        <f t="shared" si="0"/>
        <v>HR</v>
      </c>
      <c r="B64" s="366">
        <f t="shared" si="3"/>
        <v>2016</v>
      </c>
      <c r="C64" s="366" t="str">
        <f t="shared" si="3"/>
        <v>TWh</v>
      </c>
      <c r="D64" s="144">
        <f t="shared" si="4"/>
        <v>0</v>
      </c>
      <c r="E64" s="144">
        <f t="shared" si="5"/>
        <v>0</v>
      </c>
      <c r="F64" s="167">
        <f t="shared" si="6"/>
        <v>2.4</v>
      </c>
      <c r="G64" s="167">
        <f t="shared" si="7"/>
        <v>1.3</v>
      </c>
      <c r="H64" s="422">
        <f t="shared" si="8"/>
        <v>0</v>
      </c>
      <c r="I64" s="167">
        <f t="shared" si="9"/>
        <v>1</v>
      </c>
      <c r="J64" s="144">
        <f t="shared" si="10"/>
        <v>0</v>
      </c>
      <c r="K64" s="422">
        <f t="shared" si="11"/>
        <v>0.1</v>
      </c>
      <c r="L64" s="422">
        <f t="shared" si="12"/>
        <v>0.30000000000000004</v>
      </c>
      <c r="M64" s="422">
        <f t="shared" si="13"/>
        <v>0.1</v>
      </c>
      <c r="N64" s="167">
        <f t="shared" si="14"/>
        <v>6.1</v>
      </c>
      <c r="O64" s="167">
        <f t="shared" si="15"/>
        <v>0</v>
      </c>
      <c r="P64" s="422">
        <f t="shared" si="16"/>
        <v>0</v>
      </c>
      <c r="Q64" s="167">
        <f t="shared" si="1"/>
        <v>11.299999999999999</v>
      </c>
      <c r="R64" s="167">
        <f t="shared" si="17"/>
        <v>11.3</v>
      </c>
      <c r="S64" s="424">
        <f t="shared" si="18"/>
        <v>0.99999999999999989</v>
      </c>
      <c r="T64" s="516">
        <f>INDEX($A$3:$AL$39,MATCH(Generation_Entsoe_SFS_2016[[#This Row],[Country]],$A$3:$A$39,0),MATCH(Generation_Entsoe_SFS_2016[[#Headers],[Consumption]],$A$1:$AL$1,0))</f>
        <v>17.3</v>
      </c>
      <c r="U64" s="516">
        <f>INDEX($A$3:$AL$39,MATCH(Generation_Entsoe_SFS_2016[[#This Row],[Country]],$A$3:$A$39,0),MATCH(Generation_Entsoe_SFS_2016[[#Headers],[Pumping]],$A$1:$AL$1,0))</f>
        <v>0.3</v>
      </c>
      <c r="W64" s="543" t="str">
        <f t="shared" si="2"/>
        <v>HR</v>
      </c>
      <c r="X64" s="544">
        <v>2016</v>
      </c>
      <c r="Y64" s="544" t="s">
        <v>648</v>
      </c>
      <c r="Z64" s="549">
        <f>IFERROR(Generation_Entsoe_SFS_2016[[#This Row],[Nuclear]]/Capacity_Entsoe_SFS_2016[[#This Row],[Nuclear]]*10^6,0)</f>
        <v>0</v>
      </c>
      <c r="AA64" s="549">
        <f>IFERROR(Generation_Entsoe_SFS_2016[[#This Row],[Lignite]]/Capacity_Entsoe_SFS_2016[[#This Row],[Lignite]]*10^6,0)</f>
        <v>0</v>
      </c>
      <c r="AB64" s="549">
        <f>IFERROR(Generation_Entsoe_SFS_2016[[#This Row],[Hard coal]]/Capacity_Entsoe_SFS_2016[[#This Row],[Hard coal]]*10^6,0)</f>
        <v>7384.6153846153848</v>
      </c>
      <c r="AC64" s="549">
        <f>IFERROR(Generation_Entsoe_SFS_2016[[#This Row],[Fossil gases]]/Capacity_Entsoe_SFS_2016[[#This Row],[Fossil gases]]*10^6,0)</f>
        <v>1778.3857729138167</v>
      </c>
      <c r="AD64" s="549">
        <f>IFERROR(Generation_Entsoe_SFS_2016[[#This Row],[Other fossil fuels]]/Capacity_Entsoe_SFS_2016[[#This Row],[Other fossil fuels]]*10^6,0)</f>
        <v>0</v>
      </c>
      <c r="AE64" s="549">
        <f>IFERROR(Generation_Entsoe_SFS_2016[[#This Row],[Wind onshore]]/Capacity_Entsoe_SFS_2016[[#This Row],[Wind onshore]]*10^6,0)</f>
        <v>2331.0023310023312</v>
      </c>
      <c r="AF64" s="549">
        <f>IFERROR(Generation_Entsoe_SFS_2016[[#This Row],[Wind offshore]]/Capacity_Entsoe_SFS_2016[[#This Row],[Wind offshore]]*10^6,0)</f>
        <v>0</v>
      </c>
      <c r="AG64" s="549">
        <f>IFERROR(Generation_Entsoe_SFS_2016[[#This Row],[Solar PV]]/Capacity_Entsoe_SFS_2016[[#This Row],[Solar PV]]*10^6,0)</f>
        <v>2083.3333333333335</v>
      </c>
      <c r="AH64" s="549">
        <f>IFERROR(Generation_Entsoe_SFS_2016[[#This Row],[Bioenergy]]/Capacity_Entsoe_SFS_2016[[#This Row],[Bioenergy]]*10^6,0)</f>
        <v>5555.5555555555566</v>
      </c>
      <c r="AI64" s="549">
        <f>IFERROR(Generation_Entsoe_SFS_2016[[#This Row],[Other RES]]/Capacity_Entsoe_SFS_2016[[#This Row],[Other RES]]*10^6,0)</f>
        <v>4545.454545454546</v>
      </c>
      <c r="AJ64" s="549">
        <f>IFERROR(Generation_Entsoe_SFS_2016[[#This Row],[Renewable Hydro]]/Capacity_Entsoe_SFS_2016[[#This Row],[Renewable Hydro]]*10^6,0)</f>
        <v>2888.2575757575755</v>
      </c>
      <c r="AK64" s="549">
        <f>IFERROR(Generation_Entsoe_SFS_2016[[#This Row],[Pumped Hydro]]/Capacity_Entsoe_SFS_2016[[#This Row],[Pumped Hydro]]*10^6,0)</f>
        <v>0</v>
      </c>
      <c r="AL64" s="549">
        <f>IFERROR(Generation_Entsoe_SFS_2016[[#This Row],[Other sources]]/Capacity_Entsoe_SFS_2016[[#This Row],[Other sources]]*10^6,0)</f>
        <v>0</v>
      </c>
    </row>
    <row r="65" spans="1:38" x14ac:dyDescent="0.25">
      <c r="A65" s="425" t="str">
        <f t="shared" si="0"/>
        <v>HU</v>
      </c>
      <c r="B65" s="366">
        <f t="shared" ref="B65:C70" si="19">B20</f>
        <v>2016</v>
      </c>
      <c r="C65" s="366" t="str">
        <f t="shared" si="19"/>
        <v>TWh</v>
      </c>
      <c r="D65" s="144">
        <f t="shared" si="4"/>
        <v>15.1</v>
      </c>
      <c r="E65" s="144">
        <f t="shared" si="5"/>
        <v>5.4</v>
      </c>
      <c r="F65" s="167">
        <f t="shared" si="6"/>
        <v>0.1</v>
      </c>
      <c r="G65" s="167">
        <f t="shared" si="7"/>
        <v>4.5</v>
      </c>
      <c r="H65" s="422">
        <f t="shared" si="8"/>
        <v>0</v>
      </c>
      <c r="I65" s="167">
        <f t="shared" si="9"/>
        <v>0.7</v>
      </c>
      <c r="J65" s="144">
        <f t="shared" si="10"/>
        <v>0</v>
      </c>
      <c r="K65" s="422">
        <f t="shared" si="11"/>
        <v>0</v>
      </c>
      <c r="L65" s="422">
        <f t="shared" si="12"/>
        <v>1.7</v>
      </c>
      <c r="M65" s="422">
        <f t="shared" si="13"/>
        <v>0.4</v>
      </c>
      <c r="N65" s="167">
        <f t="shared" si="14"/>
        <v>0.3</v>
      </c>
      <c r="O65" s="167">
        <f t="shared" si="15"/>
        <v>0</v>
      </c>
      <c r="P65" s="422">
        <f t="shared" si="16"/>
        <v>0</v>
      </c>
      <c r="Q65" s="167">
        <f t="shared" si="1"/>
        <v>28.2</v>
      </c>
      <c r="R65" s="167">
        <f t="shared" si="17"/>
        <v>28.1</v>
      </c>
      <c r="S65" s="424">
        <f t="shared" si="18"/>
        <v>1.0035587188612098</v>
      </c>
      <c r="T65" s="516">
        <f>INDEX($A$3:$AL$39,MATCH(Generation_Entsoe_SFS_2016[[#This Row],[Country]],$A$3:$A$39,0),MATCH(Generation_Entsoe_SFS_2016[[#Headers],[Consumption]],$A$1:$AL$1,0))</f>
        <v>40.9</v>
      </c>
      <c r="U65" s="516">
        <f>INDEX($A$3:$AL$39,MATCH(Generation_Entsoe_SFS_2016[[#This Row],[Country]],$A$3:$A$39,0),MATCH(Generation_Entsoe_SFS_2016[[#Headers],[Pumping]],$A$1:$AL$1,0))</f>
        <v>0</v>
      </c>
      <c r="W65" s="543" t="str">
        <f t="shared" si="2"/>
        <v>HU</v>
      </c>
      <c r="X65" s="544">
        <v>2016</v>
      </c>
      <c r="Y65" s="544" t="s">
        <v>648</v>
      </c>
      <c r="Z65" s="548">
        <f>IFERROR(Generation_Entsoe_SFS_2016[[#This Row],[Nuclear]]/Capacity_Entsoe_SFS_2016[[#This Row],[Nuclear]]*10^6,0)</f>
        <v>8002.1197668256482</v>
      </c>
      <c r="AA65" s="548">
        <f>IFERROR(Generation_Entsoe_SFS_2016[[#This Row],[Lignite]]/Capacity_Entsoe_SFS_2016[[#This Row],[Lignite]]*10^6,0)</f>
        <v>5147.7597712106772</v>
      </c>
      <c r="AB65" s="548">
        <f>IFERROR(Generation_Entsoe_SFS_2016[[#This Row],[Hard coal]]/Capacity_Entsoe_SFS_2016[[#This Row],[Hard coal]]*10^6,0)</f>
        <v>342.46575342465752</v>
      </c>
      <c r="AC65" s="548">
        <f>IFERROR(Generation_Entsoe_SFS_2016[[#This Row],[Fossil gases]]/Capacity_Entsoe_SFS_2016[[#This Row],[Fossil gases]]*10^6,0)</f>
        <v>1165.8031088082901</v>
      </c>
      <c r="AD65" s="548">
        <f>IFERROR(Generation_Entsoe_SFS_2016[[#This Row],[Other fossil fuels]]/Capacity_Entsoe_SFS_2016[[#This Row],[Other fossil fuels]]*10^6,0)</f>
        <v>0</v>
      </c>
      <c r="AE65" s="548">
        <f>IFERROR(Generation_Entsoe_SFS_2016[[#This Row],[Wind onshore]]/Capacity_Entsoe_SFS_2016[[#This Row],[Wind onshore]]*10^6,0)</f>
        <v>2134.1463414634145</v>
      </c>
      <c r="AF65" s="548">
        <f>IFERROR(Generation_Entsoe_SFS_2016[[#This Row],[Wind offshore]]/Capacity_Entsoe_SFS_2016[[#This Row],[Wind offshore]]*10^6,0)</f>
        <v>0</v>
      </c>
      <c r="AG65" s="548">
        <f>IFERROR(Generation_Entsoe_SFS_2016[[#This Row],[Solar PV]]/Capacity_Entsoe_SFS_2016[[#This Row],[Solar PV]]*10^6,0)</f>
        <v>0</v>
      </c>
      <c r="AH65" s="548">
        <f>IFERROR(Generation_Entsoe_SFS_2016[[#This Row],[Bioenergy]]/Capacity_Entsoe_SFS_2016[[#This Row],[Bioenergy]]*10^6,0)</f>
        <v>6159.420289855072</v>
      </c>
      <c r="AI65" s="554">
        <f>IFERROR(Generation_Entsoe_SFS_2016[[#This Row],[Other RES]]/Capacity_Entsoe_SFS_2016[[#This Row],[Other RES]]*10^6,0)</f>
        <v>14285.714285714286</v>
      </c>
      <c r="AJ65" s="548">
        <f>IFERROR(Generation_Entsoe_SFS_2016[[#This Row],[Renewable Hydro]]/Capacity_Entsoe_SFS_2016[[#This Row],[Renewable Hydro]]*10^6,0)</f>
        <v>5263.1578947368416</v>
      </c>
      <c r="AK65" s="548">
        <f>IFERROR(Generation_Entsoe_SFS_2016[[#This Row],[Pumped Hydro]]/Capacity_Entsoe_SFS_2016[[#This Row],[Pumped Hydro]]*10^6,0)</f>
        <v>0</v>
      </c>
      <c r="AL65" s="548">
        <f>IFERROR(Generation_Entsoe_SFS_2016[[#This Row],[Other sources]]/Capacity_Entsoe_SFS_2016[[#This Row],[Other sources]]*10^6,0)</f>
        <v>0</v>
      </c>
    </row>
    <row r="66" spans="1:38" x14ac:dyDescent="0.25">
      <c r="A66" s="425" t="str">
        <f t="shared" si="0"/>
        <v>IE</v>
      </c>
      <c r="B66" s="366">
        <f t="shared" si="19"/>
        <v>2016</v>
      </c>
      <c r="C66" s="366" t="str">
        <f t="shared" si="19"/>
        <v>TWh</v>
      </c>
      <c r="D66" s="144">
        <f t="shared" si="4"/>
        <v>0</v>
      </c>
      <c r="E66" s="144">
        <f t="shared" si="5"/>
        <v>0</v>
      </c>
      <c r="F66" s="167">
        <f t="shared" si="6"/>
        <v>4.5999999999999996</v>
      </c>
      <c r="G66" s="167">
        <f t="shared" si="7"/>
        <v>14.2</v>
      </c>
      <c r="H66" s="422">
        <f t="shared" si="8"/>
        <v>2.6</v>
      </c>
      <c r="I66" s="167">
        <f t="shared" si="9"/>
        <v>6.1</v>
      </c>
      <c r="J66" s="144">
        <f t="shared" si="10"/>
        <v>0</v>
      </c>
      <c r="K66" s="422">
        <f t="shared" si="11"/>
        <v>0</v>
      </c>
      <c r="L66" s="422">
        <f t="shared" si="12"/>
        <v>0</v>
      </c>
      <c r="M66" s="422">
        <f t="shared" si="13"/>
        <v>0.30000000000000004</v>
      </c>
      <c r="N66" s="167">
        <f t="shared" si="14"/>
        <v>0.7</v>
      </c>
      <c r="O66" s="167">
        <f t="shared" si="15"/>
        <v>0.3</v>
      </c>
      <c r="P66" s="422">
        <f t="shared" si="16"/>
        <v>0.1</v>
      </c>
      <c r="Q66" s="167">
        <f t="shared" si="1"/>
        <v>28.900000000000002</v>
      </c>
      <c r="R66" s="167">
        <f t="shared" si="17"/>
        <v>28.8</v>
      </c>
      <c r="S66" s="424">
        <f t="shared" si="18"/>
        <v>1.0034722222222223</v>
      </c>
      <c r="T66" s="516">
        <f>INDEX($A$3:$AL$39,MATCH(Generation_Entsoe_SFS_2016[[#This Row],[Country]],$A$3:$A$39,0),MATCH(Generation_Entsoe_SFS_2016[[#Headers],[Consumption]],$A$1:$AL$1,0))</f>
        <v>27.6</v>
      </c>
      <c r="U66" s="516">
        <f>INDEX($A$3:$AL$39,MATCH(Generation_Entsoe_SFS_2016[[#This Row],[Country]],$A$3:$A$39,0),MATCH(Generation_Entsoe_SFS_2016[[#Headers],[Pumping]],$A$1:$AL$1,0))</f>
        <v>0.5</v>
      </c>
      <c r="W66" s="543" t="str">
        <f t="shared" si="2"/>
        <v>IE</v>
      </c>
      <c r="X66" s="544">
        <v>2016</v>
      </c>
      <c r="Y66" s="544" t="s">
        <v>648</v>
      </c>
      <c r="Z66" s="549">
        <f>IFERROR(Generation_Entsoe_SFS_2016[[#This Row],[Nuclear]]/Capacity_Entsoe_SFS_2016[[#This Row],[Nuclear]]*10^6,0)</f>
        <v>0</v>
      </c>
      <c r="AA66" s="549">
        <f>IFERROR(Generation_Entsoe_SFS_2016[[#This Row],[Lignite]]/Capacity_Entsoe_SFS_2016[[#This Row],[Lignite]]*10^6,0)</f>
        <v>0</v>
      </c>
      <c r="AB66" s="549">
        <f>IFERROR(Generation_Entsoe_SFS_2016[[#This Row],[Hard coal]]/Capacity_Entsoe_SFS_2016[[#This Row],[Hard coal]]*10^6,0)</f>
        <v>5380.1169590643267</v>
      </c>
      <c r="AC66" s="549">
        <f>IFERROR(Generation_Entsoe_SFS_2016[[#This Row],[Fossil gases]]/Capacity_Entsoe_SFS_2016[[#This Row],[Fossil gases]]*10^6,0)</f>
        <v>3368.9205219454325</v>
      </c>
      <c r="AD66" s="549">
        <f>IFERROR(Generation_Entsoe_SFS_2016[[#This Row],[Other fossil fuels]]/Capacity_Entsoe_SFS_2016[[#This Row],[Other fossil fuels]]*10^6,0)</f>
        <v>2272.7272727272725</v>
      </c>
      <c r="AE66" s="549">
        <f>IFERROR(Generation_Entsoe_SFS_2016[[#This Row],[Wind onshore]]/Capacity_Entsoe_SFS_2016[[#This Row],[Wind onshore]]*10^6,0)</f>
        <v>2226.2773722627735</v>
      </c>
      <c r="AF66" s="549">
        <f>IFERROR(Generation_Entsoe_SFS_2016[[#This Row],[Wind offshore]]/Capacity_Entsoe_SFS_2016[[#This Row],[Wind offshore]]*10^6,0)</f>
        <v>0</v>
      </c>
      <c r="AG66" s="549">
        <f>IFERROR(Generation_Entsoe_SFS_2016[[#This Row],[Solar PV]]/Capacity_Entsoe_SFS_2016[[#This Row],[Solar PV]]*10^6,0)</f>
        <v>0</v>
      </c>
      <c r="AH66" s="549">
        <f>IFERROR(Generation_Entsoe_SFS_2016[[#This Row],[Bioenergy]]/Capacity_Entsoe_SFS_2016[[#This Row],[Bioenergy]]*10^6,0)</f>
        <v>0</v>
      </c>
      <c r="AI66" s="549">
        <f>IFERROR(Generation_Entsoe_SFS_2016[[#This Row],[Other RES]]/Capacity_Entsoe_SFS_2016[[#This Row],[Other RES]]*10^6,0)</f>
        <v>487.01298701298708</v>
      </c>
      <c r="AJ66" s="549">
        <f>IFERROR(Generation_Entsoe_SFS_2016[[#This Row],[Renewable Hydro]]/Capacity_Entsoe_SFS_2016[[#This Row],[Renewable Hydro]]*10^6,0)</f>
        <v>2941.1764705882351</v>
      </c>
      <c r="AK66" s="549">
        <f>IFERROR(Generation_Entsoe_SFS_2016[[#This Row],[Pumped Hydro]]/Capacity_Entsoe_SFS_2016[[#This Row],[Pumped Hydro]]*10^6,0)</f>
        <v>1027.3972602739725</v>
      </c>
      <c r="AL66" s="555">
        <f>IFERROR(Generation_Entsoe_SFS_2016[[#This Row],[Other sources]]/Capacity_Entsoe_SFS_2016[[#This Row],[Other sources]]*10^6,0)</f>
        <v>12500</v>
      </c>
    </row>
    <row r="67" spans="1:38" x14ac:dyDescent="0.25">
      <c r="A67" s="425" t="str">
        <f t="shared" si="0"/>
        <v>IS</v>
      </c>
      <c r="B67" s="366">
        <f t="shared" si="19"/>
        <v>2016</v>
      </c>
      <c r="C67" s="366" t="str">
        <f t="shared" si="19"/>
        <v>TWh</v>
      </c>
      <c r="D67" s="144">
        <f t="shared" si="4"/>
        <v>0</v>
      </c>
      <c r="E67" s="144">
        <f t="shared" si="5"/>
        <v>0</v>
      </c>
      <c r="F67" s="167">
        <f t="shared" si="6"/>
        <v>0</v>
      </c>
      <c r="G67" s="167">
        <f t="shared" si="7"/>
        <v>0</v>
      </c>
      <c r="H67" s="422">
        <f t="shared" si="8"/>
        <v>0</v>
      </c>
      <c r="I67" s="167">
        <f t="shared" si="9"/>
        <v>0</v>
      </c>
      <c r="J67" s="144">
        <f t="shared" si="10"/>
        <v>0</v>
      </c>
      <c r="K67" s="422">
        <f t="shared" si="11"/>
        <v>0</v>
      </c>
      <c r="L67" s="422">
        <f t="shared" si="12"/>
        <v>0</v>
      </c>
      <c r="M67" s="422">
        <f t="shared" si="13"/>
        <v>4.7</v>
      </c>
      <c r="N67" s="167">
        <f t="shared" si="14"/>
        <v>13.4</v>
      </c>
      <c r="O67" s="167">
        <f t="shared" si="15"/>
        <v>0</v>
      </c>
      <c r="P67" s="422">
        <f t="shared" si="16"/>
        <v>0</v>
      </c>
      <c r="Q67" s="167">
        <f t="shared" si="1"/>
        <v>18.100000000000001</v>
      </c>
      <c r="R67" s="167">
        <f t="shared" si="17"/>
        <v>18.100000000000001</v>
      </c>
      <c r="S67" s="424">
        <f t="shared" si="18"/>
        <v>1</v>
      </c>
      <c r="T67" s="516">
        <f>INDEX($A$3:$AL$39,MATCH(Generation_Entsoe_SFS_2016[[#This Row],[Country]],$A$3:$A$39,0),MATCH(Generation_Entsoe_SFS_2016[[#Headers],[Consumption]],$A$1:$AL$1,0))</f>
        <v>18.100000000000001</v>
      </c>
      <c r="U67" s="516">
        <f>INDEX($A$3:$AL$39,MATCH(Generation_Entsoe_SFS_2016[[#This Row],[Country]],$A$3:$A$39,0),MATCH(Generation_Entsoe_SFS_2016[[#Headers],[Pumping]],$A$1:$AL$1,0))</f>
        <v>0</v>
      </c>
      <c r="W67" s="543" t="str">
        <f t="shared" si="2"/>
        <v>IS</v>
      </c>
      <c r="X67" s="544">
        <v>2016</v>
      </c>
      <c r="Y67" s="544" t="s">
        <v>648</v>
      </c>
      <c r="Z67" s="548">
        <f>IFERROR(Generation_Entsoe_SFS_2016[[#This Row],[Nuclear]]/Capacity_Entsoe_SFS_2016[[#This Row],[Nuclear]]*10^6,0)</f>
        <v>0</v>
      </c>
      <c r="AA67" s="548">
        <f>IFERROR(Generation_Entsoe_SFS_2016[[#This Row],[Lignite]]/Capacity_Entsoe_SFS_2016[[#This Row],[Lignite]]*10^6,0)</f>
        <v>0</v>
      </c>
      <c r="AB67" s="548">
        <f>IFERROR(Generation_Entsoe_SFS_2016[[#This Row],[Hard coal]]/Capacity_Entsoe_SFS_2016[[#This Row],[Hard coal]]*10^6,0)</f>
        <v>0</v>
      </c>
      <c r="AC67" s="548">
        <f>IFERROR(Generation_Entsoe_SFS_2016[[#This Row],[Fossil gases]]/Capacity_Entsoe_SFS_2016[[#This Row],[Fossil gases]]*10^6,0)</f>
        <v>0</v>
      </c>
      <c r="AD67" s="548">
        <f>IFERROR(Generation_Entsoe_SFS_2016[[#This Row],[Other fossil fuels]]/Capacity_Entsoe_SFS_2016[[#This Row],[Other fossil fuels]]*10^6,0)</f>
        <v>0</v>
      </c>
      <c r="AE67" s="548">
        <f>IFERROR(Generation_Entsoe_SFS_2016[[#This Row],[Wind onshore]]/Capacity_Entsoe_SFS_2016[[#This Row],[Wind onshore]]*10^6,0)</f>
        <v>0</v>
      </c>
      <c r="AF67" s="548">
        <f>IFERROR(Generation_Entsoe_SFS_2016[[#This Row],[Wind offshore]]/Capacity_Entsoe_SFS_2016[[#This Row],[Wind offshore]]*10^6,0)</f>
        <v>0</v>
      </c>
      <c r="AG67" s="548">
        <f>IFERROR(Generation_Entsoe_SFS_2016[[#This Row],[Solar PV]]/Capacity_Entsoe_SFS_2016[[#This Row],[Solar PV]]*10^6,0)</f>
        <v>0</v>
      </c>
      <c r="AH67" s="548">
        <f>IFERROR(Generation_Entsoe_SFS_2016[[#This Row],[Bioenergy]]/Capacity_Entsoe_SFS_2016[[#This Row],[Bioenergy]]*10^6,0)</f>
        <v>0</v>
      </c>
      <c r="AI67" s="548">
        <f>IFERROR(Generation_Entsoe_SFS_2016[[#This Row],[Other RES]]/Capacity_Entsoe_SFS_2016[[#This Row],[Other RES]]*10^6,0)</f>
        <v>7110.4387291981848</v>
      </c>
      <c r="AJ67" s="548">
        <f>IFERROR(Generation_Entsoe_SFS_2016[[#This Row],[Renewable Hydro]]/Capacity_Entsoe_SFS_2016[[#This Row],[Renewable Hydro]]*10^6,0)</f>
        <v>6791.687785098834</v>
      </c>
      <c r="AK67" s="548">
        <f>IFERROR(Generation_Entsoe_SFS_2016[[#This Row],[Pumped Hydro]]/Capacity_Entsoe_SFS_2016[[#This Row],[Pumped Hydro]]*10^6,0)</f>
        <v>0</v>
      </c>
      <c r="AL67" s="548">
        <f>IFERROR(Generation_Entsoe_SFS_2016[[#This Row],[Other sources]]/Capacity_Entsoe_SFS_2016[[#This Row],[Other sources]]*10^6,0)</f>
        <v>0</v>
      </c>
    </row>
    <row r="68" spans="1:38" x14ac:dyDescent="0.25">
      <c r="A68" s="425" t="str">
        <f t="shared" si="0"/>
        <v>IT</v>
      </c>
      <c r="B68" s="366">
        <f t="shared" si="19"/>
        <v>2016</v>
      </c>
      <c r="C68" s="366" t="str">
        <f t="shared" si="19"/>
        <v>TWh</v>
      </c>
      <c r="D68" s="144">
        <f t="shared" si="4"/>
        <v>0</v>
      </c>
      <c r="E68" s="144">
        <f t="shared" si="5"/>
        <v>0</v>
      </c>
      <c r="F68" s="167">
        <f t="shared" si="6"/>
        <v>41.8</v>
      </c>
      <c r="G68" s="167">
        <f t="shared" si="7"/>
        <v>109.3</v>
      </c>
      <c r="H68" s="422">
        <f t="shared" si="8"/>
        <v>5.4</v>
      </c>
      <c r="I68" s="167">
        <f t="shared" si="9"/>
        <v>17.399999999999999</v>
      </c>
      <c r="J68" s="144">
        <f t="shared" si="10"/>
        <v>0</v>
      </c>
      <c r="K68" s="422">
        <f t="shared" si="11"/>
        <v>22.5</v>
      </c>
      <c r="L68" s="422">
        <f t="shared" si="12"/>
        <v>16.399999999999999</v>
      </c>
      <c r="M68" s="422">
        <f t="shared" si="13"/>
        <v>8.1999999999999993</v>
      </c>
      <c r="N68" s="167">
        <f t="shared" si="14"/>
        <v>41</v>
      </c>
      <c r="O68" s="167">
        <f t="shared" si="15"/>
        <v>1.3</v>
      </c>
      <c r="P68" s="422">
        <f t="shared" si="16"/>
        <v>10.399999999999999</v>
      </c>
      <c r="Q68" s="167">
        <f t="shared" si="1"/>
        <v>273.7</v>
      </c>
      <c r="R68" s="167">
        <f t="shared" si="17"/>
        <v>273.8</v>
      </c>
      <c r="S68" s="424">
        <f t="shared" si="18"/>
        <v>0.99963476990504008</v>
      </c>
      <c r="T68" s="516">
        <f>INDEX($A$3:$AL$39,MATCH(Generation_Entsoe_SFS_2016[[#This Row],[Country]],$A$3:$A$39,0),MATCH(Generation_Entsoe_SFS_2016[[#Headers],[Consumption]],$A$1:$AL$1,0))</f>
        <v>308.39999999999998</v>
      </c>
      <c r="U68" s="516">
        <f>INDEX($A$3:$AL$39,MATCH(Generation_Entsoe_SFS_2016[[#This Row],[Country]],$A$3:$A$39,0),MATCH(Generation_Entsoe_SFS_2016[[#Headers],[Pumping]],$A$1:$AL$1,0))</f>
        <v>2.4</v>
      </c>
      <c r="W68" s="543" t="str">
        <f t="shared" si="2"/>
        <v>IT</v>
      </c>
      <c r="X68" s="544">
        <v>2016</v>
      </c>
      <c r="Y68" s="544" t="s">
        <v>648</v>
      </c>
      <c r="Z68" s="549">
        <f>IFERROR(Generation_Entsoe_SFS_2016[[#This Row],[Nuclear]]/Capacity_Entsoe_SFS_2016[[#This Row],[Nuclear]]*10^6,0)</f>
        <v>0</v>
      </c>
      <c r="AA68" s="549">
        <f>IFERROR(Generation_Entsoe_SFS_2016[[#This Row],[Lignite]]/Capacity_Entsoe_SFS_2016[[#This Row],[Lignite]]*10^6,0)</f>
        <v>0</v>
      </c>
      <c r="AB68" s="549">
        <f>IFERROR(Generation_Entsoe_SFS_2016[[#This Row],[Hard coal]]/Capacity_Entsoe_SFS_2016[[#This Row],[Hard coal]]*10^6,0)</f>
        <v>6575.4286613182312</v>
      </c>
      <c r="AC68" s="549">
        <f>IFERROR(Generation_Entsoe_SFS_2016[[#This Row],[Fossil gases]]/Capacity_Entsoe_SFS_2016[[#This Row],[Fossil gases]]*10^6,0)</f>
        <v>2712.8993025391546</v>
      </c>
      <c r="AD68" s="549">
        <f>IFERROR(Generation_Entsoe_SFS_2016[[#This Row],[Other fossil fuels]]/Capacity_Entsoe_SFS_2016[[#This Row],[Other fossil fuels]]*10^6,0)</f>
        <v>243.01336573511543</v>
      </c>
      <c r="AE68" s="549">
        <f>IFERROR(Generation_Entsoe_SFS_2016[[#This Row],[Wind onshore]]/Capacity_Entsoe_SFS_2016[[#This Row],[Wind onshore]]*10^6,0)</f>
        <v>1847.9184367034834</v>
      </c>
      <c r="AF68" s="549">
        <f>IFERROR(Generation_Entsoe_SFS_2016[[#This Row],[Wind offshore]]/Capacity_Entsoe_SFS_2016[[#This Row],[Wind offshore]]*10^6,0)</f>
        <v>0</v>
      </c>
      <c r="AG68" s="549">
        <f>IFERROR(Generation_Entsoe_SFS_2016[[#This Row],[Solar PV]]/Capacity_Entsoe_SFS_2016[[#This Row],[Solar PV]]*10^6,0)</f>
        <v>1166.5284114475321</v>
      </c>
      <c r="AH68" s="549">
        <f>IFERROR(Generation_Entsoe_SFS_2016[[#This Row],[Bioenergy]]/Capacity_Entsoe_SFS_2016[[#This Row],[Bioenergy]]*10^6,0)</f>
        <v>4129.9420800805838</v>
      </c>
      <c r="AI68" s="549">
        <f>IFERROR(Generation_Entsoe_SFS_2016[[#This Row],[Other RES]]/Capacity_Entsoe_SFS_2016[[#This Row],[Other RES]]*10^6,0)</f>
        <v>5608.7551299589604</v>
      </c>
      <c r="AJ68" s="549">
        <f>IFERROR(Generation_Entsoe_SFS_2016[[#This Row],[Renewable Hydro]]/Capacity_Entsoe_SFS_2016[[#This Row],[Renewable Hydro]]*10^6,0)</f>
        <v>1882.9797005603014</v>
      </c>
      <c r="AK68" s="549">
        <f>IFERROR(Generation_Entsoe_SFS_2016[[#This Row],[Pumped Hydro]]/Capacity_Entsoe_SFS_2016[[#This Row],[Pumped Hydro]]*10^6,0)</f>
        <v>273.51146644224701</v>
      </c>
      <c r="AL68" s="549">
        <f>IFERROR(Generation_Entsoe_SFS_2016[[#This Row],[Other sources]]/Capacity_Entsoe_SFS_2016[[#This Row],[Other sources]]*10^6,0)</f>
        <v>2792.6960257787323</v>
      </c>
    </row>
    <row r="69" spans="1:38" x14ac:dyDescent="0.25">
      <c r="A69" s="425" t="str">
        <f t="shared" si="0"/>
        <v>LT</v>
      </c>
      <c r="B69" s="366">
        <f t="shared" si="19"/>
        <v>2016</v>
      </c>
      <c r="C69" s="366" t="str">
        <f t="shared" si="19"/>
        <v>TWh</v>
      </c>
      <c r="D69" s="144">
        <f t="shared" si="4"/>
        <v>0</v>
      </c>
      <c r="E69" s="144">
        <f t="shared" si="5"/>
        <v>0</v>
      </c>
      <c r="F69" s="167">
        <f t="shared" si="6"/>
        <v>0</v>
      </c>
      <c r="G69" s="167">
        <f t="shared" si="7"/>
        <v>0.8</v>
      </c>
      <c r="H69" s="422">
        <f t="shared" si="8"/>
        <v>0.2</v>
      </c>
      <c r="I69" s="167">
        <f t="shared" si="9"/>
        <v>1.1000000000000001</v>
      </c>
      <c r="J69" s="144">
        <f t="shared" si="10"/>
        <v>0</v>
      </c>
      <c r="K69" s="422">
        <f t="shared" si="11"/>
        <v>0.1</v>
      </c>
      <c r="L69" s="422">
        <f t="shared" si="12"/>
        <v>0.30000000000000004</v>
      </c>
      <c r="M69" s="422">
        <f t="shared" si="13"/>
        <v>0.1</v>
      </c>
      <c r="N69" s="167">
        <f t="shared" si="14"/>
        <v>0.4</v>
      </c>
      <c r="O69" s="167">
        <f t="shared" si="15"/>
        <v>0.6</v>
      </c>
      <c r="P69" s="422">
        <f t="shared" si="16"/>
        <v>0.30000000000000004</v>
      </c>
      <c r="Q69" s="167">
        <f t="shared" si="1"/>
        <v>3.9000000000000004</v>
      </c>
      <c r="R69" s="167">
        <f t="shared" si="17"/>
        <v>4</v>
      </c>
      <c r="S69" s="424">
        <f t="shared" si="18"/>
        <v>0.97500000000000009</v>
      </c>
      <c r="T69" s="516">
        <f>INDEX($A$3:$AL$39,MATCH(Generation_Entsoe_SFS_2016[[#This Row],[Country]],$A$3:$A$39,0),MATCH(Generation_Entsoe_SFS_2016[[#Headers],[Consumption]],$A$1:$AL$1,0))</f>
        <v>11.4</v>
      </c>
      <c r="U69" s="516">
        <f>INDEX($A$3:$AL$39,MATCH(Generation_Entsoe_SFS_2016[[#This Row],[Country]],$A$3:$A$39,0),MATCH(Generation_Entsoe_SFS_2016[[#Headers],[Pumping]],$A$1:$AL$1,0))</f>
        <v>0.8</v>
      </c>
      <c r="W69" s="543" t="str">
        <f t="shared" si="2"/>
        <v>LT</v>
      </c>
      <c r="X69" s="544">
        <v>2016</v>
      </c>
      <c r="Y69" s="544" t="s">
        <v>648</v>
      </c>
      <c r="Z69" s="548">
        <f>IFERROR(Generation_Entsoe_SFS_2016[[#This Row],[Nuclear]]/Capacity_Entsoe_SFS_2016[[#This Row],[Nuclear]]*10^6,0)</f>
        <v>0</v>
      </c>
      <c r="AA69" s="548">
        <f>IFERROR(Generation_Entsoe_SFS_2016[[#This Row],[Lignite]]/Capacity_Entsoe_SFS_2016[[#This Row],[Lignite]]*10^6,0)</f>
        <v>0</v>
      </c>
      <c r="AB69" s="548">
        <f>IFERROR(Generation_Entsoe_SFS_2016[[#This Row],[Hard coal]]/Capacity_Entsoe_SFS_2016[[#This Row],[Hard coal]]*10^6,0)</f>
        <v>0</v>
      </c>
      <c r="AC69" s="548">
        <f>IFERROR(Generation_Entsoe_SFS_2016[[#This Row],[Fossil gases]]/Capacity_Entsoe_SFS_2016[[#This Row],[Fossil gases]]*10^6,0)</f>
        <v>1300.8130081300812</v>
      </c>
      <c r="AD69" s="548">
        <f>IFERROR(Generation_Entsoe_SFS_2016[[#This Row],[Other fossil fuels]]/Capacity_Entsoe_SFS_2016[[#This Row],[Other fossil fuels]]*10^6,0)</f>
        <v>178.73100983020555</v>
      </c>
      <c r="AE69" s="548">
        <f>IFERROR(Generation_Entsoe_SFS_2016[[#This Row],[Wind onshore]]/Capacity_Entsoe_SFS_2016[[#This Row],[Wind onshore]]*10^6,0)</f>
        <v>2511.4155251141556</v>
      </c>
      <c r="AF69" s="548">
        <f>IFERROR(Generation_Entsoe_SFS_2016[[#This Row],[Wind offshore]]/Capacity_Entsoe_SFS_2016[[#This Row],[Wind offshore]]*10^6,0)</f>
        <v>0</v>
      </c>
      <c r="AG69" s="548">
        <f>IFERROR(Generation_Entsoe_SFS_2016[[#This Row],[Solar PV]]/Capacity_Entsoe_SFS_2016[[#This Row],[Solar PV]]*10^6,0)</f>
        <v>1369.8630136986301</v>
      </c>
      <c r="AH69" s="548">
        <f>IFERROR(Generation_Entsoe_SFS_2016[[#This Row],[Bioenergy]]/Capacity_Entsoe_SFS_2016[[#This Row],[Bioenergy]]*10^6,0)</f>
        <v>3846.1538461538466</v>
      </c>
      <c r="AI69" s="548">
        <f>IFERROR(Generation_Entsoe_SFS_2016[[#This Row],[Other RES]]/Capacity_Entsoe_SFS_2016[[#This Row],[Other RES]]*10^6,0)</f>
        <v>0</v>
      </c>
      <c r="AJ69" s="548">
        <f>IFERROR(Generation_Entsoe_SFS_2016[[#This Row],[Renewable Hydro]]/Capacity_Entsoe_SFS_2016[[#This Row],[Renewable Hydro]]*10^6,0)</f>
        <v>3174.6031746031745</v>
      </c>
      <c r="AK69" s="548">
        <f>IFERROR(Generation_Entsoe_SFS_2016[[#This Row],[Pumped Hydro]]/Capacity_Entsoe_SFS_2016[[#This Row],[Pumped Hydro]]*10^6,0)</f>
        <v>666.66666666666663</v>
      </c>
      <c r="AL69" s="554">
        <f>IFERROR(Generation_Entsoe_SFS_2016[[#This Row],[Other sources]]/Capacity_Entsoe_SFS_2016[[#This Row],[Other sources]]*10^6,0)</f>
        <v>9375.0000000000018</v>
      </c>
    </row>
    <row r="70" spans="1:38" x14ac:dyDescent="0.25">
      <c r="A70" s="425" t="str">
        <f t="shared" si="0"/>
        <v>LU</v>
      </c>
      <c r="B70" s="366">
        <f t="shared" si="19"/>
        <v>2016</v>
      </c>
      <c r="C70" s="366" t="str">
        <f t="shared" si="19"/>
        <v>TWh</v>
      </c>
      <c r="D70" s="144">
        <f t="shared" si="4"/>
        <v>0</v>
      </c>
      <c r="E70" s="144">
        <f t="shared" si="5"/>
        <v>0</v>
      </c>
      <c r="F70" s="167">
        <f t="shared" si="6"/>
        <v>0</v>
      </c>
      <c r="G70" s="167">
        <f t="shared" si="7"/>
        <v>0.3</v>
      </c>
      <c r="H70" s="422">
        <f t="shared" si="8"/>
        <v>0</v>
      </c>
      <c r="I70" s="167">
        <f t="shared" si="9"/>
        <v>0.1</v>
      </c>
      <c r="J70" s="144">
        <f t="shared" si="10"/>
        <v>0</v>
      </c>
      <c r="K70" s="422">
        <f t="shared" si="11"/>
        <v>0.1</v>
      </c>
      <c r="L70" s="422">
        <f t="shared" si="12"/>
        <v>0.1</v>
      </c>
      <c r="M70" s="422">
        <f t="shared" si="13"/>
        <v>0</v>
      </c>
      <c r="N70" s="167">
        <f t="shared" si="14"/>
        <v>0.1</v>
      </c>
      <c r="O70" s="167">
        <f t="shared" si="15"/>
        <v>1.4</v>
      </c>
      <c r="P70" s="422">
        <f t="shared" si="16"/>
        <v>0.1</v>
      </c>
      <c r="Q70" s="167">
        <f t="shared" si="1"/>
        <v>2.1999999999999997</v>
      </c>
      <c r="R70" s="167">
        <f t="shared" si="17"/>
        <v>2.1</v>
      </c>
      <c r="S70" s="424">
        <f t="shared" si="18"/>
        <v>1.0476190476190474</v>
      </c>
      <c r="T70" s="516">
        <f>INDEX($A$3:$AL$39,MATCH(Generation_Entsoe_SFS_2016[[#This Row],[Country]],$A$3:$A$39,0),MATCH(Generation_Entsoe_SFS_2016[[#Headers],[Consumption]],$A$1:$AL$1,0))</f>
        <v>6.5</v>
      </c>
      <c r="U70" s="516">
        <f>INDEX($A$3:$AL$39,MATCH(Generation_Entsoe_SFS_2016[[#This Row],[Country]],$A$3:$A$39,0),MATCH(Generation_Entsoe_SFS_2016[[#Headers],[Pumping]],$A$1:$AL$1,0))</f>
        <v>1.9</v>
      </c>
      <c r="W70" s="543" t="str">
        <f t="shared" si="2"/>
        <v>LU</v>
      </c>
      <c r="X70" s="544">
        <v>2016</v>
      </c>
      <c r="Y70" s="544" t="s">
        <v>648</v>
      </c>
      <c r="Z70" s="549">
        <f>IFERROR(Generation_Entsoe_SFS_2016[[#This Row],[Nuclear]]/Capacity_Entsoe_SFS_2016[[#This Row],[Nuclear]]*10^6,0)</f>
        <v>0</v>
      </c>
      <c r="AA70" s="549">
        <f>IFERROR(Generation_Entsoe_SFS_2016[[#This Row],[Lignite]]/Capacity_Entsoe_SFS_2016[[#This Row],[Lignite]]*10^6,0)</f>
        <v>0</v>
      </c>
      <c r="AB70" s="549">
        <f>IFERROR(Generation_Entsoe_SFS_2016[[#This Row],[Hard coal]]/Capacity_Entsoe_SFS_2016[[#This Row],[Hard coal]]*10^6,0)</f>
        <v>0</v>
      </c>
      <c r="AC70" s="549">
        <f>IFERROR(Generation_Entsoe_SFS_2016[[#This Row],[Fossil gases]]/Capacity_Entsoe_SFS_2016[[#This Row],[Fossil gases]]*10^6,0)</f>
        <v>606.06060606060601</v>
      </c>
      <c r="AD70" s="549">
        <f>IFERROR(Generation_Entsoe_SFS_2016[[#This Row],[Other fossil fuels]]/Capacity_Entsoe_SFS_2016[[#This Row],[Other fossil fuels]]*10^6,0)</f>
        <v>0</v>
      </c>
      <c r="AE70" s="549">
        <f>IFERROR(Generation_Entsoe_SFS_2016[[#This Row],[Wind onshore]]/Capacity_Entsoe_SFS_2016[[#This Row],[Wind onshore]]*10^6,0)</f>
        <v>833.33333333333337</v>
      </c>
      <c r="AF70" s="549">
        <f>IFERROR(Generation_Entsoe_SFS_2016[[#This Row],[Wind offshore]]/Capacity_Entsoe_SFS_2016[[#This Row],[Wind offshore]]*10^6,0)</f>
        <v>0</v>
      </c>
      <c r="AG70" s="549">
        <f>IFERROR(Generation_Entsoe_SFS_2016[[#This Row],[Solar PV]]/Capacity_Entsoe_SFS_2016[[#This Row],[Solar PV]]*10^6,0)</f>
        <v>826.44628099173565</v>
      </c>
      <c r="AH70" s="549">
        <f>IFERROR(Generation_Entsoe_SFS_2016[[#This Row],[Bioenergy]]/Capacity_Entsoe_SFS_2016[[#This Row],[Bioenergy]]*10^6,0)</f>
        <v>9090.9090909090919</v>
      </c>
      <c r="AI70" s="549">
        <f>IFERROR(Generation_Entsoe_SFS_2016[[#This Row],[Other RES]]/Capacity_Entsoe_SFS_2016[[#This Row],[Other RES]]*10^6,0)</f>
        <v>0</v>
      </c>
      <c r="AJ70" s="549">
        <f>IFERROR(Generation_Entsoe_SFS_2016[[#This Row],[Renewable Hydro]]/Capacity_Entsoe_SFS_2016[[#This Row],[Renewable Hydro]]*10^6,0)</f>
        <v>3125</v>
      </c>
      <c r="AK70" s="549">
        <f>IFERROR(Generation_Entsoe_SFS_2016[[#This Row],[Pumped Hydro]]/Capacity_Entsoe_SFS_2016[[#This Row],[Pumped Hydro]]*10^6,0)</f>
        <v>1085.2713178294573</v>
      </c>
      <c r="AL70" s="549">
        <f>IFERROR(Generation_Entsoe_SFS_2016[[#This Row],[Other sources]]/Capacity_Entsoe_SFS_2016[[#This Row],[Other sources]]*10^6,0)</f>
        <v>4761.9047619047624</v>
      </c>
    </row>
    <row r="71" spans="1:38" x14ac:dyDescent="0.25">
      <c r="A71" s="425" t="str">
        <f t="shared" si="0"/>
        <v>LV</v>
      </c>
      <c r="B71" s="366">
        <f t="shared" ref="B71:C75" si="20">B28</f>
        <v>2016</v>
      </c>
      <c r="C71" s="366" t="str">
        <f t="shared" si="20"/>
        <v>TWh</v>
      </c>
      <c r="D71" s="144">
        <f t="shared" si="4"/>
        <v>0</v>
      </c>
      <c r="E71" s="144">
        <f t="shared" si="5"/>
        <v>0</v>
      </c>
      <c r="F71" s="167">
        <f t="shared" si="6"/>
        <v>0</v>
      </c>
      <c r="G71" s="167">
        <f t="shared" si="7"/>
        <v>2.2000000000000002</v>
      </c>
      <c r="H71" s="422">
        <f t="shared" si="8"/>
        <v>0.6</v>
      </c>
      <c r="I71" s="167">
        <f t="shared" si="9"/>
        <v>0.1</v>
      </c>
      <c r="J71" s="144">
        <f t="shared" si="10"/>
        <v>0</v>
      </c>
      <c r="K71" s="422">
        <f t="shared" si="11"/>
        <v>0</v>
      </c>
      <c r="L71" s="422">
        <f t="shared" si="12"/>
        <v>0.8</v>
      </c>
      <c r="M71" s="422">
        <f t="shared" si="13"/>
        <v>0</v>
      </c>
      <c r="N71" s="167">
        <f t="shared" si="14"/>
        <v>2.5</v>
      </c>
      <c r="O71" s="167">
        <f t="shared" si="15"/>
        <v>0</v>
      </c>
      <c r="P71" s="422">
        <f t="shared" si="16"/>
        <v>0</v>
      </c>
      <c r="Q71" s="167">
        <f t="shared" si="1"/>
        <v>6.2</v>
      </c>
      <c r="R71" s="167">
        <f t="shared" si="17"/>
        <v>6.3</v>
      </c>
      <c r="S71" s="424">
        <f t="shared" si="18"/>
        <v>0.98412698412698418</v>
      </c>
      <c r="T71" s="516">
        <f>INDEX($A$3:$AL$39,MATCH(Generation_Entsoe_SFS_2016[[#This Row],[Country]],$A$3:$A$39,0),MATCH(Generation_Entsoe_SFS_2016[[#Headers],[Consumption]],$A$1:$AL$1,0))</f>
        <v>7.3</v>
      </c>
      <c r="U71" s="516">
        <f>INDEX($A$3:$AL$39,MATCH(Generation_Entsoe_SFS_2016[[#This Row],[Country]],$A$3:$A$39,0),MATCH(Generation_Entsoe_SFS_2016[[#Headers],[Pumping]],$A$1:$AL$1,0))</f>
        <v>0</v>
      </c>
      <c r="W71" s="543" t="str">
        <f t="shared" si="2"/>
        <v>LV</v>
      </c>
      <c r="X71" s="544">
        <v>2016</v>
      </c>
      <c r="Y71" s="544" t="s">
        <v>648</v>
      </c>
      <c r="Z71" s="548">
        <f>IFERROR(Generation_Entsoe_SFS_2016[[#This Row],[Nuclear]]/Capacity_Entsoe_SFS_2016[[#This Row],[Nuclear]]*10^6,0)</f>
        <v>0</v>
      </c>
      <c r="AA71" s="548">
        <f>IFERROR(Generation_Entsoe_SFS_2016[[#This Row],[Lignite]]/Capacity_Entsoe_SFS_2016[[#This Row],[Lignite]]*10^6,0)</f>
        <v>0</v>
      </c>
      <c r="AB71" s="548">
        <f>IFERROR(Generation_Entsoe_SFS_2016[[#This Row],[Hard coal]]/Capacity_Entsoe_SFS_2016[[#This Row],[Hard coal]]*10^6,0)</f>
        <v>0</v>
      </c>
      <c r="AC71" s="548">
        <f>IFERROR(Generation_Entsoe_SFS_2016[[#This Row],[Fossil gases]]/Capacity_Entsoe_SFS_2016[[#This Row],[Fossil gases]]*10^6,0)</f>
        <v>2133.8506304558682</v>
      </c>
      <c r="AD71" s="548">
        <f>IFERROR(Generation_Entsoe_SFS_2016[[#This Row],[Other fossil fuels]]/Capacity_Entsoe_SFS_2016[[#This Row],[Other fossil fuels]]*10^6,0)</f>
        <v>5084.7457627118638</v>
      </c>
      <c r="AE71" s="548">
        <f>IFERROR(Generation_Entsoe_SFS_2016[[#This Row],[Wind onshore]]/Capacity_Entsoe_SFS_2016[[#This Row],[Wind onshore]]*10^6,0)</f>
        <v>1408.4507042253522</v>
      </c>
      <c r="AF71" s="548">
        <f>IFERROR(Generation_Entsoe_SFS_2016[[#This Row],[Wind offshore]]/Capacity_Entsoe_SFS_2016[[#This Row],[Wind offshore]]*10^6,0)</f>
        <v>0</v>
      </c>
      <c r="AG71" s="548">
        <f>IFERROR(Generation_Entsoe_SFS_2016[[#This Row],[Solar PV]]/Capacity_Entsoe_SFS_2016[[#This Row],[Solar PV]]*10^6,0)</f>
        <v>0</v>
      </c>
      <c r="AH71" s="548">
        <f>IFERROR(Generation_Entsoe_SFS_2016[[#This Row],[Bioenergy]]/Capacity_Entsoe_SFS_2016[[#This Row],[Bioenergy]]*10^6,0)</f>
        <v>5882.3529411764703</v>
      </c>
      <c r="AI71" s="548">
        <f>IFERROR(Generation_Entsoe_SFS_2016[[#This Row],[Other RES]]/Capacity_Entsoe_SFS_2016[[#This Row],[Other RES]]*10^6,0)</f>
        <v>0</v>
      </c>
      <c r="AJ71" s="548">
        <f>IFERROR(Generation_Entsoe_SFS_2016[[#This Row],[Renewable Hydro]]/Capacity_Entsoe_SFS_2016[[#This Row],[Renewable Hydro]]*10^6,0)</f>
        <v>1584.2839036755386</v>
      </c>
      <c r="AK71" s="548">
        <f>IFERROR(Generation_Entsoe_SFS_2016[[#This Row],[Pumped Hydro]]/Capacity_Entsoe_SFS_2016[[#This Row],[Pumped Hydro]]*10^6,0)</f>
        <v>0</v>
      </c>
      <c r="AL71" s="548">
        <f>IFERROR(Generation_Entsoe_SFS_2016[[#This Row],[Other sources]]/Capacity_Entsoe_SFS_2016[[#This Row],[Other sources]]*10^6,0)</f>
        <v>0</v>
      </c>
    </row>
    <row r="72" spans="1:38" x14ac:dyDescent="0.25">
      <c r="A72" s="425" t="str">
        <f t="shared" si="0"/>
        <v>ME</v>
      </c>
      <c r="B72" s="366">
        <f t="shared" si="20"/>
        <v>2016</v>
      </c>
      <c r="C72" s="366" t="str">
        <f t="shared" si="20"/>
        <v>TWh</v>
      </c>
      <c r="D72" s="144">
        <f t="shared" si="4"/>
        <v>0</v>
      </c>
      <c r="E72" s="144">
        <f t="shared" si="5"/>
        <v>1.2</v>
      </c>
      <c r="F72" s="167">
        <f t="shared" si="6"/>
        <v>0</v>
      </c>
      <c r="G72" s="167">
        <f t="shared" si="7"/>
        <v>0</v>
      </c>
      <c r="H72" s="422">
        <f t="shared" si="8"/>
        <v>0</v>
      </c>
      <c r="I72" s="167">
        <f t="shared" si="9"/>
        <v>0</v>
      </c>
      <c r="J72" s="144">
        <f t="shared" si="10"/>
        <v>0</v>
      </c>
      <c r="K72" s="422">
        <f t="shared" si="11"/>
        <v>0</v>
      </c>
      <c r="L72" s="422">
        <f t="shared" si="12"/>
        <v>0</v>
      </c>
      <c r="M72" s="422">
        <f t="shared" si="13"/>
        <v>0</v>
      </c>
      <c r="N72" s="167">
        <f t="shared" si="14"/>
        <v>1.4</v>
      </c>
      <c r="O72" s="167">
        <f t="shared" si="15"/>
        <v>0.4</v>
      </c>
      <c r="P72" s="422">
        <f t="shared" si="16"/>
        <v>0</v>
      </c>
      <c r="Q72" s="167">
        <f t="shared" si="1"/>
        <v>2.9999999999999996</v>
      </c>
      <c r="R72" s="167">
        <f t="shared" si="17"/>
        <v>2.9</v>
      </c>
      <c r="S72" s="424">
        <f t="shared" si="18"/>
        <v>1.0344827586206895</v>
      </c>
      <c r="T72" s="516">
        <f>INDEX($A$3:$AL$39,MATCH(Generation_Entsoe_SFS_2016[[#This Row],[Country]],$A$3:$A$39,0),MATCH(Generation_Entsoe_SFS_2016[[#Headers],[Consumption]],$A$1:$AL$1,0))</f>
        <v>3.2</v>
      </c>
      <c r="U72" s="516">
        <f>INDEX($A$3:$AL$39,MATCH(Generation_Entsoe_SFS_2016[[#This Row],[Country]],$A$3:$A$39,0),MATCH(Generation_Entsoe_SFS_2016[[#Headers],[Pumping]],$A$1:$AL$1,0))</f>
        <v>0</v>
      </c>
      <c r="W72" s="543" t="str">
        <f t="shared" si="2"/>
        <v>ME</v>
      </c>
      <c r="X72" s="544">
        <v>2016</v>
      </c>
      <c r="Y72" s="544" t="s">
        <v>648</v>
      </c>
      <c r="Z72" s="549">
        <f>IFERROR(Generation_Entsoe_SFS_2016[[#This Row],[Nuclear]]/Capacity_Entsoe_SFS_2016[[#This Row],[Nuclear]]*10^6,0)</f>
        <v>0</v>
      </c>
      <c r="AA72" s="549">
        <f>IFERROR(Generation_Entsoe_SFS_2016[[#This Row],[Lignite]]/Capacity_Entsoe_SFS_2016[[#This Row],[Lignite]]*10^6,0)</f>
        <v>5454.545454545454</v>
      </c>
      <c r="AB72" s="549">
        <f>IFERROR(Generation_Entsoe_SFS_2016[[#This Row],[Hard coal]]/Capacity_Entsoe_SFS_2016[[#This Row],[Hard coal]]*10^6,0)</f>
        <v>0</v>
      </c>
      <c r="AC72" s="549">
        <f>IFERROR(Generation_Entsoe_SFS_2016[[#This Row],[Fossil gases]]/Capacity_Entsoe_SFS_2016[[#This Row],[Fossil gases]]*10^6,0)</f>
        <v>0</v>
      </c>
      <c r="AD72" s="549">
        <f>IFERROR(Generation_Entsoe_SFS_2016[[#This Row],[Other fossil fuels]]/Capacity_Entsoe_SFS_2016[[#This Row],[Other fossil fuels]]*10^6,0)</f>
        <v>0</v>
      </c>
      <c r="AE72" s="549">
        <f>IFERROR(Generation_Entsoe_SFS_2016[[#This Row],[Wind onshore]]/Capacity_Entsoe_SFS_2016[[#This Row],[Wind onshore]]*10^6,0)</f>
        <v>0</v>
      </c>
      <c r="AF72" s="549">
        <f>IFERROR(Generation_Entsoe_SFS_2016[[#This Row],[Wind offshore]]/Capacity_Entsoe_SFS_2016[[#This Row],[Wind offshore]]*10^6,0)</f>
        <v>0</v>
      </c>
      <c r="AG72" s="549">
        <f>IFERROR(Generation_Entsoe_SFS_2016[[#This Row],[Solar PV]]/Capacity_Entsoe_SFS_2016[[#This Row],[Solar PV]]*10^6,0)</f>
        <v>0</v>
      </c>
      <c r="AH72" s="549">
        <f>IFERROR(Generation_Entsoe_SFS_2016[[#This Row],[Bioenergy]]/Capacity_Entsoe_SFS_2016[[#This Row],[Bioenergy]]*10^6,0)</f>
        <v>0</v>
      </c>
      <c r="AI72" s="549">
        <f>IFERROR(Generation_Entsoe_SFS_2016[[#This Row],[Other RES]]/Capacity_Entsoe_SFS_2016[[#This Row],[Other RES]]*10^6,0)</f>
        <v>0</v>
      </c>
      <c r="AJ72" s="549">
        <f>IFERROR(Generation_Entsoe_SFS_2016[[#This Row],[Renewable Hydro]]/Capacity_Entsoe_SFS_2016[[#This Row],[Renewable Hydro]]*10^6,0)</f>
        <v>2121.212121212121</v>
      </c>
      <c r="AK72" s="549">
        <f>IFERROR(Generation_Entsoe_SFS_2016[[#This Row],[Pumped Hydro]]/Capacity_Entsoe_SFS_2016[[#This Row],[Pumped Hydro]]*10^6,0)</f>
        <v>0</v>
      </c>
      <c r="AL72" s="549">
        <f>IFERROR(Generation_Entsoe_SFS_2016[[#This Row],[Other sources]]/Capacity_Entsoe_SFS_2016[[#This Row],[Other sources]]*10^6,0)</f>
        <v>0</v>
      </c>
    </row>
    <row r="73" spans="1:38" x14ac:dyDescent="0.25">
      <c r="A73" s="425" t="str">
        <f t="shared" si="0"/>
        <v>MK</v>
      </c>
      <c r="B73" s="366">
        <f t="shared" si="20"/>
        <v>2016</v>
      </c>
      <c r="C73" s="366" t="str">
        <f t="shared" si="20"/>
        <v>TWh</v>
      </c>
      <c r="D73" s="144">
        <f t="shared" si="4"/>
        <v>0</v>
      </c>
      <c r="E73" s="144">
        <f t="shared" si="5"/>
        <v>2.8</v>
      </c>
      <c r="F73" s="167">
        <f t="shared" si="6"/>
        <v>0</v>
      </c>
      <c r="G73" s="167">
        <f t="shared" si="7"/>
        <v>0.6</v>
      </c>
      <c r="H73" s="422">
        <f t="shared" si="8"/>
        <v>0</v>
      </c>
      <c r="I73" s="167">
        <f t="shared" si="9"/>
        <v>0.1</v>
      </c>
      <c r="J73" s="144">
        <f t="shared" si="10"/>
        <v>0</v>
      </c>
      <c r="K73" s="422">
        <f t="shared" si="11"/>
        <v>0</v>
      </c>
      <c r="L73" s="422">
        <f t="shared" si="12"/>
        <v>0</v>
      </c>
      <c r="M73" s="422">
        <f t="shared" si="13"/>
        <v>0</v>
      </c>
      <c r="N73" s="167">
        <f t="shared" si="14"/>
        <v>1.6</v>
      </c>
      <c r="O73" s="167">
        <f t="shared" si="15"/>
        <v>0</v>
      </c>
      <c r="P73" s="422">
        <f t="shared" si="16"/>
        <v>0</v>
      </c>
      <c r="Q73" s="167">
        <f t="shared" si="1"/>
        <v>5.0999999999999996</v>
      </c>
      <c r="R73" s="167">
        <f t="shared" si="17"/>
        <v>5.0999999999999996</v>
      </c>
      <c r="S73" s="424">
        <f t="shared" si="18"/>
        <v>1</v>
      </c>
      <c r="T73" s="516">
        <f>INDEX($A$3:$AL$39,MATCH(Generation_Entsoe_SFS_2016[[#This Row],[Country]],$A$3:$A$39,0),MATCH(Generation_Entsoe_SFS_2016[[#Headers],[Consumption]],$A$1:$AL$1,0))</f>
        <v>7.1</v>
      </c>
      <c r="U73" s="516">
        <f>INDEX($A$3:$AL$39,MATCH(Generation_Entsoe_SFS_2016[[#This Row],[Country]],$A$3:$A$39,0),MATCH(Generation_Entsoe_SFS_2016[[#Headers],[Pumping]],$A$1:$AL$1,0))</f>
        <v>0</v>
      </c>
      <c r="W73" s="543" t="str">
        <f t="shared" si="2"/>
        <v>MK</v>
      </c>
      <c r="X73" s="544">
        <v>2016</v>
      </c>
      <c r="Y73" s="544" t="s">
        <v>648</v>
      </c>
      <c r="Z73" s="548">
        <f>IFERROR(Generation_Entsoe_SFS_2016[[#This Row],[Nuclear]]/Capacity_Entsoe_SFS_2016[[#This Row],[Nuclear]]*10^6,0)</f>
        <v>0</v>
      </c>
      <c r="AA73" s="548">
        <f>IFERROR(Generation_Entsoe_SFS_2016[[#This Row],[Lignite]]/Capacity_Entsoe_SFS_2016[[#This Row],[Lignite]]*10^6,0)</f>
        <v>3899.7214484679666</v>
      </c>
      <c r="AB73" s="548">
        <f>IFERROR(Generation_Entsoe_SFS_2016[[#This Row],[Hard coal]]/Capacity_Entsoe_SFS_2016[[#This Row],[Hard coal]]*10^6,0)</f>
        <v>0</v>
      </c>
      <c r="AC73" s="548">
        <f>IFERROR(Generation_Entsoe_SFS_2016[[#This Row],[Fossil gases]]/Capacity_Entsoe_SFS_2016[[#This Row],[Fossil gases]]*10^6,0)</f>
        <v>2400</v>
      </c>
      <c r="AD73" s="548">
        <f>IFERROR(Generation_Entsoe_SFS_2016[[#This Row],[Other fossil fuels]]/Capacity_Entsoe_SFS_2016[[#This Row],[Other fossil fuels]]*10^6,0)</f>
        <v>0</v>
      </c>
      <c r="AE73" s="548">
        <f>IFERROR(Generation_Entsoe_SFS_2016[[#This Row],[Wind onshore]]/Capacity_Entsoe_SFS_2016[[#This Row],[Wind onshore]]*10^6,0)</f>
        <v>2777.7777777777778</v>
      </c>
      <c r="AF73" s="548">
        <f>IFERROR(Generation_Entsoe_SFS_2016[[#This Row],[Wind offshore]]/Capacity_Entsoe_SFS_2016[[#This Row],[Wind offshore]]*10^6,0)</f>
        <v>0</v>
      </c>
      <c r="AG73" s="548">
        <f>IFERROR(Generation_Entsoe_SFS_2016[[#This Row],[Solar PV]]/Capacity_Entsoe_SFS_2016[[#This Row],[Solar PV]]*10^6,0)</f>
        <v>0</v>
      </c>
      <c r="AH73" s="548">
        <f>IFERROR(Generation_Entsoe_SFS_2016[[#This Row],[Bioenergy]]/Capacity_Entsoe_SFS_2016[[#This Row],[Bioenergy]]*10^6,0)</f>
        <v>0</v>
      </c>
      <c r="AI73" s="548">
        <f>IFERROR(Generation_Entsoe_SFS_2016[[#This Row],[Other RES]]/Capacity_Entsoe_SFS_2016[[#This Row],[Other RES]]*10^6,0)</f>
        <v>0</v>
      </c>
      <c r="AJ73" s="548">
        <f>IFERROR(Generation_Entsoe_SFS_2016[[#This Row],[Renewable Hydro]]/Capacity_Entsoe_SFS_2016[[#This Row],[Renewable Hydro]]*10^6,0)</f>
        <v>2366.8639053254437</v>
      </c>
      <c r="AK73" s="548">
        <f>IFERROR(Generation_Entsoe_SFS_2016[[#This Row],[Pumped Hydro]]/Capacity_Entsoe_SFS_2016[[#This Row],[Pumped Hydro]]*10^6,0)</f>
        <v>0</v>
      </c>
      <c r="AL73" s="548">
        <f>IFERROR(Generation_Entsoe_SFS_2016[[#This Row],[Other sources]]/Capacity_Entsoe_SFS_2016[[#This Row],[Other sources]]*10^6,0)</f>
        <v>0</v>
      </c>
    </row>
    <row r="74" spans="1:38" x14ac:dyDescent="0.25">
      <c r="A74" s="425" t="str">
        <f t="shared" si="0"/>
        <v>NL</v>
      </c>
      <c r="B74" s="366">
        <f t="shared" si="20"/>
        <v>2016</v>
      </c>
      <c r="C74" s="366" t="str">
        <f t="shared" si="20"/>
        <v>TWh</v>
      </c>
      <c r="D74" s="144">
        <f t="shared" si="4"/>
        <v>3.1</v>
      </c>
      <c r="E74" s="144">
        <f t="shared" si="5"/>
        <v>0</v>
      </c>
      <c r="F74" s="167">
        <f t="shared" si="6"/>
        <v>20.6</v>
      </c>
      <c r="G74" s="167">
        <f t="shared" si="7"/>
        <v>73</v>
      </c>
      <c r="H74" s="422">
        <f t="shared" si="8"/>
        <v>0</v>
      </c>
      <c r="I74" s="167">
        <f t="shared" si="9"/>
        <v>5.8</v>
      </c>
      <c r="J74" s="144">
        <f t="shared" si="10"/>
        <v>2</v>
      </c>
      <c r="K74" s="422">
        <f t="shared" si="11"/>
        <v>1.5</v>
      </c>
      <c r="L74" s="422">
        <f t="shared" si="12"/>
        <v>3.5</v>
      </c>
      <c r="M74" s="422">
        <f t="shared" si="13"/>
        <v>0</v>
      </c>
      <c r="N74" s="167">
        <f t="shared" si="14"/>
        <v>0.1</v>
      </c>
      <c r="O74" s="167">
        <f t="shared" si="15"/>
        <v>0</v>
      </c>
      <c r="P74" s="422">
        <f t="shared" si="16"/>
        <v>0</v>
      </c>
      <c r="Q74" s="167">
        <f t="shared" si="1"/>
        <v>109.6</v>
      </c>
      <c r="R74" s="167">
        <f t="shared" si="17"/>
        <v>109.6</v>
      </c>
      <c r="S74" s="424">
        <f t="shared" si="18"/>
        <v>1</v>
      </c>
      <c r="T74" s="516">
        <f>INDEX($A$3:$AL$39,MATCH(Generation_Entsoe_SFS_2016[[#This Row],[Country]],$A$3:$A$39,0),MATCH(Generation_Entsoe_SFS_2016[[#Headers],[Consumption]],$A$1:$AL$1,0))</f>
        <v>114.5</v>
      </c>
      <c r="U74" s="516">
        <f>INDEX($A$3:$AL$39,MATCH(Generation_Entsoe_SFS_2016[[#This Row],[Country]],$A$3:$A$39,0),MATCH(Generation_Entsoe_SFS_2016[[#Headers],[Pumping]],$A$1:$AL$1,0))</f>
        <v>0</v>
      </c>
      <c r="W74" s="543" t="str">
        <f t="shared" si="2"/>
        <v>NL</v>
      </c>
      <c r="X74" s="544">
        <v>2016</v>
      </c>
      <c r="Y74" s="544" t="s">
        <v>648</v>
      </c>
      <c r="Z74" s="549">
        <f>IFERROR(Generation_Entsoe_SFS_2016[[#This Row],[Nuclear]]/Capacity_Entsoe_SFS_2016[[#This Row],[Nuclear]]*10^6,0)</f>
        <v>6378.6008230452671</v>
      </c>
      <c r="AA74" s="549">
        <f>IFERROR(Generation_Entsoe_SFS_2016[[#This Row],[Lignite]]/Capacity_Entsoe_SFS_2016[[#This Row],[Lignite]]*10^6,0)</f>
        <v>0</v>
      </c>
      <c r="AB74" s="549">
        <f>IFERROR(Generation_Entsoe_SFS_2016[[#This Row],[Hard coal]]/Capacity_Entsoe_SFS_2016[[#This Row],[Hard coal]]*10^6,0)</f>
        <v>4470.4861111111113</v>
      </c>
      <c r="AC74" s="549">
        <f>IFERROR(Generation_Entsoe_SFS_2016[[#This Row],[Fossil gases]]/Capacity_Entsoe_SFS_2016[[#This Row],[Fossil gases]]*10^6,0)</f>
        <v>3782.9714463388091</v>
      </c>
      <c r="AD74" s="549">
        <f>IFERROR(Generation_Entsoe_SFS_2016[[#This Row],[Other fossil fuels]]/Capacity_Entsoe_SFS_2016[[#This Row],[Other fossil fuels]]*10^6,0)</f>
        <v>0</v>
      </c>
      <c r="AE74" s="549">
        <f>IFERROR(Generation_Entsoe_SFS_2016[[#This Row],[Wind onshore]]/Capacity_Entsoe_SFS_2016[[#This Row],[Wind onshore]]*10^6,0)</f>
        <v>1667.1457315320495</v>
      </c>
      <c r="AF74" s="549">
        <f>IFERROR(Generation_Entsoe_SFS_2016[[#This Row],[Wind offshore]]/Capacity_Entsoe_SFS_2016[[#This Row],[Wind offshore]]*10^6,0)</f>
        <v>3134.7962382445139</v>
      </c>
      <c r="AG74" s="549">
        <f>IFERROR(Generation_Entsoe_SFS_2016[[#This Row],[Solar PV]]/Capacity_Entsoe_SFS_2016[[#This Row],[Solar PV]]*10^6,0)</f>
        <v>735.65473271211386</v>
      </c>
      <c r="AH74" s="549">
        <f>IFERROR(Generation_Entsoe_SFS_2016[[#This Row],[Bioenergy]]/Capacity_Entsoe_SFS_2016[[#This Row],[Bioenergy]]*10^6,0)</f>
        <v>7201.6460905349795</v>
      </c>
      <c r="AI74" s="549">
        <f>IFERROR(Generation_Entsoe_SFS_2016[[#This Row],[Other RES]]/Capacity_Entsoe_SFS_2016[[#This Row],[Other RES]]*10^6,0)</f>
        <v>0</v>
      </c>
      <c r="AJ74" s="549">
        <f>IFERROR(Generation_Entsoe_SFS_2016[[#This Row],[Renewable Hydro]]/Capacity_Entsoe_SFS_2016[[#This Row],[Renewable Hydro]]*10^6,0)</f>
        <v>2631.5789473684208</v>
      </c>
      <c r="AK74" s="549">
        <f>IFERROR(Generation_Entsoe_SFS_2016[[#This Row],[Pumped Hydro]]/Capacity_Entsoe_SFS_2016[[#This Row],[Pumped Hydro]]*10^6,0)</f>
        <v>0</v>
      </c>
      <c r="AL74" s="549">
        <f>IFERROR(Generation_Entsoe_SFS_2016[[#This Row],[Other sources]]/Capacity_Entsoe_SFS_2016[[#This Row],[Other sources]]*10^6,0)</f>
        <v>0</v>
      </c>
    </row>
    <row r="75" spans="1:38" x14ac:dyDescent="0.25">
      <c r="A75" s="425" t="str">
        <f t="shared" si="0"/>
        <v>NO</v>
      </c>
      <c r="B75" s="366">
        <f t="shared" si="20"/>
        <v>2016</v>
      </c>
      <c r="C75" s="366" t="str">
        <f t="shared" si="20"/>
        <v>TWh</v>
      </c>
      <c r="D75" s="144">
        <f t="shared" si="4"/>
        <v>0</v>
      </c>
      <c r="E75" s="144">
        <f t="shared" si="5"/>
        <v>0</v>
      </c>
      <c r="F75" s="167">
        <f t="shared" si="6"/>
        <v>0</v>
      </c>
      <c r="G75" s="167">
        <f t="shared" si="7"/>
        <v>3.1</v>
      </c>
      <c r="H75" s="422">
        <f t="shared" si="8"/>
        <v>0</v>
      </c>
      <c r="I75" s="167">
        <f t="shared" si="9"/>
        <v>2.1</v>
      </c>
      <c r="J75" s="144">
        <f t="shared" si="10"/>
        <v>0</v>
      </c>
      <c r="K75" s="422">
        <f t="shared" si="11"/>
        <v>0</v>
      </c>
      <c r="L75" s="422">
        <f t="shared" si="12"/>
        <v>0</v>
      </c>
      <c r="M75" s="422">
        <f t="shared" si="13"/>
        <v>0.2</v>
      </c>
      <c r="N75" s="167">
        <f t="shared" si="14"/>
        <v>143.4</v>
      </c>
      <c r="O75" s="167">
        <f t="shared" si="15"/>
        <v>0</v>
      </c>
      <c r="P75" s="422">
        <f t="shared" si="16"/>
        <v>0</v>
      </c>
      <c r="Q75" s="167">
        <f t="shared" si="1"/>
        <v>148.80000000000001</v>
      </c>
      <c r="R75" s="167">
        <f t="shared" si="17"/>
        <v>148.80000000000001</v>
      </c>
      <c r="S75" s="424">
        <f t="shared" si="18"/>
        <v>1</v>
      </c>
      <c r="T75" s="516">
        <f>INDEX($A$3:$AL$39,MATCH(Generation_Entsoe_SFS_2016[[#This Row],[Country]],$A$3:$A$39,0),MATCH(Generation_Entsoe_SFS_2016[[#Headers],[Consumption]],$A$1:$AL$1,0))</f>
        <v>133.19999999999999</v>
      </c>
      <c r="U75" s="516">
        <f>INDEX($A$3:$AL$39,MATCH(Generation_Entsoe_SFS_2016[[#This Row],[Country]],$A$3:$A$39,0),MATCH(Generation_Entsoe_SFS_2016[[#Headers],[Pumping]],$A$1:$AL$1,0))</f>
        <v>0</v>
      </c>
      <c r="W75" s="543" t="str">
        <f t="shared" si="2"/>
        <v>NO</v>
      </c>
      <c r="X75" s="544">
        <v>2016</v>
      </c>
      <c r="Y75" s="544" t="s">
        <v>648</v>
      </c>
      <c r="Z75" s="548">
        <f>IFERROR(Generation_Entsoe_SFS_2016[[#This Row],[Nuclear]]/Capacity_Entsoe_SFS_2016[[#This Row],[Nuclear]]*10^6,0)</f>
        <v>0</v>
      </c>
      <c r="AA75" s="548">
        <f>IFERROR(Generation_Entsoe_SFS_2016[[#This Row],[Lignite]]/Capacity_Entsoe_SFS_2016[[#This Row],[Lignite]]*10^6,0)</f>
        <v>0</v>
      </c>
      <c r="AB75" s="548">
        <f>IFERROR(Generation_Entsoe_SFS_2016[[#This Row],[Hard coal]]/Capacity_Entsoe_SFS_2016[[#This Row],[Hard coal]]*10^6,0)</f>
        <v>0</v>
      </c>
      <c r="AC75" s="554">
        <f>IFERROR(Generation_Entsoe_SFS_2016[[#This Row],[Fossil gases]]/Capacity_Entsoe_SFS_2016[[#This Row],[Fossil gases]]*10^6,0)</f>
        <v>6966.2921348314612</v>
      </c>
      <c r="AD75" s="548">
        <f>IFERROR(Generation_Entsoe_SFS_2016[[#This Row],[Other fossil fuels]]/Capacity_Entsoe_SFS_2016[[#This Row],[Other fossil fuels]]*10^6,0)</f>
        <v>0</v>
      </c>
      <c r="AE75" s="548">
        <f>IFERROR(Generation_Entsoe_SFS_2016[[#This Row],[Wind onshore]]/Capacity_Entsoe_SFS_2016[[#This Row],[Wind onshore]]*10^6,0)</f>
        <v>2416.5707710011507</v>
      </c>
      <c r="AF75" s="548">
        <f>IFERROR(Generation_Entsoe_SFS_2016[[#This Row],[Wind offshore]]/Capacity_Entsoe_SFS_2016[[#This Row],[Wind offshore]]*10^6,0)</f>
        <v>0</v>
      </c>
      <c r="AG75" s="548">
        <f>IFERROR(Generation_Entsoe_SFS_2016[[#This Row],[Solar PV]]/Capacity_Entsoe_SFS_2016[[#This Row],[Solar PV]]*10^6,0)</f>
        <v>0</v>
      </c>
      <c r="AH75" s="548">
        <f>IFERROR(Generation_Entsoe_SFS_2016[[#This Row],[Bioenergy]]/Capacity_Entsoe_SFS_2016[[#This Row],[Bioenergy]]*10^6,0)</f>
        <v>0</v>
      </c>
      <c r="AI75" s="548">
        <f>IFERROR(Generation_Entsoe_SFS_2016[[#This Row],[Other RES]]/Capacity_Entsoe_SFS_2016[[#This Row],[Other RES]]*10^6,0)</f>
        <v>0</v>
      </c>
      <c r="AJ75" s="548">
        <f>IFERROR(Generation_Entsoe_SFS_2016[[#This Row],[Renewable Hydro]]/Capacity_Entsoe_SFS_2016[[#This Row],[Renewable Hydro]]*10^6,0)</f>
        <v>4660.8379107485298</v>
      </c>
      <c r="AK75" s="548">
        <f>IFERROR(Generation_Entsoe_SFS_2016[[#This Row],[Pumped Hydro]]/Capacity_Entsoe_SFS_2016[[#This Row],[Pumped Hydro]]*10^6,0)</f>
        <v>0</v>
      </c>
      <c r="AL75" s="548">
        <f>IFERROR(Generation_Entsoe_SFS_2016[[#This Row],[Other sources]]/Capacity_Entsoe_SFS_2016[[#This Row],[Other sources]]*10^6,0)</f>
        <v>0</v>
      </c>
    </row>
    <row r="76" spans="1:38" x14ac:dyDescent="0.25">
      <c r="A76" s="425" t="str">
        <f t="shared" si="0"/>
        <v>PL</v>
      </c>
      <c r="B76" s="366">
        <f t="shared" ref="B76:C77" si="21">B34</f>
        <v>2016</v>
      </c>
      <c r="C76" s="366" t="str">
        <f t="shared" si="21"/>
        <v>TWh</v>
      </c>
      <c r="D76" s="144">
        <f t="shared" si="4"/>
        <v>0</v>
      </c>
      <c r="E76" s="144">
        <f t="shared" si="5"/>
        <v>46.5</v>
      </c>
      <c r="F76" s="167">
        <f t="shared" si="6"/>
        <v>71.7</v>
      </c>
      <c r="G76" s="167">
        <f t="shared" si="7"/>
        <v>6.8</v>
      </c>
      <c r="H76" s="422">
        <f t="shared" si="8"/>
        <v>1.7</v>
      </c>
      <c r="I76" s="167">
        <f t="shared" si="9"/>
        <v>12.2</v>
      </c>
      <c r="J76" s="144">
        <f t="shared" si="10"/>
        <v>0</v>
      </c>
      <c r="K76" s="422">
        <f t="shared" si="11"/>
        <v>0.1</v>
      </c>
      <c r="L76" s="422">
        <f t="shared" si="12"/>
        <v>7.2</v>
      </c>
      <c r="M76" s="422">
        <f t="shared" si="13"/>
        <v>0</v>
      </c>
      <c r="N76" s="167">
        <f t="shared" si="14"/>
        <v>2.1</v>
      </c>
      <c r="O76" s="167">
        <f t="shared" si="15"/>
        <v>0.5</v>
      </c>
      <c r="P76" s="422">
        <f t="shared" si="16"/>
        <v>5.2</v>
      </c>
      <c r="Q76" s="167">
        <f t="shared" si="1"/>
        <v>153.99999999999997</v>
      </c>
      <c r="R76" s="167">
        <f t="shared" si="17"/>
        <v>154.1</v>
      </c>
      <c r="S76" s="424">
        <f t="shared" si="18"/>
        <v>0.99935107073328988</v>
      </c>
      <c r="T76" s="516">
        <f>INDEX($A$3:$AL$39,MATCH(Generation_Entsoe_SFS_2016[[#This Row],[Country]],$A$3:$A$39,0),MATCH(Generation_Entsoe_SFS_2016[[#Headers],[Consumption]],$A$1:$AL$1,0))</f>
        <v>155.30000000000001</v>
      </c>
      <c r="U76" s="516">
        <f>INDEX($A$3:$AL$39,MATCH(Generation_Entsoe_SFS_2016[[#This Row],[Country]],$A$3:$A$39,0),MATCH(Generation_Entsoe_SFS_2016[[#Headers],[Pumping]],$A$1:$AL$1,0))</f>
        <v>0.8</v>
      </c>
      <c r="W76" s="543" t="str">
        <f t="shared" si="2"/>
        <v>PL</v>
      </c>
      <c r="X76" s="544">
        <v>2016</v>
      </c>
      <c r="Y76" s="544" t="s">
        <v>648</v>
      </c>
      <c r="Z76" s="549">
        <f>IFERROR(Generation_Entsoe_SFS_2016[[#This Row],[Nuclear]]/Capacity_Entsoe_SFS_2016[[#This Row],[Nuclear]]*10^6,0)</f>
        <v>0</v>
      </c>
      <c r="AA76" s="549">
        <f>IFERROR(Generation_Entsoe_SFS_2016[[#This Row],[Lignite]]/Capacity_Entsoe_SFS_2016[[#This Row],[Lignite]]*10^6,0)</f>
        <v>5422.1082089552237</v>
      </c>
      <c r="AB76" s="549">
        <f>IFERROR(Generation_Entsoe_SFS_2016[[#This Row],[Hard coal]]/Capacity_Entsoe_SFS_2016[[#This Row],[Hard coal]]*10^6,0)</f>
        <v>4004.2443873561938</v>
      </c>
      <c r="AC76" s="549">
        <f>IFERROR(Generation_Entsoe_SFS_2016[[#This Row],[Fossil gases]]/Capacity_Entsoe_SFS_2016[[#This Row],[Fossil gases]]*10^6,0)</f>
        <v>4913.2947976878613</v>
      </c>
      <c r="AD76" s="549">
        <f>IFERROR(Generation_Entsoe_SFS_2016[[#This Row],[Other fossil fuels]]/Capacity_Entsoe_SFS_2016[[#This Row],[Other fossil fuels]]*10^6,0)</f>
        <v>5120.4819277108436</v>
      </c>
      <c r="AE76" s="549">
        <f>IFERROR(Generation_Entsoe_SFS_2016[[#This Row],[Wind onshore]]/Capacity_Entsoe_SFS_2016[[#This Row],[Wind onshore]]*10^6,0)</f>
        <v>2141.4779708618571</v>
      </c>
      <c r="AF76" s="549">
        <f>IFERROR(Generation_Entsoe_SFS_2016[[#This Row],[Wind offshore]]/Capacity_Entsoe_SFS_2016[[#This Row],[Wind offshore]]*10^6,0)</f>
        <v>0</v>
      </c>
      <c r="AG76" s="549">
        <f>IFERROR(Generation_Entsoe_SFS_2016[[#This Row],[Solar PV]]/Capacity_Entsoe_SFS_2016[[#This Row],[Solar PV]]*10^6,0)</f>
        <v>537.63440860215053</v>
      </c>
      <c r="AH76" s="557">
        <f>IFERROR(Generation_Entsoe_SFS_2016[[#This Row],[Bioenergy]]/Capacity_Entsoe_SFS_2016[[#This Row],[Bioenergy]]*10^6,0)</f>
        <v>7717.0418006430873</v>
      </c>
      <c r="AI76" s="549">
        <f>IFERROR(Generation_Entsoe_SFS_2016[[#This Row],[Other RES]]/Capacity_Entsoe_SFS_2016[[#This Row],[Other RES]]*10^6,0)</f>
        <v>0</v>
      </c>
      <c r="AJ76" s="549">
        <f>IFERROR(Generation_Entsoe_SFS_2016[[#This Row],[Renewable Hydro]]/Capacity_Entsoe_SFS_2016[[#This Row],[Renewable Hydro]]*10^6,0)</f>
        <v>2171.6649431230612</v>
      </c>
      <c r="AK76" s="549">
        <f>IFERROR(Generation_Entsoe_SFS_2016[[#This Row],[Pumped Hydro]]/Capacity_Entsoe_SFS_2016[[#This Row],[Pumped Hydro]]*10^6,0)</f>
        <v>358.68005738880919</v>
      </c>
      <c r="AL76" s="549">
        <f>IFERROR(Generation_Entsoe_SFS_2016[[#This Row],[Other sources]]/Capacity_Entsoe_SFS_2016[[#This Row],[Other sources]]*10^6,0)</f>
        <v>5758.5825027685496</v>
      </c>
    </row>
    <row r="77" spans="1:38" x14ac:dyDescent="0.25">
      <c r="A77" s="425" t="str">
        <f t="shared" si="0"/>
        <v>PT</v>
      </c>
      <c r="B77" s="366">
        <f t="shared" si="21"/>
        <v>2016</v>
      </c>
      <c r="C77" s="366" t="str">
        <f t="shared" si="21"/>
        <v>TWh</v>
      </c>
      <c r="D77" s="144">
        <f t="shared" si="4"/>
        <v>0</v>
      </c>
      <c r="E77" s="144">
        <f t="shared" si="5"/>
        <v>0</v>
      </c>
      <c r="F77" s="167">
        <f t="shared" si="6"/>
        <v>11.7</v>
      </c>
      <c r="G77" s="167">
        <f t="shared" si="7"/>
        <v>11.6</v>
      </c>
      <c r="H77" s="422">
        <f t="shared" si="8"/>
        <v>0.4</v>
      </c>
      <c r="I77" s="167">
        <f t="shared" si="9"/>
        <v>12.2</v>
      </c>
      <c r="J77" s="144">
        <f t="shared" si="10"/>
        <v>0</v>
      </c>
      <c r="K77" s="422">
        <f t="shared" si="11"/>
        <v>0.8</v>
      </c>
      <c r="L77" s="422">
        <f t="shared" si="12"/>
        <v>2.7</v>
      </c>
      <c r="M77" s="422">
        <f t="shared" si="13"/>
        <v>0</v>
      </c>
      <c r="N77" s="167">
        <f t="shared" si="14"/>
        <v>15.4</v>
      </c>
      <c r="O77" s="167">
        <f t="shared" si="15"/>
        <v>1.2</v>
      </c>
      <c r="P77" s="422">
        <f t="shared" si="16"/>
        <v>0</v>
      </c>
      <c r="Q77" s="167">
        <f t="shared" si="1"/>
        <v>55.999999999999993</v>
      </c>
      <c r="R77" s="167">
        <f t="shared" si="17"/>
        <v>55.9</v>
      </c>
      <c r="S77" s="424">
        <f t="shared" si="18"/>
        <v>1.0017889087656529</v>
      </c>
      <c r="T77" s="516">
        <f>INDEX($A$3:$AL$39,MATCH(Generation_Entsoe_SFS_2016[[#This Row],[Country]],$A$3:$A$39,0),MATCH(Generation_Entsoe_SFS_2016[[#Headers],[Consumption]],$A$1:$AL$1,0))</f>
        <v>49.3</v>
      </c>
      <c r="U77" s="516">
        <f>INDEX($A$3:$AL$39,MATCH(Generation_Entsoe_SFS_2016[[#This Row],[Country]],$A$3:$A$39,0),MATCH(Generation_Entsoe_SFS_2016[[#Headers],[Pumping]],$A$1:$AL$1,0))</f>
        <v>1.5</v>
      </c>
      <c r="W77" s="543" t="str">
        <f t="shared" si="2"/>
        <v>PT</v>
      </c>
      <c r="X77" s="544">
        <v>2016</v>
      </c>
      <c r="Y77" s="544" t="s">
        <v>648</v>
      </c>
      <c r="Z77" s="548">
        <f>IFERROR(Generation_Entsoe_SFS_2016[[#This Row],[Nuclear]]/Capacity_Entsoe_SFS_2016[[#This Row],[Nuclear]]*10^6,0)</f>
        <v>0</v>
      </c>
      <c r="AA77" s="548">
        <f>IFERROR(Generation_Entsoe_SFS_2016[[#This Row],[Lignite]]/Capacity_Entsoe_SFS_2016[[#This Row],[Lignite]]*10^6,0)</f>
        <v>0</v>
      </c>
      <c r="AB77" s="548">
        <f>IFERROR(Generation_Entsoe_SFS_2016[[#This Row],[Hard coal]]/Capacity_Entsoe_SFS_2016[[#This Row],[Hard coal]]*10^6,0)</f>
        <v>6662.8701594533022</v>
      </c>
      <c r="AC77" s="548">
        <f>IFERROR(Generation_Entsoe_SFS_2016[[#This Row],[Fossil gases]]/Capacity_Entsoe_SFS_2016[[#This Row],[Fossil gases]]*10^6,0)</f>
        <v>2490.8739531887481</v>
      </c>
      <c r="AD77" s="554">
        <f>IFERROR(Generation_Entsoe_SFS_2016[[#This Row],[Other fossil fuels]]/Capacity_Entsoe_SFS_2016[[#This Row],[Other fossil fuels]]*10^6,0)</f>
        <v>9523.8095238095248</v>
      </c>
      <c r="AE77" s="548">
        <f>IFERROR(Generation_Entsoe_SFS_2016[[#This Row],[Wind onshore]]/Capacity_Entsoe_SFS_2016[[#This Row],[Wind onshore]]*10^6,0)</f>
        <v>2417.7566389219182</v>
      </c>
      <c r="AF77" s="548">
        <f>IFERROR(Generation_Entsoe_SFS_2016[[#This Row],[Wind offshore]]/Capacity_Entsoe_SFS_2016[[#This Row],[Wind offshore]]*10^6,0)</f>
        <v>0</v>
      </c>
      <c r="AG77" s="548">
        <f>IFERROR(Generation_Entsoe_SFS_2016[[#This Row],[Solar PV]]/Capacity_Entsoe_SFS_2016[[#This Row],[Solar PV]]*10^6,0)</f>
        <v>1822.3234624145787</v>
      </c>
      <c r="AH77" s="548">
        <f>IFERROR(Generation_Entsoe_SFS_2016[[#This Row],[Bioenergy]]/Capacity_Entsoe_SFS_2016[[#This Row],[Bioenergy]]*10^6,0)</f>
        <v>4390.2439024390251</v>
      </c>
      <c r="AI77" s="548">
        <f>IFERROR(Generation_Entsoe_SFS_2016[[#This Row],[Other RES]]/Capacity_Entsoe_SFS_2016[[#This Row],[Other RES]]*10^6,0)</f>
        <v>0</v>
      </c>
      <c r="AJ77" s="548">
        <f>IFERROR(Generation_Entsoe_SFS_2016[[#This Row],[Renewable Hydro]]/Capacity_Entsoe_SFS_2016[[#This Row],[Renewable Hydro]]*10^6,0)</f>
        <v>2217.4226061915047</v>
      </c>
      <c r="AK77" s="548">
        <f>IFERROR(Generation_Entsoe_SFS_2016[[#This Row],[Pumped Hydro]]/Capacity_Entsoe_SFS_2016[[#This Row],[Pumped Hydro]]*10^6,0)</f>
        <v>0</v>
      </c>
      <c r="AL77" s="548">
        <f>IFERROR(Generation_Entsoe_SFS_2016[[#This Row],[Other sources]]/Capacity_Entsoe_SFS_2016[[#This Row],[Other sources]]*10^6,0)</f>
        <v>0</v>
      </c>
    </row>
    <row r="78" spans="1:38" x14ac:dyDescent="0.25">
      <c r="A78" s="425" t="str">
        <f t="shared" si="0"/>
        <v>RO</v>
      </c>
      <c r="B78" s="366">
        <f t="shared" ref="B78:C79" si="22">B36</f>
        <v>2016</v>
      </c>
      <c r="C78" s="366" t="str">
        <f t="shared" si="22"/>
        <v>TWh</v>
      </c>
      <c r="D78" s="144">
        <f t="shared" si="4"/>
        <v>10.4</v>
      </c>
      <c r="E78" s="144">
        <f t="shared" si="5"/>
        <v>12.8</v>
      </c>
      <c r="F78" s="167">
        <f t="shared" si="6"/>
        <v>1.4</v>
      </c>
      <c r="G78" s="167">
        <f t="shared" si="7"/>
        <v>4.5999999999999996</v>
      </c>
      <c r="H78" s="422">
        <f t="shared" si="8"/>
        <v>4.7</v>
      </c>
      <c r="I78" s="167">
        <f t="shared" si="9"/>
        <v>6.5</v>
      </c>
      <c r="J78" s="144">
        <f t="shared" si="10"/>
        <v>0</v>
      </c>
      <c r="K78" s="422">
        <f t="shared" si="11"/>
        <v>1.8</v>
      </c>
      <c r="L78" s="422">
        <f t="shared" si="12"/>
        <v>0.4</v>
      </c>
      <c r="M78" s="422">
        <f t="shared" si="13"/>
        <v>0</v>
      </c>
      <c r="N78" s="167">
        <f t="shared" si="14"/>
        <v>18</v>
      </c>
      <c r="O78" s="167">
        <f t="shared" si="15"/>
        <v>0</v>
      </c>
      <c r="P78" s="422">
        <f t="shared" si="16"/>
        <v>0</v>
      </c>
      <c r="Q78" s="167">
        <f t="shared" si="1"/>
        <v>60.6</v>
      </c>
      <c r="R78" s="167">
        <f t="shared" si="17"/>
        <v>60.7</v>
      </c>
      <c r="S78" s="424">
        <f t="shared" si="18"/>
        <v>0.99835255354200991</v>
      </c>
      <c r="T78" s="516">
        <f>INDEX($A$3:$AL$39,MATCH(Generation_Entsoe_SFS_2016[[#This Row],[Country]],$A$3:$A$39,0),MATCH(Generation_Entsoe_SFS_2016[[#Headers],[Consumption]],$A$1:$AL$1,0))</f>
        <v>55.4</v>
      </c>
      <c r="U78" s="516">
        <f>INDEX($A$3:$AL$39,MATCH(Generation_Entsoe_SFS_2016[[#This Row],[Country]],$A$3:$A$39,0),MATCH(Generation_Entsoe_SFS_2016[[#Headers],[Pumping]],$A$1:$AL$1,0))</f>
        <v>0.3</v>
      </c>
      <c r="W78" s="543" t="str">
        <f t="shared" si="2"/>
        <v>RO</v>
      </c>
      <c r="X78" s="544">
        <v>2016</v>
      </c>
      <c r="Y78" s="544" t="s">
        <v>648</v>
      </c>
      <c r="Z78" s="549">
        <f>IFERROR(Generation_Entsoe_SFS_2016[[#This Row],[Nuclear]]/Capacity_Entsoe_SFS_2016[[#This Row],[Nuclear]]*10^6,0)</f>
        <v>8000</v>
      </c>
      <c r="AA78" s="549">
        <f>IFERROR(Generation_Entsoe_SFS_2016[[#This Row],[Lignite]]/Capacity_Entsoe_SFS_2016[[#This Row],[Lignite]]*10^6,0)</f>
        <v>3712.2969837587007</v>
      </c>
      <c r="AB78" s="549">
        <f>IFERROR(Generation_Entsoe_SFS_2016[[#This Row],[Hard coal]]/Capacity_Entsoe_SFS_2016[[#This Row],[Hard coal]]*10^6,0)</f>
        <v>1219.5121951219512</v>
      </c>
      <c r="AC78" s="549">
        <f>IFERROR(Generation_Entsoe_SFS_2016[[#This Row],[Fossil gases]]/Capacity_Entsoe_SFS_2016[[#This Row],[Fossil gases]]*10^6,0)</f>
        <v>2445.5077086656033</v>
      </c>
      <c r="AD78" s="549">
        <f>IFERROR(Generation_Entsoe_SFS_2016[[#This Row],[Other fossil fuels]]/Capacity_Entsoe_SFS_2016[[#This Row],[Other fossil fuels]]*10^6,0)</f>
        <v>2751.7564402810303</v>
      </c>
      <c r="AE78" s="549">
        <f>IFERROR(Generation_Entsoe_SFS_2016[[#This Row],[Wind onshore]]/Capacity_Entsoe_SFS_2016[[#This Row],[Wind onshore]]*10^6,0)</f>
        <v>2192.2428330522766</v>
      </c>
      <c r="AF78" s="549">
        <f>IFERROR(Generation_Entsoe_SFS_2016[[#This Row],[Wind offshore]]/Capacity_Entsoe_SFS_2016[[#This Row],[Wind offshore]]*10^6,0)</f>
        <v>0</v>
      </c>
      <c r="AG78" s="549">
        <f>IFERROR(Generation_Entsoe_SFS_2016[[#This Row],[Solar PV]]/Capacity_Entsoe_SFS_2016[[#This Row],[Solar PV]]*10^6,0)</f>
        <v>1383.5511145272867</v>
      </c>
      <c r="AH78" s="549">
        <f>IFERROR(Generation_Entsoe_SFS_2016[[#This Row],[Bioenergy]]/Capacity_Entsoe_SFS_2016[[#This Row],[Bioenergy]]*10^6,0)</f>
        <v>3389.8305084745766</v>
      </c>
      <c r="AI78" s="549">
        <f>IFERROR(Generation_Entsoe_SFS_2016[[#This Row],[Other RES]]/Capacity_Entsoe_SFS_2016[[#This Row],[Other RES]]*10^6,0)</f>
        <v>0</v>
      </c>
      <c r="AJ78" s="549">
        <f>IFERROR(Generation_Entsoe_SFS_2016[[#This Row],[Renewable Hydro]]/Capacity_Entsoe_SFS_2016[[#This Row],[Renewable Hydro]]*10^6,0)</f>
        <v>2810.3044496487119</v>
      </c>
      <c r="AK78" s="549">
        <f>IFERROR(Generation_Entsoe_SFS_2016[[#This Row],[Pumped Hydro]]/Capacity_Entsoe_SFS_2016[[#This Row],[Pumped Hydro]]*10^6,0)</f>
        <v>0</v>
      </c>
      <c r="AL78" s="549">
        <f>IFERROR(Generation_Entsoe_SFS_2016[[#This Row],[Other sources]]/Capacity_Entsoe_SFS_2016[[#This Row],[Other sources]]*10^6,0)</f>
        <v>0</v>
      </c>
    </row>
    <row r="79" spans="1:38" x14ac:dyDescent="0.25">
      <c r="A79" s="425" t="str">
        <f t="shared" si="0"/>
        <v>RS</v>
      </c>
      <c r="B79" s="366">
        <f t="shared" si="22"/>
        <v>2016</v>
      </c>
      <c r="C79" s="366" t="str">
        <f t="shared" si="22"/>
        <v>TWh</v>
      </c>
      <c r="D79" s="144">
        <f t="shared" si="4"/>
        <v>0</v>
      </c>
      <c r="E79" s="144">
        <f t="shared" si="5"/>
        <v>30.8</v>
      </c>
      <c r="F79" s="167">
        <f t="shared" si="6"/>
        <v>0</v>
      </c>
      <c r="G79" s="167">
        <f t="shared" si="7"/>
        <v>0.1</v>
      </c>
      <c r="H79" s="422">
        <f t="shared" si="8"/>
        <v>0</v>
      </c>
      <c r="I79" s="167">
        <f t="shared" si="9"/>
        <v>0</v>
      </c>
      <c r="J79" s="144">
        <f t="shared" si="10"/>
        <v>0</v>
      </c>
      <c r="K79" s="422">
        <f t="shared" si="11"/>
        <v>0</v>
      </c>
      <c r="L79" s="422">
        <f t="shared" si="12"/>
        <v>0</v>
      </c>
      <c r="M79" s="422">
        <f t="shared" si="13"/>
        <v>0</v>
      </c>
      <c r="N79" s="167">
        <f t="shared" si="14"/>
        <v>10.6</v>
      </c>
      <c r="O79" s="167">
        <f t="shared" si="15"/>
        <v>0.7</v>
      </c>
      <c r="P79" s="422">
        <f t="shared" si="16"/>
        <v>0</v>
      </c>
      <c r="Q79" s="167">
        <f t="shared" si="1"/>
        <v>42.2</v>
      </c>
      <c r="R79" s="167">
        <f t="shared" si="17"/>
        <v>42.2</v>
      </c>
      <c r="S79" s="424">
        <f t="shared" si="18"/>
        <v>1</v>
      </c>
      <c r="T79" s="516">
        <f>INDEX($A$3:$AL$39,MATCH(Generation_Entsoe_SFS_2016[[#This Row],[Country]],$A$3:$A$39,0),MATCH(Generation_Entsoe_SFS_2016[[#Headers],[Consumption]],$A$1:$AL$1,0))</f>
        <v>38.799999999999997</v>
      </c>
      <c r="U79" s="516">
        <f>INDEX($A$3:$AL$39,MATCH(Generation_Entsoe_SFS_2016[[#This Row],[Country]],$A$3:$A$39,0),MATCH(Generation_Entsoe_SFS_2016[[#Headers],[Pumping]],$A$1:$AL$1,0))</f>
        <v>1</v>
      </c>
      <c r="W79" s="543" t="str">
        <f t="shared" si="2"/>
        <v>RS</v>
      </c>
      <c r="X79" s="544">
        <v>2016</v>
      </c>
      <c r="Y79" s="544" t="s">
        <v>648</v>
      </c>
      <c r="Z79" s="548">
        <f>IFERROR(Generation_Entsoe_SFS_2016[[#This Row],[Nuclear]]/Capacity_Entsoe_SFS_2016[[#This Row],[Nuclear]]*10^6,0)</f>
        <v>0</v>
      </c>
      <c r="AA79" s="548">
        <f>IFERROR(Generation_Entsoe_SFS_2016[[#This Row],[Lignite]]/Capacity_Entsoe_SFS_2016[[#This Row],[Lignite]]*10^6,0)</f>
        <v>5830.0208215029343</v>
      </c>
      <c r="AB79" s="548">
        <f>IFERROR(Generation_Entsoe_SFS_2016[[#This Row],[Hard coal]]/Capacity_Entsoe_SFS_2016[[#This Row],[Hard coal]]*10^6,0)</f>
        <v>0</v>
      </c>
      <c r="AC79" s="548">
        <f>IFERROR(Generation_Entsoe_SFS_2016[[#This Row],[Fossil gases]]/Capacity_Entsoe_SFS_2016[[#This Row],[Fossil gases]]*10^6,0)</f>
        <v>321.54340836012864</v>
      </c>
      <c r="AD79" s="548">
        <f>IFERROR(Generation_Entsoe_SFS_2016[[#This Row],[Other fossil fuels]]/Capacity_Entsoe_SFS_2016[[#This Row],[Other fossil fuels]]*10^6,0)</f>
        <v>0</v>
      </c>
      <c r="AE79" s="548">
        <f>IFERROR(Generation_Entsoe_SFS_2016[[#This Row],[Wind onshore]]/Capacity_Entsoe_SFS_2016[[#This Row],[Wind onshore]]*10^6,0)</f>
        <v>0</v>
      </c>
      <c r="AF79" s="548">
        <f>IFERROR(Generation_Entsoe_SFS_2016[[#This Row],[Wind offshore]]/Capacity_Entsoe_SFS_2016[[#This Row],[Wind offshore]]*10^6,0)</f>
        <v>0</v>
      </c>
      <c r="AG79" s="548">
        <f>IFERROR(Generation_Entsoe_SFS_2016[[#This Row],[Solar PV]]/Capacity_Entsoe_SFS_2016[[#This Row],[Solar PV]]*10^6,0)</f>
        <v>0</v>
      </c>
      <c r="AH79" s="548">
        <f>IFERROR(Generation_Entsoe_SFS_2016[[#This Row],[Bioenergy]]/Capacity_Entsoe_SFS_2016[[#This Row],[Bioenergy]]*10^6,0)</f>
        <v>0</v>
      </c>
      <c r="AI79" s="548">
        <f>IFERROR(Generation_Entsoe_SFS_2016[[#This Row],[Other RES]]/Capacity_Entsoe_SFS_2016[[#This Row],[Other RES]]*10^6,0)</f>
        <v>0</v>
      </c>
      <c r="AJ79" s="548">
        <f>IFERROR(Generation_Entsoe_SFS_2016[[#This Row],[Renewable Hydro]]/Capacity_Entsoe_SFS_2016[[#This Row],[Renewable Hydro]]*10^6,0)</f>
        <v>4425.8872651356987</v>
      </c>
      <c r="AK79" s="548">
        <f>IFERROR(Generation_Entsoe_SFS_2016[[#This Row],[Pumped Hydro]]/Capacity_Entsoe_SFS_2016[[#This Row],[Pumped Hydro]]*10^6,0)</f>
        <v>1129.0322580645161</v>
      </c>
      <c r="AL79" s="548">
        <f>IFERROR(Generation_Entsoe_SFS_2016[[#This Row],[Other sources]]/Capacity_Entsoe_SFS_2016[[#This Row],[Other sources]]*10^6,0)</f>
        <v>0</v>
      </c>
    </row>
    <row r="80" spans="1:38" x14ac:dyDescent="0.25">
      <c r="A80" s="425" t="str">
        <f t="shared" si="0"/>
        <v>SE</v>
      </c>
      <c r="B80" s="366">
        <f>B4</f>
        <v>2016</v>
      </c>
      <c r="C80" s="366" t="str">
        <f>C4</f>
        <v>TWh</v>
      </c>
      <c r="D80" s="144">
        <f t="shared" si="4"/>
        <v>60.5</v>
      </c>
      <c r="E80" s="144">
        <f t="shared" si="5"/>
        <v>0</v>
      </c>
      <c r="F80" s="167">
        <f t="shared" si="6"/>
        <v>0.3</v>
      </c>
      <c r="G80" s="167">
        <f t="shared" si="7"/>
        <v>1.3</v>
      </c>
      <c r="H80" s="422">
        <f t="shared" si="8"/>
        <v>1.7</v>
      </c>
      <c r="I80" s="167">
        <f t="shared" si="9"/>
        <v>15.4</v>
      </c>
      <c r="J80" s="144">
        <f t="shared" si="10"/>
        <v>0</v>
      </c>
      <c r="K80" s="422">
        <f t="shared" si="11"/>
        <v>0</v>
      </c>
      <c r="L80" s="422">
        <f t="shared" si="12"/>
        <v>9</v>
      </c>
      <c r="M80" s="422">
        <f t="shared" si="13"/>
        <v>1.2</v>
      </c>
      <c r="N80" s="167">
        <f t="shared" si="14"/>
        <v>61.2</v>
      </c>
      <c r="O80" s="167">
        <f t="shared" si="15"/>
        <v>0</v>
      </c>
      <c r="P80" s="422">
        <f t="shared" si="16"/>
        <v>0.8</v>
      </c>
      <c r="Q80" s="167">
        <f t="shared" si="1"/>
        <v>151.40000000000003</v>
      </c>
      <c r="R80" s="167">
        <f t="shared" si="17"/>
        <v>151.5</v>
      </c>
      <c r="S80" s="424">
        <f t="shared" ref="S80:S85" si="23">Q80/R80</f>
        <v>0.9993399339933996</v>
      </c>
      <c r="T80" s="516">
        <f>INDEX($A$3:$AL$39,MATCH(Generation_Entsoe_SFS_2016[[#This Row],[Country]],$A$3:$A$39,0),MATCH(Generation_Entsoe_SFS_2016[[#Headers],[Consumption]],$A$1:$AL$1,0))</f>
        <v>139.80000000000001</v>
      </c>
      <c r="U80" s="516">
        <f>INDEX($A$3:$AL$39,MATCH(Generation_Entsoe_SFS_2016[[#This Row],[Country]],$A$3:$A$39,0),MATCH(Generation_Entsoe_SFS_2016[[#Headers],[Pumping]],$A$1:$AL$1,0))</f>
        <v>0</v>
      </c>
      <c r="W80" s="543" t="str">
        <f t="shared" si="2"/>
        <v>SE</v>
      </c>
      <c r="X80" s="544">
        <v>2016</v>
      </c>
      <c r="Y80" s="544" t="s">
        <v>648</v>
      </c>
      <c r="Z80" s="549">
        <f>IFERROR(Generation_Entsoe_SFS_2016[[#This Row],[Nuclear]]/Capacity_Entsoe_SFS_2016[[#This Row],[Nuclear]]*10^6,0)</f>
        <v>6228.1243565987234</v>
      </c>
      <c r="AA80" s="549">
        <f>IFERROR(Generation_Entsoe_SFS_2016[[#This Row],[Lignite]]/Capacity_Entsoe_SFS_2016[[#This Row],[Lignite]]*10^6,0)</f>
        <v>0</v>
      </c>
      <c r="AB80" s="549">
        <f>IFERROR(Generation_Entsoe_SFS_2016[[#This Row],[Hard coal]]/Capacity_Entsoe_SFS_2016[[#This Row],[Hard coal]]*10^6,0)</f>
        <v>1333.3333333333333</v>
      </c>
      <c r="AC80" s="549">
        <f>IFERROR(Generation_Entsoe_SFS_2016[[#This Row],[Fossil gases]]/Capacity_Entsoe_SFS_2016[[#This Row],[Fossil gases]]*10^6,0)</f>
        <v>1478.9533560864618</v>
      </c>
      <c r="AD80" s="549">
        <f>IFERROR(Generation_Entsoe_SFS_2016[[#This Row],[Other fossil fuels]]/Capacity_Entsoe_SFS_2016[[#This Row],[Other fossil fuels]]*10^6,0)</f>
        <v>500.44156608772448</v>
      </c>
      <c r="AE80" s="549">
        <f>IFERROR(Generation_Entsoe_SFS_2016[[#This Row],[Wind onshore]]/Capacity_Entsoe_SFS_2016[[#This Row],[Wind onshore]]*10^6,0)</f>
        <v>2554.3207828827335</v>
      </c>
      <c r="AF80" s="549">
        <f>IFERROR(Generation_Entsoe_SFS_2016[[#This Row],[Wind offshore]]/Capacity_Entsoe_SFS_2016[[#This Row],[Wind offshore]]*10^6,0)</f>
        <v>0</v>
      </c>
      <c r="AG80" s="549">
        <f>IFERROR(Generation_Entsoe_SFS_2016[[#This Row],[Solar PV]]/Capacity_Entsoe_SFS_2016[[#This Row],[Solar PV]]*10^6,0)</f>
        <v>0</v>
      </c>
      <c r="AH80" s="549">
        <f>IFERROR(Generation_Entsoe_SFS_2016[[#This Row],[Bioenergy]]/Capacity_Entsoe_SFS_2016[[#This Row],[Bioenergy]]*10^6,0)</f>
        <v>3022.1625251846876</v>
      </c>
      <c r="AI80" s="549">
        <f>IFERROR(Generation_Entsoe_SFS_2016[[#This Row],[Other RES]]/Capacity_Entsoe_SFS_2016[[#This Row],[Other RES]]*10^6,0)</f>
        <v>0</v>
      </c>
      <c r="AJ80" s="549">
        <f>IFERROR(Generation_Entsoe_SFS_2016[[#This Row],[Renewable Hydro]]/Capacity_Entsoe_SFS_2016[[#This Row],[Renewable Hydro]]*10^6,0)</f>
        <v>3781.5126050420167</v>
      </c>
      <c r="AK80" s="549">
        <f>IFERROR(Generation_Entsoe_SFS_2016[[#This Row],[Pumped Hydro]]/Capacity_Entsoe_SFS_2016[[#This Row],[Pumped Hydro]]*10^6,0)</f>
        <v>0</v>
      </c>
      <c r="AL80" s="549">
        <f>IFERROR(Generation_Entsoe_SFS_2016[[#This Row],[Other sources]]/Capacity_Entsoe_SFS_2016[[#This Row],[Other sources]]*10^6,0)</f>
        <v>0</v>
      </c>
    </row>
    <row r="81" spans="1:38" x14ac:dyDescent="0.25">
      <c r="A81" s="425" t="str">
        <f t="shared" si="0"/>
        <v>SI</v>
      </c>
      <c r="B81" s="366">
        <f t="shared" ref="B81:C82" si="24">B26</f>
        <v>2016</v>
      </c>
      <c r="C81" s="366" t="str">
        <f t="shared" si="24"/>
        <v>TWh</v>
      </c>
      <c r="D81" s="144">
        <f t="shared" si="4"/>
        <v>5.4</v>
      </c>
      <c r="E81" s="144">
        <f t="shared" si="5"/>
        <v>4.4000000000000004</v>
      </c>
      <c r="F81" s="167">
        <f t="shared" si="6"/>
        <v>0</v>
      </c>
      <c r="G81" s="167">
        <f t="shared" si="7"/>
        <v>0</v>
      </c>
      <c r="H81" s="422">
        <f t="shared" si="8"/>
        <v>0</v>
      </c>
      <c r="I81" s="167">
        <f t="shared" si="9"/>
        <v>0</v>
      </c>
      <c r="J81" s="144">
        <f t="shared" si="10"/>
        <v>0</v>
      </c>
      <c r="K81" s="422">
        <f t="shared" si="11"/>
        <v>0.2</v>
      </c>
      <c r="L81" s="422">
        <f t="shared" si="12"/>
        <v>0.2</v>
      </c>
      <c r="M81" s="422">
        <f t="shared" si="13"/>
        <v>0.1</v>
      </c>
      <c r="N81" s="167">
        <f t="shared" si="14"/>
        <v>4.4000000000000004</v>
      </c>
      <c r="O81" s="167">
        <f t="shared" si="15"/>
        <v>0.3</v>
      </c>
      <c r="P81" s="422">
        <f t="shared" si="16"/>
        <v>0.2</v>
      </c>
      <c r="Q81" s="167">
        <f t="shared" si="1"/>
        <v>15.2</v>
      </c>
      <c r="R81" s="167">
        <f t="shared" si="17"/>
        <v>15.2</v>
      </c>
      <c r="S81" s="424">
        <f t="shared" si="23"/>
        <v>1</v>
      </c>
      <c r="T81" s="516">
        <f>INDEX($A$3:$AL$39,MATCH(Generation_Entsoe_SFS_2016[[#This Row],[Country]],$A$3:$A$39,0),MATCH(Generation_Entsoe_SFS_2016[[#Headers],[Consumption]],$A$1:$AL$1,0))</f>
        <v>13.8</v>
      </c>
      <c r="U81" s="516">
        <f>INDEX($A$3:$AL$39,MATCH(Generation_Entsoe_SFS_2016[[#This Row],[Country]],$A$3:$A$39,0),MATCH(Generation_Entsoe_SFS_2016[[#Headers],[Pumping]],$A$1:$AL$1,0))</f>
        <v>0.4</v>
      </c>
      <c r="W81" s="543" t="str">
        <f t="shared" si="2"/>
        <v>SI</v>
      </c>
      <c r="X81" s="544">
        <v>2016</v>
      </c>
      <c r="Y81" s="544" t="s">
        <v>648</v>
      </c>
      <c r="Z81" s="548">
        <f>IFERROR(Generation_Entsoe_SFS_2016[[#This Row],[Nuclear]]/Capacity_Entsoe_SFS_2016[[#This Row],[Nuclear]]*10^6,0)</f>
        <v>7758.620689655173</v>
      </c>
      <c r="AA81" s="548">
        <f>IFERROR(Generation_Entsoe_SFS_2016[[#This Row],[Lignite]]/Capacity_Entsoe_SFS_2016[[#This Row],[Lignite]]*10^6,0)</f>
        <v>4761.9047619047624</v>
      </c>
      <c r="AB81" s="548">
        <f>IFERROR(Generation_Entsoe_SFS_2016[[#This Row],[Hard coal]]/Capacity_Entsoe_SFS_2016[[#This Row],[Hard coal]]*10^6,0)</f>
        <v>0</v>
      </c>
      <c r="AC81" s="548">
        <f>IFERROR(Generation_Entsoe_SFS_2016[[#This Row],[Fossil gases]]/Capacity_Entsoe_SFS_2016[[#This Row],[Fossil gases]]*10^6,0)</f>
        <v>0</v>
      </c>
      <c r="AD81" s="548">
        <f>IFERROR(Generation_Entsoe_SFS_2016[[#This Row],[Other fossil fuels]]/Capacity_Entsoe_SFS_2016[[#This Row],[Other fossil fuels]]*10^6,0)</f>
        <v>0</v>
      </c>
      <c r="AE81" s="548">
        <f>IFERROR(Generation_Entsoe_SFS_2016[[#This Row],[Wind onshore]]/Capacity_Entsoe_SFS_2016[[#This Row],[Wind onshore]]*10^6,0)</f>
        <v>0</v>
      </c>
      <c r="AF81" s="548">
        <f>IFERROR(Generation_Entsoe_SFS_2016[[#This Row],[Wind offshore]]/Capacity_Entsoe_SFS_2016[[#This Row],[Wind offshore]]*10^6,0)</f>
        <v>0</v>
      </c>
      <c r="AG81" s="548">
        <f>IFERROR(Generation_Entsoe_SFS_2016[[#This Row],[Solar PV]]/Capacity_Entsoe_SFS_2016[[#This Row],[Solar PV]]*10^6,0)</f>
        <v>738.00738007380085</v>
      </c>
      <c r="AH81" s="548">
        <f>IFERROR(Generation_Entsoe_SFS_2016[[#This Row],[Bioenergy]]/Capacity_Entsoe_SFS_2016[[#This Row],[Bioenergy]]*10^6,0)</f>
        <v>4878.0487804878048</v>
      </c>
      <c r="AI81" s="548">
        <f>IFERROR(Generation_Entsoe_SFS_2016[[#This Row],[Other RES]]/Capacity_Entsoe_SFS_2016[[#This Row],[Other RES]]*10^6,0)</f>
        <v>0</v>
      </c>
      <c r="AJ81" s="548">
        <f>IFERROR(Generation_Entsoe_SFS_2016[[#This Row],[Renewable Hydro]]/Capacity_Entsoe_SFS_2016[[#This Row],[Renewable Hydro]]*10^6,0)</f>
        <v>3939.1226499552376</v>
      </c>
      <c r="AK81" s="548">
        <f>IFERROR(Generation_Entsoe_SFS_2016[[#This Row],[Pumped Hydro]]/Capacity_Entsoe_SFS_2016[[#This Row],[Pumped Hydro]]*10^6,0)</f>
        <v>1666.6666666666665</v>
      </c>
      <c r="AL81" s="548">
        <f>IFERROR(Generation_Entsoe_SFS_2016[[#This Row],[Other sources]]/Capacity_Entsoe_SFS_2016[[#This Row],[Other sources]]*10^6,0)</f>
        <v>1739.1304347826087</v>
      </c>
    </row>
    <row r="82" spans="1:38" x14ac:dyDescent="0.25">
      <c r="A82" s="425" t="str">
        <f t="shared" si="0"/>
        <v>SK</v>
      </c>
      <c r="B82" s="366">
        <f t="shared" si="24"/>
        <v>2016</v>
      </c>
      <c r="C82" s="366" t="str">
        <f t="shared" si="24"/>
        <v>TWh</v>
      </c>
      <c r="D82" s="144">
        <f t="shared" si="4"/>
        <v>13.8</v>
      </c>
      <c r="E82" s="144">
        <f t="shared" si="5"/>
        <v>1.5</v>
      </c>
      <c r="F82" s="167">
        <f t="shared" si="6"/>
        <v>0.9</v>
      </c>
      <c r="G82" s="167">
        <f t="shared" si="7"/>
        <v>1.9</v>
      </c>
      <c r="H82" s="422">
        <f t="shared" si="8"/>
        <v>0.3</v>
      </c>
      <c r="I82" s="167">
        <f t="shared" si="9"/>
        <v>0</v>
      </c>
      <c r="J82" s="144">
        <f t="shared" si="10"/>
        <v>0</v>
      </c>
      <c r="K82" s="422">
        <f t="shared" si="11"/>
        <v>0.5</v>
      </c>
      <c r="L82" s="422">
        <f t="shared" si="12"/>
        <v>1.6</v>
      </c>
      <c r="M82" s="422">
        <f t="shared" si="13"/>
        <v>0</v>
      </c>
      <c r="N82" s="167">
        <f t="shared" si="14"/>
        <v>4.6000000000000005</v>
      </c>
      <c r="O82" s="167">
        <f t="shared" si="15"/>
        <v>0.2</v>
      </c>
      <c r="P82" s="422">
        <f t="shared" si="16"/>
        <v>0.1</v>
      </c>
      <c r="Q82" s="167">
        <f t="shared" si="1"/>
        <v>25.400000000000002</v>
      </c>
      <c r="R82" s="167">
        <f t="shared" si="17"/>
        <v>25.4</v>
      </c>
      <c r="S82" s="424">
        <f t="shared" si="23"/>
        <v>1.0000000000000002</v>
      </c>
      <c r="T82" s="516">
        <f>INDEX($A$3:$AL$39,MATCH(Generation_Entsoe_SFS_2016[[#This Row],[Country]],$A$3:$A$39,0),MATCH(Generation_Entsoe_SFS_2016[[#Headers],[Consumption]],$A$1:$AL$1,0))</f>
        <v>27.7</v>
      </c>
      <c r="U82" s="516">
        <f>INDEX($A$3:$AL$39,MATCH(Generation_Entsoe_SFS_2016[[#This Row],[Country]],$A$3:$A$39,0),MATCH(Generation_Entsoe_SFS_2016[[#Headers],[Pumping]],$A$1:$AL$1,0))</f>
        <v>0.3</v>
      </c>
      <c r="W82" s="543" t="str">
        <f t="shared" si="2"/>
        <v>SK</v>
      </c>
      <c r="X82" s="544">
        <v>2016</v>
      </c>
      <c r="Y82" s="544" t="s">
        <v>648</v>
      </c>
      <c r="Z82" s="549">
        <f>IFERROR(Generation_Entsoe_SFS_2016[[#This Row],[Nuclear]]/Capacity_Entsoe_SFS_2016[[#This Row],[Nuclear]]*10^6,0)</f>
        <v>7113.4020618556706</v>
      </c>
      <c r="AA82" s="549">
        <f>IFERROR(Generation_Entsoe_SFS_2016[[#This Row],[Lignite]]/Capacity_Entsoe_SFS_2016[[#This Row],[Lignite]]*10^6,0)</f>
        <v>3275.1091703056768</v>
      </c>
      <c r="AB82" s="549">
        <f>IFERROR(Generation_Entsoe_SFS_2016[[#This Row],[Hard coal]]/Capacity_Entsoe_SFS_2016[[#This Row],[Hard coal]]*10^6,0)</f>
        <v>4090.9090909090914</v>
      </c>
      <c r="AC82" s="549">
        <f>IFERROR(Generation_Entsoe_SFS_2016[[#This Row],[Fossil gases]]/Capacity_Entsoe_SFS_2016[[#This Row],[Fossil gases]]*10^6,0)</f>
        <v>1694.9152542372881</v>
      </c>
      <c r="AD82" s="549">
        <f>IFERROR(Generation_Entsoe_SFS_2016[[#This Row],[Other fossil fuels]]/Capacity_Entsoe_SFS_2016[[#This Row],[Other fossil fuels]]*10^6,0)</f>
        <v>443.13146233382565</v>
      </c>
      <c r="AE82" s="549">
        <f>IFERROR(Generation_Entsoe_SFS_2016[[#This Row],[Wind onshore]]/Capacity_Entsoe_SFS_2016[[#This Row],[Wind onshore]]*10^6,0)</f>
        <v>0</v>
      </c>
      <c r="AF82" s="549">
        <f>IFERROR(Generation_Entsoe_SFS_2016[[#This Row],[Wind offshore]]/Capacity_Entsoe_SFS_2016[[#This Row],[Wind offshore]]*10^6,0)</f>
        <v>0</v>
      </c>
      <c r="AG82" s="549">
        <f>IFERROR(Generation_Entsoe_SFS_2016[[#This Row],[Solar PV]]/Capacity_Entsoe_SFS_2016[[#This Row],[Solar PV]]*10^6,0)</f>
        <v>943.39622641509436</v>
      </c>
      <c r="AH82" s="549">
        <f>IFERROR(Generation_Entsoe_SFS_2016[[#This Row],[Bioenergy]]/Capacity_Entsoe_SFS_2016[[#This Row],[Bioenergy]]*10^6,0)</f>
        <v>4863.2218844984809</v>
      </c>
      <c r="AI82" s="549">
        <f>IFERROR(Generation_Entsoe_SFS_2016[[#This Row],[Other RES]]/Capacity_Entsoe_SFS_2016[[#This Row],[Other RES]]*10^6,0)</f>
        <v>0</v>
      </c>
      <c r="AJ82" s="549">
        <f>IFERROR(Generation_Entsoe_SFS_2016[[#This Row],[Renewable Hydro]]/Capacity_Entsoe_SFS_2016[[#This Row],[Renewable Hydro]]*10^6,0)</f>
        <v>2551.3033832501392</v>
      </c>
      <c r="AK82" s="549">
        <f>IFERROR(Generation_Entsoe_SFS_2016[[#This Row],[Pumped Hydro]]/Capacity_Entsoe_SFS_2016[[#This Row],[Pumped Hydro]]*10^6,0)</f>
        <v>272.47956403269757</v>
      </c>
      <c r="AL82" s="549">
        <f>IFERROR(Generation_Entsoe_SFS_2016[[#This Row],[Other sources]]/Capacity_Entsoe_SFS_2016[[#This Row],[Other sources]]*10^6,0)</f>
        <v>5263.1578947368416</v>
      </c>
    </row>
    <row r="83" spans="1:38" x14ac:dyDescent="0.25">
      <c r="A83" s="425" t="str">
        <f t="shared" si="0"/>
        <v>TR</v>
      </c>
      <c r="B83" s="366">
        <f>B33</f>
        <v>2016</v>
      </c>
      <c r="C83" s="366" t="str">
        <f>C33</f>
        <v>TWh</v>
      </c>
      <c r="D83" s="144">
        <f t="shared" si="4"/>
        <v>0</v>
      </c>
      <c r="E83" s="144">
        <f t="shared" si="5"/>
        <v>37.9</v>
      </c>
      <c r="F83" s="167">
        <f t="shared" si="6"/>
        <v>52.7</v>
      </c>
      <c r="G83" s="167">
        <f t="shared" si="7"/>
        <v>88.4</v>
      </c>
      <c r="H83" s="422">
        <f t="shared" si="8"/>
        <v>2.5</v>
      </c>
      <c r="I83" s="167">
        <f t="shared" si="9"/>
        <v>15.4</v>
      </c>
      <c r="J83" s="144">
        <f t="shared" si="10"/>
        <v>0</v>
      </c>
      <c r="K83" s="422">
        <f t="shared" si="11"/>
        <v>0</v>
      </c>
      <c r="L83" s="422">
        <f t="shared" si="12"/>
        <v>2</v>
      </c>
      <c r="M83" s="422">
        <f t="shared" si="13"/>
        <v>4.3</v>
      </c>
      <c r="N83" s="167">
        <f t="shared" si="14"/>
        <v>66.900000000000006</v>
      </c>
      <c r="O83" s="167">
        <f t="shared" si="15"/>
        <v>0</v>
      </c>
      <c r="P83" s="422">
        <f t="shared" si="16"/>
        <v>0</v>
      </c>
      <c r="Q83" s="167">
        <f t="shared" si="1"/>
        <v>270.10000000000002</v>
      </c>
      <c r="R83" s="167">
        <f t="shared" si="17"/>
        <v>270.2</v>
      </c>
      <c r="S83" s="424">
        <f t="shared" si="23"/>
        <v>0.99962990377498162</v>
      </c>
      <c r="T83" s="516">
        <f>INDEX($A$3:$AL$39,MATCH(Generation_Entsoe_SFS_2016[[#This Row],[Country]],$A$3:$A$39,0),MATCH(Generation_Entsoe_SFS_2016[[#Headers],[Consumption]],$A$1:$AL$1,0))</f>
        <v>275.2</v>
      </c>
      <c r="U83" s="516">
        <f>INDEX($A$3:$AL$39,MATCH(Generation_Entsoe_SFS_2016[[#This Row],[Country]],$A$3:$A$39,0),MATCH(Generation_Entsoe_SFS_2016[[#Headers],[Pumping]],$A$1:$AL$1,0))</f>
        <v>0</v>
      </c>
      <c r="W83" s="543" t="str">
        <f t="shared" si="2"/>
        <v>TR</v>
      </c>
      <c r="X83" s="544">
        <v>2016</v>
      </c>
      <c r="Y83" s="544" t="s">
        <v>648</v>
      </c>
      <c r="Z83" s="548">
        <f>IFERROR(Generation_Entsoe_SFS_2016[[#This Row],[Nuclear]]/Capacity_Entsoe_SFS_2016[[#This Row],[Nuclear]]*10^6,0)</f>
        <v>0</v>
      </c>
      <c r="AA83" s="548">
        <f>IFERROR(Generation_Entsoe_SFS_2016[[#This Row],[Lignite]]/Capacity_Entsoe_SFS_2016[[#This Row],[Lignite]]*10^6,0)</f>
        <v>3885.187083546899</v>
      </c>
      <c r="AB83" s="548">
        <f>IFERROR(Generation_Entsoe_SFS_2016[[#This Row],[Hard coal]]/Capacity_Entsoe_SFS_2016[[#This Row],[Hard coal]]*10^6,0)</f>
        <v>6404.1803378296272</v>
      </c>
      <c r="AC83" s="548">
        <f>IFERROR(Generation_Entsoe_SFS_2016[[#This Row],[Fossil gases]]/Capacity_Entsoe_SFS_2016[[#This Row],[Fossil gases]]*10^6,0)</f>
        <v>3457.3115882513985</v>
      </c>
      <c r="AD83" s="548">
        <f>IFERROR(Generation_Entsoe_SFS_2016[[#This Row],[Other fossil fuels]]/Capacity_Entsoe_SFS_2016[[#This Row],[Other fossil fuels]]*10^6,0)</f>
        <v>6738.5444743935313</v>
      </c>
      <c r="AE83" s="548">
        <f>IFERROR(Generation_Entsoe_SFS_2016[[#This Row],[Wind onshore]]/Capacity_Entsoe_SFS_2016[[#This Row],[Wind onshore]]*10^6,0)</f>
        <v>2677.7951660580766</v>
      </c>
      <c r="AF83" s="548">
        <f>IFERROR(Generation_Entsoe_SFS_2016[[#This Row],[Wind offshore]]/Capacity_Entsoe_SFS_2016[[#This Row],[Wind offshore]]*10^6,0)</f>
        <v>0</v>
      </c>
      <c r="AG83" s="548">
        <f>IFERROR(Generation_Entsoe_SFS_2016[[#This Row],[Solar PV]]/Capacity_Entsoe_SFS_2016[[#This Row],[Solar PV]]*10^6,0)</f>
        <v>0</v>
      </c>
      <c r="AH83" s="548">
        <f>IFERROR(Generation_Entsoe_SFS_2016[[#This Row],[Bioenergy]]/Capacity_Entsoe_SFS_2016[[#This Row],[Bioenergy]]*10^6,0)</f>
        <v>4089.97955010225</v>
      </c>
      <c r="AI83" s="548">
        <f>IFERROR(Generation_Entsoe_SFS_2016[[#This Row],[Other RES]]/Capacity_Entsoe_SFS_2016[[#This Row],[Other RES]]*10^6,0)</f>
        <v>5237.515225334957</v>
      </c>
      <c r="AJ83" s="548">
        <f>IFERROR(Generation_Entsoe_SFS_2016[[#This Row],[Renewable Hydro]]/Capacity_Entsoe_SFS_2016[[#This Row],[Renewable Hydro]]*10^6,0)</f>
        <v>2507.3082977288063</v>
      </c>
      <c r="AK83" s="548">
        <f>IFERROR(Generation_Entsoe_SFS_2016[[#This Row],[Pumped Hydro]]/Capacity_Entsoe_SFS_2016[[#This Row],[Pumped Hydro]]*10^6,0)</f>
        <v>0</v>
      </c>
      <c r="AL83" s="548">
        <f>IFERROR(Generation_Entsoe_SFS_2016[[#This Row],[Other sources]]/Capacity_Entsoe_SFS_2016[[#This Row],[Other sources]]*10^6,0)</f>
        <v>0</v>
      </c>
    </row>
    <row r="84" spans="1:38" x14ac:dyDescent="0.25">
      <c r="A84" s="425" t="str">
        <f t="shared" si="0"/>
        <v>ENTSO-E</v>
      </c>
      <c r="B84" s="520">
        <f>B38</f>
        <v>2016</v>
      </c>
      <c r="C84" s="520" t="str">
        <f>C38</f>
        <v>TWh</v>
      </c>
      <c r="D84" s="144">
        <f t="shared" si="4"/>
        <v>816.6</v>
      </c>
      <c r="E84" s="144">
        <f t="shared" si="5"/>
        <v>359.3</v>
      </c>
      <c r="F84" s="167">
        <f t="shared" si="6"/>
        <v>405.4</v>
      </c>
      <c r="G84" s="167">
        <f t="shared" si="7"/>
        <v>707</v>
      </c>
      <c r="H84" s="422">
        <f t="shared" si="8"/>
        <v>63</v>
      </c>
      <c r="I84" s="167">
        <f t="shared" si="9"/>
        <v>282.3</v>
      </c>
      <c r="J84" s="144">
        <f t="shared" si="10"/>
        <v>33.799999999999997</v>
      </c>
      <c r="K84" s="422">
        <f t="shared" si="11"/>
        <v>100</v>
      </c>
      <c r="L84" s="422">
        <f t="shared" si="12"/>
        <v>136</v>
      </c>
      <c r="M84" s="422">
        <f t="shared" si="13"/>
        <v>50.500000000000007</v>
      </c>
      <c r="N84" s="167">
        <f t="shared" si="14"/>
        <v>604.6</v>
      </c>
      <c r="O84" s="167">
        <f t="shared" si="15"/>
        <v>44.8</v>
      </c>
      <c r="P84" s="422">
        <f t="shared" si="16"/>
        <v>29.8</v>
      </c>
      <c r="Q84" s="521">
        <f t="shared" si="1"/>
        <v>3633.1000000000008</v>
      </c>
      <c r="R84" s="167">
        <f t="shared" si="17"/>
        <v>3633.2</v>
      </c>
      <c r="S84" s="519">
        <f t="shared" si="23"/>
        <v>0.99997247605416739</v>
      </c>
      <c r="T84" s="516">
        <f>INDEX($A$3:$AL$39,MATCH(Generation_Entsoe_SFS_2016[[#This Row],[Country]],$A$3:$A$39,0),MATCH(Generation_Entsoe_SFS_2016[[#Headers],[Consumption]],$A$1:$AL$1,0))</f>
        <v>3593.9</v>
      </c>
      <c r="U84" s="516">
        <f>INDEX($A$3:$AL$39,MATCH(Generation_Entsoe_SFS_2016[[#This Row],[Country]],$A$3:$A$39,0),MATCH(Generation_Entsoe_SFS_2016[[#Headers],[Pumping]],$A$1:$AL$1,0))</f>
        <v>44.7</v>
      </c>
      <c r="W84" s="543" t="str">
        <f t="shared" si="2"/>
        <v>ENTSO-E</v>
      </c>
      <c r="X84" s="544">
        <v>2016</v>
      </c>
      <c r="Y84" s="544" t="s">
        <v>648</v>
      </c>
      <c r="Z84" s="549">
        <f>IFERROR(Generation_Entsoe_SFS_2016[[#This Row],[Nuclear]]/Capacity_Entsoe_SFS_2016[[#This Row],[Nuclear]]*10^6,0)</f>
        <v>6541.6967075222301</v>
      </c>
      <c r="AA84" s="549">
        <f>IFERROR(Generation_Entsoe_SFS_2016[[#This Row],[Lignite]]/Capacity_Entsoe_SFS_2016[[#This Row],[Lignite]]*10^6,0)</f>
        <v>5074.2137298930929</v>
      </c>
      <c r="AB84" s="549">
        <f>IFERROR(Generation_Entsoe_SFS_2016[[#This Row],[Hard coal]]/Capacity_Entsoe_SFS_2016[[#This Row],[Hard coal]]*10^6,0)</f>
        <v>3802.3954904002176</v>
      </c>
      <c r="AC84" s="549">
        <f>IFERROR(Generation_Entsoe_SFS_2016[[#This Row],[Fossil gases]]/Capacity_Entsoe_SFS_2016[[#This Row],[Fossil gases]]*10^6,0)</f>
        <v>3015.2854072128016</v>
      </c>
      <c r="AD84" s="549">
        <f>IFERROR(Generation_Entsoe_SFS_2016[[#This Row],[Other fossil fuels]]/Capacity_Entsoe_SFS_2016[[#This Row],[Other fossil fuels]]*10^6,0)</f>
        <v>986.4249142749776</v>
      </c>
      <c r="AE84" s="549">
        <f>IFERROR(Generation_Entsoe_SFS_2016[[#This Row],[Wind onshore]]/Capacity_Entsoe_SFS_2016[[#This Row],[Wind onshore]]*10^6,0)</f>
        <v>1928.4894523991693</v>
      </c>
      <c r="AF84" s="549">
        <f>IFERROR(Generation_Entsoe_SFS_2016[[#This Row],[Wind offshore]]/Capacity_Entsoe_SFS_2016[[#This Row],[Wind offshore]]*10^6,0)</f>
        <v>2878.3104828408409</v>
      </c>
      <c r="AG84" s="549">
        <f>IFERROR(Generation_Entsoe_SFS_2016[[#This Row],[Solar PV]]/Capacity_Entsoe_SFS_2016[[#This Row],[Solar PV]]*10^6,0)</f>
        <v>1006.6641164509049</v>
      </c>
      <c r="AH84" s="549">
        <f>IFERROR(Generation_Entsoe_SFS_2016[[#This Row],[Bioenergy]]/Capacity_Entsoe_SFS_2016[[#This Row],[Bioenergy]]*10^6,0)</f>
        <v>5199.5717999694143</v>
      </c>
      <c r="AI84" s="549">
        <f>IFERROR(Generation_Entsoe_SFS_2016[[#This Row],[Other RES]]/Capacity_Entsoe_SFS_2016[[#This Row],[Other RES]]*10^6,0)</f>
        <v>4356.8285738935383</v>
      </c>
      <c r="AJ84" s="549">
        <f>IFERROR(Generation_Entsoe_SFS_2016[[#This Row],[Renewable Hydro]]/Capacity_Entsoe_SFS_2016[[#This Row],[Renewable Hydro]]*10^6,0)</f>
        <v>2892.0065627406616</v>
      </c>
      <c r="AK84" s="549">
        <f>IFERROR(Generation_Entsoe_SFS_2016[[#This Row],[Pumped Hydro]]/Capacity_Entsoe_SFS_2016[[#This Row],[Pumped Hydro]]*10^6,0)</f>
        <v>1782.2333611807294</v>
      </c>
      <c r="AL84" s="549">
        <f>IFERROR(Generation_Entsoe_SFS_2016[[#This Row],[Other sources]]/Capacity_Entsoe_SFS_2016[[#This Row],[Other sources]]*10^6,0)</f>
        <v>4388.8070692194406</v>
      </c>
    </row>
    <row r="85" spans="1:38" x14ac:dyDescent="0.25">
      <c r="A85" s="425" t="str">
        <f t="shared" si="0"/>
        <v>EU</v>
      </c>
      <c r="B85" s="520">
        <f>B39</f>
        <v>2016</v>
      </c>
      <c r="C85" s="520" t="str">
        <f>C39</f>
        <v>TWh</v>
      </c>
      <c r="D85" s="144">
        <f t="shared" si="4"/>
        <v>796.4</v>
      </c>
      <c r="E85" s="144">
        <f t="shared" si="5"/>
        <v>276.2</v>
      </c>
      <c r="F85" s="167">
        <f t="shared" si="6"/>
        <v>352.7</v>
      </c>
      <c r="G85" s="167">
        <f t="shared" si="7"/>
        <v>614.6</v>
      </c>
      <c r="H85" s="422">
        <f t="shared" si="8"/>
        <v>59.4</v>
      </c>
      <c r="I85" s="167">
        <f t="shared" si="9"/>
        <v>264.5</v>
      </c>
      <c r="J85" s="144">
        <f t="shared" si="10"/>
        <v>33.799999999999997</v>
      </c>
      <c r="K85" s="422">
        <f t="shared" si="11"/>
        <v>99.5</v>
      </c>
      <c r="L85" s="422">
        <f t="shared" si="12"/>
        <v>133.69999999999999</v>
      </c>
      <c r="M85" s="422">
        <f t="shared" si="13"/>
        <v>39.099999999999994</v>
      </c>
      <c r="N85" s="167">
        <f t="shared" si="14"/>
        <v>343.4</v>
      </c>
      <c r="O85" s="167">
        <f t="shared" si="15"/>
        <v>25.8</v>
      </c>
      <c r="P85" s="422">
        <f t="shared" si="16"/>
        <v>29</v>
      </c>
      <c r="Q85" s="521">
        <f t="shared" si="1"/>
        <v>3068.1000000000004</v>
      </c>
      <c r="R85" s="167">
        <f t="shared" si="17"/>
        <v>3068.2</v>
      </c>
      <c r="S85" s="519">
        <f t="shared" si="23"/>
        <v>0.9999674076005477</v>
      </c>
      <c r="T85" s="516">
        <f>INDEX($A$3:$AL$39,MATCH(Generation_Entsoe_SFS_2016[[#This Row],[Country]],$A$3:$A$39,0),MATCH(Generation_Entsoe_SFS_2016[[#Headers],[Consumption]],$A$1:$AL$1,0))</f>
        <v>3042.8</v>
      </c>
      <c r="U85" s="516">
        <f>INDEX($A$3:$AL$39,MATCH(Generation_Entsoe_SFS_2016[[#This Row],[Country]],$A$3:$A$39,0),MATCH(Generation_Entsoe_SFS_2016[[#Headers],[Pumping]],$A$1:$AL$1,0))</f>
        <v>40.700000000000003</v>
      </c>
      <c r="W85" s="543" t="str">
        <f t="shared" si="2"/>
        <v>EU</v>
      </c>
      <c r="X85" s="544">
        <v>2016</v>
      </c>
      <c r="Y85" s="544" t="s">
        <v>648</v>
      </c>
      <c r="Z85" s="548">
        <f>IFERROR(Generation_Entsoe_SFS_2016[[#This Row],[Nuclear]]/Capacity_Entsoe_SFS_2016[[#This Row],[Nuclear]]*10^6,0)</f>
        <v>6554.8943595315104</v>
      </c>
      <c r="AA85" s="548">
        <f>IFERROR(Generation_Entsoe_SFS_2016[[#This Row],[Lignite]]/Capacity_Entsoe_SFS_2016[[#This Row],[Lignite]]*10^6,0)</f>
        <v>5215.4537558064876</v>
      </c>
      <c r="AB85" s="548">
        <f>IFERROR(Generation_Entsoe_SFS_2016[[#This Row],[Hard coal]]/Capacity_Entsoe_SFS_2016[[#This Row],[Hard coal]]*10^6,0)</f>
        <v>3584.7503277805445</v>
      </c>
      <c r="AC85" s="548">
        <f>IFERROR(Generation_Entsoe_SFS_2016[[#This Row],[Fossil gases]]/Capacity_Entsoe_SFS_2016[[#This Row],[Fossil gases]]*10^6,0)</f>
        <v>2956.2716152710236</v>
      </c>
      <c r="AD85" s="548">
        <f>IFERROR(Generation_Entsoe_SFS_2016[[#This Row],[Other fossil fuels]]/Capacity_Entsoe_SFS_2016[[#This Row],[Other fossil fuels]]*10^6,0)</f>
        <v>945.92012230078353</v>
      </c>
      <c r="AE85" s="548">
        <f>IFERROR(Generation_Entsoe_SFS_2016[[#This Row],[Wind onshore]]/Capacity_Entsoe_SFS_2016[[#This Row],[Wind onshore]]*10^6,0)</f>
        <v>1893.8037890395658</v>
      </c>
      <c r="AF85" s="548">
        <f>IFERROR(Generation_Entsoe_SFS_2016[[#This Row],[Wind offshore]]/Capacity_Entsoe_SFS_2016[[#This Row],[Wind offshore]]*10^6,0)</f>
        <v>2878.3104828408409</v>
      </c>
      <c r="AG85" s="548">
        <f>IFERROR(Generation_Entsoe_SFS_2016[[#This Row],[Solar PV]]/Capacity_Entsoe_SFS_2016[[#This Row],[Solar PV]]*10^6,0)</f>
        <v>1021.2669869031489</v>
      </c>
      <c r="AH85" s="548">
        <f>IFERROR(Generation_Entsoe_SFS_2016[[#This Row],[Bioenergy]]/Capacity_Entsoe_SFS_2016[[#This Row],[Bioenergy]]*10^6,0)</f>
        <v>5260.8798300149519</v>
      </c>
      <c r="AI85" s="548">
        <f>IFERROR(Generation_Entsoe_SFS_2016[[#This Row],[Other RES]]/Capacity_Entsoe_SFS_2016[[#This Row],[Other RES]]*10^6,0)</f>
        <v>3963.5073492143943</v>
      </c>
      <c r="AJ85" s="548">
        <f>IFERROR(Generation_Entsoe_SFS_2016[[#This Row],[Renewable Hydro]]/Capacity_Entsoe_SFS_2016[[#This Row],[Renewable Hydro]]*10^6,0)</f>
        <v>2603.7046304089044</v>
      </c>
      <c r="AK85" s="548">
        <f>IFERROR(Generation_Entsoe_SFS_2016[[#This Row],[Pumped Hydro]]/Capacity_Entsoe_SFS_2016[[#This Row],[Pumped Hydro]]*10^6,0)</f>
        <v>1136.8643694368557</v>
      </c>
      <c r="AL85" s="548">
        <f>IFERROR(Generation_Entsoe_SFS_2016[[#This Row],[Other sources]]/Capacity_Entsoe_SFS_2016[[#This Row],[Other sources]]*10^6,0)</f>
        <v>4270.9867452135486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tabColor theme="7"/>
  </sheetPr>
  <dimension ref="A1:AR88"/>
  <sheetViews>
    <sheetView topLeftCell="A36" zoomScale="85" zoomScaleNormal="85" workbookViewId="0">
      <selection activeCell="U53" sqref="U53"/>
    </sheetView>
  </sheetViews>
  <sheetFormatPr baseColWidth="10" defaultColWidth="11.42578125" defaultRowHeight="12" x14ac:dyDescent="0.2"/>
  <cols>
    <col min="1" max="1" width="18" style="142" customWidth="1"/>
    <col min="2" max="2" width="6.42578125" style="107" customWidth="1"/>
    <col min="3" max="3" width="6" style="107" customWidth="1"/>
    <col min="4" max="4" width="9" style="107" customWidth="1"/>
    <col min="5" max="5" width="8.28515625" style="107" customWidth="1"/>
    <col min="6" max="6" width="10.7109375" style="107" customWidth="1"/>
    <col min="7" max="7" width="13.28515625" style="107" customWidth="1"/>
    <col min="8" max="8" width="17" style="107" customWidth="1"/>
    <col min="9" max="9" width="14.28515625" style="107" customWidth="1"/>
    <col min="10" max="10" width="14.42578125" style="107" customWidth="1"/>
    <col min="11" max="11" width="9.5703125" style="107" customWidth="1"/>
    <col min="12" max="13" width="11.140625" style="107" customWidth="1"/>
    <col min="14" max="14" width="20.5703125" style="107" customWidth="1"/>
    <col min="15" max="15" width="16.85546875" style="107" customWidth="1"/>
    <col min="16" max="16" width="14.7109375" style="107" customWidth="1"/>
    <col min="17" max="17" width="17" style="107" customWidth="1"/>
    <col min="18" max="18" width="16.5703125" style="107" customWidth="1"/>
    <col min="19" max="19" width="17.42578125" style="107" customWidth="1"/>
    <col min="20" max="20" width="12" style="107" customWidth="1"/>
    <col min="21" max="21" width="4.5703125" style="107" customWidth="1"/>
    <col min="22" max="22" width="11.5703125" style="107" customWidth="1"/>
    <col min="23" max="23" width="8.140625" style="107" customWidth="1"/>
    <col min="24" max="24" width="7.5703125" style="107" customWidth="1"/>
    <col min="25" max="25" width="10.42578125" style="107" customWidth="1"/>
    <col min="26" max="26" width="9.85546875" style="107" customWidth="1"/>
    <col min="27" max="27" width="12.28515625" style="107" customWidth="1"/>
    <col min="28" max="28" width="15.140625" style="107" customWidth="1"/>
    <col min="29" max="29" width="19.5703125" style="107" customWidth="1"/>
    <col min="30" max="30" width="16.140625" style="107" customWidth="1"/>
    <col min="31" max="31" width="16.7109375" style="107" customWidth="1"/>
    <col min="32" max="32" width="11.5703125" style="107" customWidth="1"/>
    <col min="33" max="33" width="12.85546875" style="107" customWidth="1"/>
    <col min="34" max="34" width="13" style="107" customWidth="1"/>
    <col min="35" max="35" width="9" style="107" customWidth="1"/>
    <col min="36" max="36" width="16.7109375" style="107" customWidth="1"/>
    <col min="37" max="37" width="16.28515625" style="107" customWidth="1"/>
    <col min="38" max="38" width="7.7109375" style="107" bestFit="1" customWidth="1"/>
    <col min="39" max="39" width="8.140625" style="107" bestFit="1" customWidth="1"/>
    <col min="40" max="16384" width="11.42578125" style="107"/>
  </cols>
  <sheetData>
    <row r="1" spans="1:44" ht="66.75" x14ac:dyDescent="0.2">
      <c r="A1" s="94">
        <v>2017</v>
      </c>
      <c r="B1" s="95"/>
      <c r="C1" s="95"/>
      <c r="D1" s="96" t="s">
        <v>56</v>
      </c>
      <c r="E1" s="97" t="s">
        <v>57</v>
      </c>
      <c r="F1" s="97" t="s">
        <v>58</v>
      </c>
      <c r="G1" s="98" t="s">
        <v>213</v>
      </c>
      <c r="H1" s="98" t="s">
        <v>214</v>
      </c>
      <c r="I1" s="98" t="s">
        <v>215</v>
      </c>
      <c r="J1" s="98" t="s">
        <v>216</v>
      </c>
      <c r="K1" s="98" t="s">
        <v>217</v>
      </c>
      <c r="L1" s="98" t="s">
        <v>218</v>
      </c>
      <c r="M1" s="98" t="s">
        <v>219</v>
      </c>
      <c r="N1" s="98" t="s">
        <v>220</v>
      </c>
      <c r="O1" s="98" t="s">
        <v>221</v>
      </c>
      <c r="P1" s="99" t="s">
        <v>59</v>
      </c>
      <c r="Q1" s="99" t="s">
        <v>149</v>
      </c>
      <c r="R1" s="99" t="s">
        <v>148</v>
      </c>
      <c r="S1" s="99" t="s">
        <v>60</v>
      </c>
      <c r="T1" s="100" t="s">
        <v>41</v>
      </c>
      <c r="U1" s="101" t="s">
        <v>42</v>
      </c>
      <c r="V1" s="101" t="s">
        <v>43</v>
      </c>
      <c r="W1" s="101" t="s">
        <v>44</v>
      </c>
      <c r="X1" s="101" t="s">
        <v>45</v>
      </c>
      <c r="Y1" s="101" t="s">
        <v>46</v>
      </c>
      <c r="Z1" s="101" t="s">
        <v>47</v>
      </c>
      <c r="AA1" s="101" t="s">
        <v>48</v>
      </c>
      <c r="AB1" s="101" t="s">
        <v>49</v>
      </c>
      <c r="AC1" s="101" t="s">
        <v>50</v>
      </c>
      <c r="AD1" s="101" t="s">
        <v>51</v>
      </c>
      <c r="AE1" s="101" t="s">
        <v>52</v>
      </c>
      <c r="AF1" s="101" t="s">
        <v>53</v>
      </c>
      <c r="AG1" s="101" t="s">
        <v>54</v>
      </c>
      <c r="AH1" s="101" t="s">
        <v>55</v>
      </c>
      <c r="AI1" s="102" t="s">
        <v>40</v>
      </c>
      <c r="AJ1" s="103" t="s">
        <v>222</v>
      </c>
      <c r="AK1" s="104" t="s">
        <v>223</v>
      </c>
      <c r="AL1" s="105" t="s">
        <v>224</v>
      </c>
      <c r="AM1" s="106" t="s">
        <v>61</v>
      </c>
    </row>
    <row r="2" spans="1:44" x14ac:dyDescent="0.2">
      <c r="A2" s="108"/>
      <c r="B2" s="109"/>
      <c r="C2" s="109"/>
      <c r="D2" s="110" t="s">
        <v>225</v>
      </c>
      <c r="E2" s="111" t="s">
        <v>226</v>
      </c>
      <c r="F2" s="112" t="s">
        <v>226</v>
      </c>
      <c r="G2" s="112" t="s">
        <v>226</v>
      </c>
      <c r="H2" s="112" t="s">
        <v>226</v>
      </c>
      <c r="I2" s="111" t="s">
        <v>226</v>
      </c>
      <c r="J2" s="112" t="s">
        <v>226</v>
      </c>
      <c r="K2" s="112" t="s">
        <v>226</v>
      </c>
      <c r="L2" s="111" t="s">
        <v>226</v>
      </c>
      <c r="M2" s="111" t="s">
        <v>226</v>
      </c>
      <c r="N2" s="111" t="s">
        <v>226</v>
      </c>
      <c r="O2" s="111" t="s">
        <v>226</v>
      </c>
      <c r="P2" s="111" t="s">
        <v>226</v>
      </c>
      <c r="Q2" s="112" t="s">
        <v>226</v>
      </c>
      <c r="R2" s="112" t="s">
        <v>226</v>
      </c>
      <c r="S2" s="112" t="s">
        <v>226</v>
      </c>
      <c r="T2" s="113" t="s">
        <v>225</v>
      </c>
      <c r="U2" s="114" t="s">
        <v>226</v>
      </c>
      <c r="V2" s="115" t="s">
        <v>226</v>
      </c>
      <c r="W2" s="115" t="s">
        <v>226</v>
      </c>
      <c r="X2" s="114" t="s">
        <v>226</v>
      </c>
      <c r="Y2" s="115" t="s">
        <v>226</v>
      </c>
      <c r="Z2" s="115" t="s">
        <v>226</v>
      </c>
      <c r="AA2" s="115" t="s">
        <v>226</v>
      </c>
      <c r="AB2" s="115" t="s">
        <v>226</v>
      </c>
      <c r="AC2" s="115" t="s">
        <v>226</v>
      </c>
      <c r="AD2" s="114" t="s">
        <v>226</v>
      </c>
      <c r="AE2" s="115" t="s">
        <v>226</v>
      </c>
      <c r="AF2" s="115" t="s">
        <v>226</v>
      </c>
      <c r="AG2" s="115" t="s">
        <v>226</v>
      </c>
      <c r="AH2" s="115" t="s">
        <v>226</v>
      </c>
      <c r="AI2" s="116" t="s">
        <v>225</v>
      </c>
      <c r="AJ2" s="117" t="s">
        <v>226</v>
      </c>
      <c r="AK2" s="116" t="s">
        <v>225</v>
      </c>
      <c r="AL2" s="118"/>
    </row>
    <row r="3" spans="1:44" x14ac:dyDescent="0.2">
      <c r="A3" s="119" t="s">
        <v>227</v>
      </c>
      <c r="B3" s="109">
        <v>2017</v>
      </c>
      <c r="C3" s="109" t="s">
        <v>152</v>
      </c>
      <c r="D3" s="120">
        <v>0</v>
      </c>
      <c r="E3" s="121">
        <v>0</v>
      </c>
      <c r="F3" s="122">
        <v>0</v>
      </c>
      <c r="G3" s="122">
        <v>0</v>
      </c>
      <c r="H3" s="122">
        <v>0</v>
      </c>
      <c r="I3" s="121">
        <v>0</v>
      </c>
      <c r="J3" s="122">
        <v>0</v>
      </c>
      <c r="K3" s="122">
        <v>0</v>
      </c>
      <c r="L3" s="121">
        <v>0</v>
      </c>
      <c r="M3" s="121">
        <v>0</v>
      </c>
      <c r="N3" s="121">
        <v>0</v>
      </c>
      <c r="O3" s="121">
        <v>0</v>
      </c>
      <c r="P3" s="121">
        <v>0</v>
      </c>
      <c r="Q3" s="122">
        <v>0</v>
      </c>
      <c r="R3" s="122">
        <v>0</v>
      </c>
      <c r="S3" s="122">
        <v>0</v>
      </c>
      <c r="T3" s="123">
        <v>4.2</v>
      </c>
      <c r="U3" s="121">
        <v>0</v>
      </c>
      <c r="V3" s="122">
        <v>0</v>
      </c>
      <c r="W3" s="122">
        <v>0</v>
      </c>
      <c r="X3" s="121">
        <v>0</v>
      </c>
      <c r="Y3" s="122">
        <v>0</v>
      </c>
      <c r="Z3" s="122">
        <v>0</v>
      </c>
      <c r="AA3" s="122">
        <v>0</v>
      </c>
      <c r="AB3" s="122">
        <v>0</v>
      </c>
      <c r="AC3" s="124">
        <v>3.1</v>
      </c>
      <c r="AD3" s="125">
        <v>1.1000000000000001</v>
      </c>
      <c r="AE3" s="122">
        <v>0</v>
      </c>
      <c r="AF3" s="122">
        <v>0</v>
      </c>
      <c r="AG3" s="122">
        <v>0</v>
      </c>
      <c r="AH3" s="122">
        <v>0</v>
      </c>
      <c r="AI3" s="123">
        <v>4.2</v>
      </c>
      <c r="AJ3" s="122">
        <v>0</v>
      </c>
      <c r="AK3" s="123">
        <v>7.1</v>
      </c>
      <c r="AL3" s="126"/>
    </row>
    <row r="4" spans="1:44" x14ac:dyDescent="0.2">
      <c r="A4" s="119" t="s">
        <v>228</v>
      </c>
      <c r="B4" s="109">
        <v>2017</v>
      </c>
      <c r="C4" s="109" t="s">
        <v>152</v>
      </c>
      <c r="D4" s="127">
        <v>20.399999999999999</v>
      </c>
      <c r="E4" s="128">
        <v>0</v>
      </c>
      <c r="F4" s="129">
        <v>16.399999999999999</v>
      </c>
      <c r="G4" s="130">
        <v>0</v>
      </c>
      <c r="H4" s="130">
        <v>0</v>
      </c>
      <c r="I4" s="131">
        <v>10.8</v>
      </c>
      <c r="J4" s="129">
        <v>1.8</v>
      </c>
      <c r="K4" s="129">
        <v>0.8</v>
      </c>
      <c r="L4" s="128">
        <v>0</v>
      </c>
      <c r="M4" s="128">
        <v>0</v>
      </c>
      <c r="N4" s="132">
        <v>0</v>
      </c>
      <c r="O4" s="131">
        <v>3.1</v>
      </c>
      <c r="P4" s="128">
        <v>0</v>
      </c>
      <c r="Q4" s="129">
        <v>3.9</v>
      </c>
      <c r="R4" s="130">
        <v>0</v>
      </c>
      <c r="S4" s="130">
        <v>0</v>
      </c>
      <c r="T4" s="133">
        <v>44.1</v>
      </c>
      <c r="U4" s="134">
        <v>0</v>
      </c>
      <c r="V4" s="135">
        <v>6.5</v>
      </c>
      <c r="W4" s="136">
        <v>0</v>
      </c>
      <c r="X4" s="134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7">
        <v>25.4</v>
      </c>
      <c r="AE4" s="135">
        <v>9.1</v>
      </c>
      <c r="AF4" s="136">
        <v>0</v>
      </c>
      <c r="AG4" s="135">
        <v>3.1</v>
      </c>
      <c r="AH4" s="135">
        <v>5.7</v>
      </c>
      <c r="AI4" s="138">
        <v>70.2</v>
      </c>
      <c r="AJ4" s="139">
        <v>5.6</v>
      </c>
      <c r="AK4" s="138">
        <v>72.3</v>
      </c>
      <c r="AL4" s="139">
        <v>-1.6</v>
      </c>
    </row>
    <row r="5" spans="1:44" x14ac:dyDescent="0.2">
      <c r="A5" s="119" t="s">
        <v>229</v>
      </c>
      <c r="B5" s="109">
        <v>2017</v>
      </c>
      <c r="C5" s="109" t="s">
        <v>152</v>
      </c>
      <c r="D5" s="123">
        <v>11</v>
      </c>
      <c r="E5" s="121">
        <v>0</v>
      </c>
      <c r="F5" s="124">
        <v>10.8</v>
      </c>
      <c r="G5" s="124">
        <v>10.8</v>
      </c>
      <c r="H5" s="122">
        <v>0</v>
      </c>
      <c r="I5" s="121">
        <v>0</v>
      </c>
      <c r="J5" s="122">
        <v>0</v>
      </c>
      <c r="K5" s="122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4">
        <v>0.2</v>
      </c>
      <c r="R5" s="122">
        <v>0</v>
      </c>
      <c r="S5" s="122">
        <v>0</v>
      </c>
      <c r="T5" s="123">
        <v>3.6</v>
      </c>
      <c r="U5" s="121">
        <v>0</v>
      </c>
      <c r="V5" s="122">
        <v>0</v>
      </c>
      <c r="W5" s="122">
        <v>0</v>
      </c>
      <c r="X5" s="121">
        <v>0</v>
      </c>
      <c r="Y5" s="122">
        <v>0</v>
      </c>
      <c r="Z5" s="122">
        <v>0</v>
      </c>
      <c r="AA5" s="122">
        <v>0</v>
      </c>
      <c r="AB5" s="122">
        <v>0</v>
      </c>
      <c r="AC5" s="124">
        <v>3.5</v>
      </c>
      <c r="AD5" s="121">
        <v>0</v>
      </c>
      <c r="AE5" s="124">
        <v>0.1</v>
      </c>
      <c r="AF5" s="122">
        <v>0</v>
      </c>
      <c r="AG5" s="122">
        <v>0</v>
      </c>
      <c r="AH5" s="124">
        <v>0.1</v>
      </c>
      <c r="AI5" s="123">
        <v>14.7</v>
      </c>
      <c r="AJ5" s="124">
        <v>0.3</v>
      </c>
      <c r="AK5" s="123">
        <v>12.6</v>
      </c>
      <c r="AL5" s="124">
        <v>2.2000000000000002</v>
      </c>
    </row>
    <row r="6" spans="1:44" x14ac:dyDescent="0.2">
      <c r="A6" s="119" t="s">
        <v>230</v>
      </c>
      <c r="B6" s="109">
        <v>2017</v>
      </c>
      <c r="C6" s="109" t="s">
        <v>152</v>
      </c>
      <c r="D6" s="127">
        <v>65.900000000000006</v>
      </c>
      <c r="E6" s="131">
        <v>40</v>
      </c>
      <c r="F6" s="129">
        <v>23.6</v>
      </c>
      <c r="G6" s="130">
        <v>0</v>
      </c>
      <c r="H6" s="129">
        <v>2.2000000000000002</v>
      </c>
      <c r="I6" s="131">
        <v>21.3</v>
      </c>
      <c r="J6" s="130">
        <v>0</v>
      </c>
      <c r="K6" s="129">
        <v>0.1</v>
      </c>
      <c r="L6" s="128">
        <v>0</v>
      </c>
      <c r="M6" s="128">
        <v>0</v>
      </c>
      <c r="N6" s="128">
        <v>0</v>
      </c>
      <c r="O6" s="128">
        <v>0</v>
      </c>
      <c r="P6" s="131">
        <v>1.1000000000000001</v>
      </c>
      <c r="Q6" s="130">
        <v>0</v>
      </c>
      <c r="R6" s="129">
        <v>1</v>
      </c>
      <c r="S6" s="129">
        <v>0.2</v>
      </c>
      <c r="T6" s="133">
        <v>14.4</v>
      </c>
      <c r="U6" s="137">
        <v>2.8</v>
      </c>
      <c r="V6" s="135">
        <v>3.3</v>
      </c>
      <c r="W6" s="135">
        <v>2.9</v>
      </c>
      <c r="X6" s="134">
        <v>0</v>
      </c>
      <c r="Y6" s="135">
        <v>3.1</v>
      </c>
      <c r="Z6" s="135">
        <v>0.9</v>
      </c>
      <c r="AA6" s="136">
        <v>0</v>
      </c>
      <c r="AB6" s="135">
        <v>1.1000000000000001</v>
      </c>
      <c r="AC6" s="136">
        <v>0</v>
      </c>
      <c r="AD6" s="137">
        <v>0.2</v>
      </c>
      <c r="AE6" s="136">
        <v>0</v>
      </c>
      <c r="AF6" s="136">
        <v>0</v>
      </c>
      <c r="AG6" s="135">
        <v>0</v>
      </c>
      <c r="AH6" s="136">
        <v>0</v>
      </c>
      <c r="AI6" s="138">
        <v>80.3</v>
      </c>
      <c r="AJ6" s="139">
        <v>1.5</v>
      </c>
      <c r="AK6" s="138">
        <v>84.8</v>
      </c>
      <c r="AL6" s="139">
        <v>0.8</v>
      </c>
    </row>
    <row r="7" spans="1:44" x14ac:dyDescent="0.2">
      <c r="A7" s="119" t="s">
        <v>231</v>
      </c>
      <c r="B7" s="109">
        <v>2017</v>
      </c>
      <c r="C7" s="109" t="s">
        <v>152</v>
      </c>
      <c r="D7" s="123">
        <v>34.799999999999997</v>
      </c>
      <c r="E7" s="125">
        <v>14.7</v>
      </c>
      <c r="F7" s="124">
        <v>19.5</v>
      </c>
      <c r="G7" s="124">
        <v>17.600000000000001</v>
      </c>
      <c r="H7" s="122">
        <v>0</v>
      </c>
      <c r="I7" s="125">
        <v>1.5</v>
      </c>
      <c r="J7" s="124">
        <v>0.3</v>
      </c>
      <c r="K7" s="122">
        <v>0</v>
      </c>
      <c r="L7" s="121">
        <v>0</v>
      </c>
      <c r="M7" s="121">
        <v>0</v>
      </c>
      <c r="N7" s="121">
        <v>0</v>
      </c>
      <c r="O7" s="121">
        <v>0</v>
      </c>
      <c r="P7" s="125">
        <v>0.6</v>
      </c>
      <c r="Q7" s="124">
        <v>0.1</v>
      </c>
      <c r="R7" s="122">
        <v>0</v>
      </c>
      <c r="S7" s="122">
        <v>0</v>
      </c>
      <c r="T7" s="123">
        <v>6</v>
      </c>
      <c r="U7" s="121">
        <v>0</v>
      </c>
      <c r="V7" s="124">
        <v>1.5</v>
      </c>
      <c r="W7" s="124">
        <v>1.4</v>
      </c>
      <c r="X7" s="121">
        <v>0</v>
      </c>
      <c r="Y7" s="124">
        <v>0.3</v>
      </c>
      <c r="Z7" s="122">
        <v>0</v>
      </c>
      <c r="AA7" s="122">
        <v>0</v>
      </c>
      <c r="AB7" s="122">
        <v>0</v>
      </c>
      <c r="AC7" s="124">
        <v>1.3</v>
      </c>
      <c r="AD7" s="125">
        <v>1.2</v>
      </c>
      <c r="AE7" s="124">
        <v>0.2</v>
      </c>
      <c r="AF7" s="122">
        <v>0</v>
      </c>
      <c r="AG7" s="122">
        <v>0</v>
      </c>
      <c r="AH7" s="122">
        <v>0</v>
      </c>
      <c r="AI7" s="123">
        <v>40.799999999999997</v>
      </c>
      <c r="AJ7" s="124">
        <v>1</v>
      </c>
      <c r="AK7" s="123">
        <v>34.4</v>
      </c>
      <c r="AL7" s="124">
        <v>1.9</v>
      </c>
    </row>
    <row r="8" spans="1:44" x14ac:dyDescent="0.2">
      <c r="A8" s="119" t="s">
        <v>232</v>
      </c>
      <c r="B8" s="109">
        <v>2017</v>
      </c>
      <c r="C8" s="109" t="s">
        <v>152</v>
      </c>
      <c r="D8" s="127">
        <v>21.7</v>
      </c>
      <c r="E8" s="131">
        <v>19.5</v>
      </c>
      <c r="F8" s="129">
        <v>0.8</v>
      </c>
      <c r="G8" s="130">
        <v>0</v>
      </c>
      <c r="H8" s="130">
        <v>0</v>
      </c>
      <c r="I8" s="131">
        <v>0.8</v>
      </c>
      <c r="J8" s="130">
        <v>0</v>
      </c>
      <c r="K8" s="129">
        <v>0</v>
      </c>
      <c r="L8" s="128">
        <v>0</v>
      </c>
      <c r="M8" s="128">
        <v>0</v>
      </c>
      <c r="N8" s="128">
        <v>0</v>
      </c>
      <c r="O8" s="128">
        <v>0</v>
      </c>
      <c r="P8" s="128">
        <v>0</v>
      </c>
      <c r="Q8" s="130">
        <v>0</v>
      </c>
      <c r="R8" s="129">
        <v>1.4</v>
      </c>
      <c r="S8" s="130">
        <v>0</v>
      </c>
      <c r="T8" s="133">
        <v>39.799999999999997</v>
      </c>
      <c r="U8" s="134">
        <v>0</v>
      </c>
      <c r="V8" s="135">
        <v>0.1</v>
      </c>
      <c r="W8" s="135">
        <v>1.1000000000000001</v>
      </c>
      <c r="X8" s="134">
        <v>0</v>
      </c>
      <c r="Y8" s="135">
        <v>0.2</v>
      </c>
      <c r="Z8" s="135">
        <v>0.4</v>
      </c>
      <c r="AA8" s="136">
        <v>0</v>
      </c>
      <c r="AB8" s="135">
        <v>1.3</v>
      </c>
      <c r="AC8" s="135">
        <v>20.7</v>
      </c>
      <c r="AD8" s="137">
        <v>15.9</v>
      </c>
      <c r="AE8" s="136">
        <v>0</v>
      </c>
      <c r="AF8" s="136">
        <v>0</v>
      </c>
      <c r="AG8" s="136">
        <v>0</v>
      </c>
      <c r="AH8" s="136">
        <v>0</v>
      </c>
      <c r="AI8" s="138">
        <v>61.5</v>
      </c>
      <c r="AJ8" s="139">
        <v>4.2</v>
      </c>
      <c r="AK8" s="138">
        <v>63.4</v>
      </c>
      <c r="AL8" s="139">
        <v>0.4</v>
      </c>
    </row>
    <row r="9" spans="1:44" x14ac:dyDescent="0.2">
      <c r="A9" s="119" t="s">
        <v>233</v>
      </c>
      <c r="B9" s="109">
        <v>2017</v>
      </c>
      <c r="C9" s="109" t="s">
        <v>152</v>
      </c>
      <c r="D9" s="123">
        <v>4.5999999999999996</v>
      </c>
      <c r="E9" s="121">
        <v>0</v>
      </c>
      <c r="F9" s="124">
        <v>4.5999999999999996</v>
      </c>
      <c r="G9" s="122">
        <v>0</v>
      </c>
      <c r="H9" s="122">
        <v>0</v>
      </c>
      <c r="I9" s="121">
        <v>0</v>
      </c>
      <c r="J9" s="122">
        <v>0</v>
      </c>
      <c r="K9" s="124">
        <v>4.5999999999999996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2">
        <v>0</v>
      </c>
      <c r="R9" s="122">
        <v>0</v>
      </c>
      <c r="S9" s="122">
        <v>0</v>
      </c>
      <c r="T9" s="123">
        <v>0.2</v>
      </c>
      <c r="U9" s="121">
        <v>0</v>
      </c>
      <c r="V9" s="124">
        <v>0.2</v>
      </c>
      <c r="W9" s="122">
        <v>0</v>
      </c>
      <c r="X9" s="121">
        <v>0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1">
        <v>0</v>
      </c>
      <c r="AE9" s="122">
        <v>0</v>
      </c>
      <c r="AF9" s="122">
        <v>0</v>
      </c>
      <c r="AG9" s="122">
        <v>0</v>
      </c>
      <c r="AH9" s="122">
        <v>0</v>
      </c>
      <c r="AI9" s="123">
        <v>4.8</v>
      </c>
      <c r="AJ9" s="122">
        <v>0</v>
      </c>
      <c r="AK9" s="123">
        <v>4.8</v>
      </c>
      <c r="AL9" s="124">
        <v>1.6</v>
      </c>
      <c r="AN9" s="140"/>
      <c r="AO9" s="140"/>
      <c r="AP9" s="140"/>
      <c r="AQ9" s="140"/>
      <c r="AR9" s="140"/>
    </row>
    <row r="10" spans="1:44" x14ac:dyDescent="0.2">
      <c r="A10" s="119" t="s">
        <v>234</v>
      </c>
      <c r="B10" s="109">
        <v>2017</v>
      </c>
      <c r="C10" s="109" t="s">
        <v>152</v>
      </c>
      <c r="D10" s="127">
        <v>71.900000000000006</v>
      </c>
      <c r="E10" s="131">
        <v>26.8</v>
      </c>
      <c r="F10" s="129">
        <v>43.9</v>
      </c>
      <c r="G10" s="129">
        <v>33.5</v>
      </c>
      <c r="H10" s="129">
        <v>1.9</v>
      </c>
      <c r="I10" s="131">
        <v>4.2</v>
      </c>
      <c r="J10" s="129">
        <v>4.0999999999999996</v>
      </c>
      <c r="K10" s="129">
        <v>0</v>
      </c>
      <c r="L10" s="128">
        <v>0</v>
      </c>
      <c r="M10" s="128">
        <v>0</v>
      </c>
      <c r="N10" s="128">
        <v>0</v>
      </c>
      <c r="O10" s="131">
        <v>0.2</v>
      </c>
      <c r="P10" s="131">
        <v>1.2</v>
      </c>
      <c r="Q10" s="130">
        <v>0</v>
      </c>
      <c r="R10" s="130">
        <v>0</v>
      </c>
      <c r="S10" s="130">
        <v>0</v>
      </c>
      <c r="T10" s="133">
        <v>9</v>
      </c>
      <c r="U10" s="134">
        <v>0</v>
      </c>
      <c r="V10" s="135">
        <v>0.6</v>
      </c>
      <c r="W10" s="135">
        <v>2.1</v>
      </c>
      <c r="X10" s="134">
        <v>0</v>
      </c>
      <c r="Y10" s="135">
        <v>2</v>
      </c>
      <c r="Z10" s="135">
        <v>2.4</v>
      </c>
      <c r="AA10" s="136">
        <v>0</v>
      </c>
      <c r="AB10" s="136">
        <v>0</v>
      </c>
      <c r="AC10" s="135">
        <v>0.8</v>
      </c>
      <c r="AD10" s="137">
        <v>1</v>
      </c>
      <c r="AE10" s="136">
        <v>0</v>
      </c>
      <c r="AF10" s="136">
        <v>0</v>
      </c>
      <c r="AG10" s="136">
        <v>0</v>
      </c>
      <c r="AH10" s="136">
        <v>0</v>
      </c>
      <c r="AI10" s="138">
        <v>80.900000000000006</v>
      </c>
      <c r="AJ10" s="139">
        <v>1.5</v>
      </c>
      <c r="AK10" s="138">
        <v>66.3</v>
      </c>
      <c r="AL10" s="139">
        <v>2.2000000000000002</v>
      </c>
    </row>
    <row r="11" spans="1:44" x14ac:dyDescent="0.2">
      <c r="A11" s="119" t="s">
        <v>235</v>
      </c>
      <c r="B11" s="109">
        <v>2017</v>
      </c>
      <c r="C11" s="109" t="s">
        <v>152</v>
      </c>
      <c r="D11" s="123">
        <v>396.4</v>
      </c>
      <c r="E11" s="125">
        <v>72.2</v>
      </c>
      <c r="F11" s="124">
        <v>312.89999999999998</v>
      </c>
      <c r="G11" s="124">
        <v>137.30000000000001</v>
      </c>
      <c r="H11" s="122">
        <v>0</v>
      </c>
      <c r="I11" s="125">
        <v>82.9</v>
      </c>
      <c r="J11" s="124">
        <v>84.2</v>
      </c>
      <c r="K11" s="124">
        <v>4.3</v>
      </c>
      <c r="L11" s="121">
        <v>0</v>
      </c>
      <c r="M11" s="121">
        <v>0</v>
      </c>
      <c r="N11" s="125">
        <v>4.2</v>
      </c>
      <c r="O11" s="121">
        <v>0</v>
      </c>
      <c r="P11" s="125">
        <v>5.9</v>
      </c>
      <c r="Q11" s="124">
        <v>0.5</v>
      </c>
      <c r="R11" s="124">
        <v>5</v>
      </c>
      <c r="S11" s="122">
        <v>0</v>
      </c>
      <c r="T11" s="123">
        <v>205.9</v>
      </c>
      <c r="U11" s="125">
        <v>17.399999999999999</v>
      </c>
      <c r="V11" s="124">
        <v>86</v>
      </c>
      <c r="W11" s="124">
        <v>35.5</v>
      </c>
      <c r="X11" s="121">
        <v>0</v>
      </c>
      <c r="Y11" s="124">
        <v>40.6</v>
      </c>
      <c r="Z11" s="122">
        <v>0</v>
      </c>
      <c r="AA11" s="124">
        <v>0.2</v>
      </c>
      <c r="AB11" s="124">
        <v>5.4</v>
      </c>
      <c r="AC11" s="124">
        <v>0.6</v>
      </c>
      <c r="AD11" s="125">
        <v>18.899999999999999</v>
      </c>
      <c r="AE11" s="122">
        <v>0</v>
      </c>
      <c r="AF11" s="122">
        <v>0</v>
      </c>
      <c r="AG11" s="124">
        <v>1.3</v>
      </c>
      <c r="AH11" s="122">
        <v>0</v>
      </c>
      <c r="AI11" s="123">
        <v>602.29999999999995</v>
      </c>
      <c r="AJ11" s="124">
        <v>8.3000000000000007</v>
      </c>
      <c r="AK11" s="123">
        <v>538.70000000000005</v>
      </c>
      <c r="AL11" s="124">
        <v>-1.8</v>
      </c>
      <c r="AN11" s="140"/>
    </row>
    <row r="12" spans="1:44" x14ac:dyDescent="0.2">
      <c r="A12" s="119" t="s">
        <v>236</v>
      </c>
      <c r="B12" s="109">
        <v>2017</v>
      </c>
      <c r="C12" s="109" t="s">
        <v>152</v>
      </c>
      <c r="D12" s="127">
        <v>8.8000000000000007</v>
      </c>
      <c r="E12" s="128">
        <v>0</v>
      </c>
      <c r="F12" s="129">
        <v>8.8000000000000007</v>
      </c>
      <c r="G12" s="130">
        <v>0</v>
      </c>
      <c r="H12" s="130">
        <v>0</v>
      </c>
      <c r="I12" s="131">
        <v>2.2000000000000002</v>
      </c>
      <c r="J12" s="129">
        <v>6.5</v>
      </c>
      <c r="K12" s="129">
        <v>0.1</v>
      </c>
      <c r="L12" s="128">
        <v>0</v>
      </c>
      <c r="M12" s="128">
        <v>0</v>
      </c>
      <c r="N12" s="128">
        <v>0</v>
      </c>
      <c r="O12" s="128">
        <v>0</v>
      </c>
      <c r="P12" s="128">
        <v>0</v>
      </c>
      <c r="Q12" s="130">
        <v>0</v>
      </c>
      <c r="R12" s="130">
        <v>0</v>
      </c>
      <c r="S12" s="130">
        <v>0</v>
      </c>
      <c r="T12" s="133">
        <v>20.6</v>
      </c>
      <c r="U12" s="137">
        <v>5.2</v>
      </c>
      <c r="V12" s="135">
        <v>9.6</v>
      </c>
      <c r="W12" s="135">
        <v>0.8</v>
      </c>
      <c r="X12" s="134">
        <v>0</v>
      </c>
      <c r="Y12" s="135">
        <v>3.2</v>
      </c>
      <c r="Z12" s="135">
        <v>0.5</v>
      </c>
      <c r="AA12" s="136">
        <v>0</v>
      </c>
      <c r="AB12" s="135">
        <v>1.4</v>
      </c>
      <c r="AC12" s="136">
        <v>0</v>
      </c>
      <c r="AD12" s="137">
        <v>0</v>
      </c>
      <c r="AE12" s="136">
        <v>0</v>
      </c>
      <c r="AF12" s="136">
        <v>0</v>
      </c>
      <c r="AG12" s="136">
        <v>0</v>
      </c>
      <c r="AH12" s="136">
        <v>0</v>
      </c>
      <c r="AI12" s="138">
        <v>29.4</v>
      </c>
      <c r="AJ12" s="141">
        <v>0</v>
      </c>
      <c r="AK12" s="138">
        <v>34.1</v>
      </c>
      <c r="AL12" s="139">
        <v>-1.6</v>
      </c>
    </row>
    <row r="13" spans="1:44" x14ac:dyDescent="0.2">
      <c r="A13" s="119" t="s">
        <v>237</v>
      </c>
      <c r="B13" s="109">
        <v>2017</v>
      </c>
      <c r="C13" s="109" t="s">
        <v>152</v>
      </c>
      <c r="D13" s="123">
        <v>9.6999999999999993</v>
      </c>
      <c r="E13" s="121">
        <v>0</v>
      </c>
      <c r="F13" s="124">
        <v>9.6999999999999993</v>
      </c>
      <c r="G13" s="122">
        <v>0</v>
      </c>
      <c r="H13" s="122">
        <v>0</v>
      </c>
      <c r="I13" s="121">
        <v>0</v>
      </c>
      <c r="J13" s="122">
        <v>0</v>
      </c>
      <c r="K13" s="122">
        <v>0</v>
      </c>
      <c r="L13" s="125">
        <v>9.6999999999999993</v>
      </c>
      <c r="M13" s="121">
        <v>0</v>
      </c>
      <c r="N13" s="121">
        <v>0</v>
      </c>
      <c r="O13" s="121">
        <v>0</v>
      </c>
      <c r="P13" s="121">
        <v>0</v>
      </c>
      <c r="Q13" s="122">
        <v>0</v>
      </c>
      <c r="R13" s="122">
        <v>0</v>
      </c>
      <c r="S13" s="122">
        <v>0</v>
      </c>
      <c r="T13" s="123">
        <v>1.6</v>
      </c>
      <c r="U13" s="121">
        <v>0</v>
      </c>
      <c r="V13" s="124">
        <v>0.7</v>
      </c>
      <c r="W13" s="124">
        <v>0</v>
      </c>
      <c r="X13" s="121">
        <v>0</v>
      </c>
      <c r="Y13" s="124">
        <v>0.8</v>
      </c>
      <c r="Z13" s="124">
        <v>0</v>
      </c>
      <c r="AA13" s="122">
        <v>0</v>
      </c>
      <c r="AB13" s="124">
        <v>0.1</v>
      </c>
      <c r="AC13" s="122">
        <v>0</v>
      </c>
      <c r="AD13" s="125">
        <v>0</v>
      </c>
      <c r="AE13" s="122">
        <v>0</v>
      </c>
      <c r="AF13" s="122">
        <v>0</v>
      </c>
      <c r="AG13" s="122">
        <v>0</v>
      </c>
      <c r="AH13" s="122">
        <v>0</v>
      </c>
      <c r="AI13" s="123">
        <v>11.2</v>
      </c>
      <c r="AJ13" s="122">
        <v>0</v>
      </c>
      <c r="AK13" s="123">
        <v>8.5</v>
      </c>
      <c r="AL13" s="124">
        <v>1.4</v>
      </c>
    </row>
    <row r="14" spans="1:44" x14ac:dyDescent="0.2">
      <c r="A14" s="119" t="s">
        <v>238</v>
      </c>
      <c r="B14" s="109">
        <v>2017</v>
      </c>
      <c r="C14" s="109" t="s">
        <v>152</v>
      </c>
      <c r="D14" s="127">
        <v>178.1</v>
      </c>
      <c r="E14" s="131">
        <v>55.6</v>
      </c>
      <c r="F14" s="129">
        <v>117.4</v>
      </c>
      <c r="G14" s="129">
        <v>4.7</v>
      </c>
      <c r="H14" s="130">
        <v>0</v>
      </c>
      <c r="I14" s="131">
        <v>61.2</v>
      </c>
      <c r="J14" s="129">
        <v>40.5</v>
      </c>
      <c r="K14" s="129">
        <v>11</v>
      </c>
      <c r="L14" s="128">
        <v>0</v>
      </c>
      <c r="M14" s="128">
        <v>0</v>
      </c>
      <c r="N14" s="128">
        <v>0</v>
      </c>
      <c r="O14" s="128">
        <v>0</v>
      </c>
      <c r="P14" s="131">
        <v>1.9</v>
      </c>
      <c r="Q14" s="129">
        <v>0.4</v>
      </c>
      <c r="R14" s="129">
        <v>2.6</v>
      </c>
      <c r="S14" s="129">
        <v>0.2</v>
      </c>
      <c r="T14" s="133">
        <v>84.5</v>
      </c>
      <c r="U14" s="134">
        <v>0</v>
      </c>
      <c r="V14" s="135">
        <v>47.9</v>
      </c>
      <c r="W14" s="135">
        <v>8.4</v>
      </c>
      <c r="X14" s="137">
        <v>5.3</v>
      </c>
      <c r="Y14" s="135">
        <v>2.5</v>
      </c>
      <c r="Z14" s="135">
        <v>1.1000000000000001</v>
      </c>
      <c r="AA14" s="136">
        <v>0</v>
      </c>
      <c r="AB14" s="135">
        <v>0.9</v>
      </c>
      <c r="AC14" s="135">
        <v>10.6</v>
      </c>
      <c r="AD14" s="137">
        <v>5.7</v>
      </c>
      <c r="AE14" s="135">
        <v>2.1</v>
      </c>
      <c r="AF14" s="136">
        <v>0</v>
      </c>
      <c r="AG14" s="135">
        <v>0</v>
      </c>
      <c r="AH14" s="136">
        <v>0</v>
      </c>
      <c r="AI14" s="138">
        <v>262.60000000000002</v>
      </c>
      <c r="AJ14" s="139">
        <v>3.7</v>
      </c>
      <c r="AK14" s="138">
        <v>268.10000000000002</v>
      </c>
      <c r="AL14" s="139">
        <v>1.1000000000000001</v>
      </c>
    </row>
    <row r="15" spans="1:44" x14ac:dyDescent="0.2">
      <c r="A15" s="119" t="s">
        <v>239</v>
      </c>
      <c r="B15" s="109">
        <v>2017</v>
      </c>
      <c r="C15" s="109" t="s">
        <v>152</v>
      </c>
      <c r="D15" s="123">
        <v>34.700000000000003</v>
      </c>
      <c r="E15" s="125">
        <v>21.6</v>
      </c>
      <c r="F15" s="124">
        <v>12.2</v>
      </c>
      <c r="G15" s="122">
        <v>0</v>
      </c>
      <c r="H15" s="122">
        <v>0</v>
      </c>
      <c r="I15" s="125">
        <v>3.2</v>
      </c>
      <c r="J15" s="124">
        <v>6.1</v>
      </c>
      <c r="K15" s="124">
        <v>0.2</v>
      </c>
      <c r="L15" s="121">
        <v>0</v>
      </c>
      <c r="M15" s="125">
        <v>2.7</v>
      </c>
      <c r="N15" s="121">
        <v>0</v>
      </c>
      <c r="O15" s="121">
        <v>0</v>
      </c>
      <c r="P15" s="121">
        <v>0</v>
      </c>
      <c r="Q15" s="122">
        <v>0</v>
      </c>
      <c r="R15" s="122">
        <v>0</v>
      </c>
      <c r="S15" s="124">
        <v>0.9</v>
      </c>
      <c r="T15" s="123">
        <v>30.4</v>
      </c>
      <c r="U15" s="121">
        <v>0</v>
      </c>
      <c r="V15" s="124">
        <v>4.8</v>
      </c>
      <c r="W15" s="124">
        <v>0</v>
      </c>
      <c r="X15" s="121">
        <v>0</v>
      </c>
      <c r="Y15" s="124">
        <v>10.9</v>
      </c>
      <c r="Z15" s="122">
        <v>0</v>
      </c>
      <c r="AA15" s="122">
        <v>0</v>
      </c>
      <c r="AB15" s="122">
        <v>0</v>
      </c>
      <c r="AC15" s="122">
        <v>0</v>
      </c>
      <c r="AD15" s="125">
        <v>14.6</v>
      </c>
      <c r="AE15" s="122">
        <v>0</v>
      </c>
      <c r="AF15" s="122">
        <v>0</v>
      </c>
      <c r="AG15" s="122">
        <v>0</v>
      </c>
      <c r="AH15" s="122">
        <v>0</v>
      </c>
      <c r="AI15" s="123">
        <v>65.099999999999994</v>
      </c>
      <c r="AJ15" s="122">
        <v>0</v>
      </c>
      <c r="AK15" s="123">
        <v>85.5</v>
      </c>
      <c r="AL15" s="124">
        <v>0.6</v>
      </c>
    </row>
    <row r="16" spans="1:44" x14ac:dyDescent="0.2">
      <c r="A16" s="119" t="s">
        <v>240</v>
      </c>
      <c r="B16" s="109">
        <v>2017</v>
      </c>
      <c r="C16" s="109" t="s">
        <v>152</v>
      </c>
      <c r="D16" s="127">
        <v>440.5</v>
      </c>
      <c r="E16" s="131">
        <v>379.1</v>
      </c>
      <c r="F16" s="129">
        <v>54.4</v>
      </c>
      <c r="G16" s="130">
        <v>0</v>
      </c>
      <c r="H16" s="130">
        <v>0</v>
      </c>
      <c r="I16" s="131">
        <v>40.9</v>
      </c>
      <c r="J16" s="129">
        <v>9.6999999999999993</v>
      </c>
      <c r="K16" s="129">
        <v>3.8</v>
      </c>
      <c r="L16" s="128">
        <v>0</v>
      </c>
      <c r="M16" s="128">
        <v>0</v>
      </c>
      <c r="N16" s="128">
        <v>0</v>
      </c>
      <c r="O16" s="128">
        <v>0</v>
      </c>
      <c r="P16" s="128">
        <v>0</v>
      </c>
      <c r="Q16" s="129">
        <v>4.9000000000000004</v>
      </c>
      <c r="R16" s="129">
        <v>2.1</v>
      </c>
      <c r="S16" s="130">
        <v>0</v>
      </c>
      <c r="T16" s="133">
        <v>88.9</v>
      </c>
      <c r="U16" s="134">
        <v>0</v>
      </c>
      <c r="V16" s="135">
        <v>24</v>
      </c>
      <c r="W16" s="135">
        <v>9.1999999999999993</v>
      </c>
      <c r="X16" s="134">
        <v>0</v>
      </c>
      <c r="Y16" s="135">
        <v>2.8</v>
      </c>
      <c r="Z16" s="135">
        <v>2.2000000000000002</v>
      </c>
      <c r="AA16" s="136">
        <v>0</v>
      </c>
      <c r="AB16" s="135">
        <v>2.1</v>
      </c>
      <c r="AC16" s="136">
        <v>0</v>
      </c>
      <c r="AD16" s="137">
        <v>47.2</v>
      </c>
      <c r="AE16" s="135">
        <v>1</v>
      </c>
      <c r="AF16" s="135">
        <v>0.6</v>
      </c>
      <c r="AG16" s="136">
        <v>0</v>
      </c>
      <c r="AH16" s="136">
        <v>0</v>
      </c>
      <c r="AI16" s="138">
        <v>529.4</v>
      </c>
      <c r="AJ16" s="139">
        <v>7.1</v>
      </c>
      <c r="AK16" s="138">
        <v>482</v>
      </c>
      <c r="AL16" s="139">
        <v>-0.2</v>
      </c>
    </row>
    <row r="17" spans="1:38" x14ac:dyDescent="0.2">
      <c r="A17" s="119" t="s">
        <v>241</v>
      </c>
      <c r="B17" s="109">
        <v>2017</v>
      </c>
      <c r="C17" s="109" t="s">
        <v>152</v>
      </c>
      <c r="D17" s="123">
        <v>232.9</v>
      </c>
      <c r="E17" s="125">
        <v>65.599999999999994</v>
      </c>
      <c r="F17" s="124">
        <v>167.3</v>
      </c>
      <c r="G17" s="122">
        <v>0</v>
      </c>
      <c r="H17" s="122">
        <v>0</v>
      </c>
      <c r="I17" s="125">
        <v>143.6</v>
      </c>
      <c r="J17" s="124">
        <v>23.7</v>
      </c>
      <c r="K17" s="124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2">
        <v>0</v>
      </c>
      <c r="R17" s="122">
        <v>0</v>
      </c>
      <c r="S17" s="122">
        <v>0</v>
      </c>
      <c r="T17" s="123">
        <v>79.400000000000006</v>
      </c>
      <c r="U17" s="125">
        <v>16</v>
      </c>
      <c r="V17" s="124">
        <v>27.9</v>
      </c>
      <c r="W17" s="124">
        <v>10.5</v>
      </c>
      <c r="X17" s="121">
        <v>0</v>
      </c>
      <c r="Y17" s="124">
        <v>17.3</v>
      </c>
      <c r="Z17" s="124">
        <v>0.1</v>
      </c>
      <c r="AA17" s="122">
        <v>0</v>
      </c>
      <c r="AB17" s="124">
        <v>0.1</v>
      </c>
      <c r="AC17" s="124">
        <v>2.9</v>
      </c>
      <c r="AD17" s="125">
        <v>4.5999999999999996</v>
      </c>
      <c r="AE17" s="122">
        <v>0</v>
      </c>
      <c r="AF17" s="122">
        <v>0</v>
      </c>
      <c r="AG17" s="122">
        <v>0</v>
      </c>
      <c r="AH17" s="122">
        <v>0</v>
      </c>
      <c r="AI17" s="123">
        <v>312.3</v>
      </c>
      <c r="AJ17" s="124">
        <v>3.9</v>
      </c>
      <c r="AK17" s="123">
        <v>324.8</v>
      </c>
      <c r="AL17" s="124">
        <v>-2.8</v>
      </c>
    </row>
    <row r="18" spans="1:38" x14ac:dyDescent="0.2">
      <c r="A18" s="119" t="s">
        <v>242</v>
      </c>
      <c r="B18" s="109">
        <v>2017</v>
      </c>
      <c r="C18" s="109" t="s">
        <v>152</v>
      </c>
      <c r="D18" s="127">
        <v>31.9</v>
      </c>
      <c r="E18" s="128">
        <v>0</v>
      </c>
      <c r="F18" s="129">
        <v>31.8</v>
      </c>
      <c r="G18" s="129">
        <v>16.399999999999999</v>
      </c>
      <c r="H18" s="130">
        <v>0</v>
      </c>
      <c r="I18" s="131">
        <v>15.4</v>
      </c>
      <c r="J18" s="130">
        <v>0</v>
      </c>
      <c r="K18" s="130">
        <v>0</v>
      </c>
      <c r="L18" s="128">
        <v>0</v>
      </c>
      <c r="M18" s="128">
        <v>0</v>
      </c>
      <c r="N18" s="128">
        <v>0</v>
      </c>
      <c r="O18" s="128">
        <v>0</v>
      </c>
      <c r="P18" s="128">
        <v>0</v>
      </c>
      <c r="Q18" s="129">
        <v>0.1</v>
      </c>
      <c r="R18" s="130">
        <v>0</v>
      </c>
      <c r="S18" s="130">
        <v>0</v>
      </c>
      <c r="T18" s="133">
        <v>13.9</v>
      </c>
      <c r="U18" s="134">
        <v>0</v>
      </c>
      <c r="V18" s="135">
        <v>4.8</v>
      </c>
      <c r="W18" s="135">
        <v>3.7</v>
      </c>
      <c r="X18" s="134">
        <v>0</v>
      </c>
      <c r="Y18" s="135">
        <v>0.3</v>
      </c>
      <c r="Z18" s="136">
        <v>0</v>
      </c>
      <c r="AA18" s="136">
        <v>0</v>
      </c>
      <c r="AB18" s="136">
        <v>0</v>
      </c>
      <c r="AC18" s="135">
        <v>3</v>
      </c>
      <c r="AD18" s="137">
        <v>0.6</v>
      </c>
      <c r="AE18" s="135">
        <v>0.4</v>
      </c>
      <c r="AF18" s="136">
        <v>0</v>
      </c>
      <c r="AG18" s="135">
        <v>1.2</v>
      </c>
      <c r="AH18" s="136">
        <v>0</v>
      </c>
      <c r="AI18" s="138">
        <v>45.8</v>
      </c>
      <c r="AJ18" s="139">
        <v>0.1</v>
      </c>
      <c r="AK18" s="138">
        <v>51.9</v>
      </c>
      <c r="AL18" s="139">
        <v>1.2</v>
      </c>
    </row>
    <row r="19" spans="1:38" x14ac:dyDescent="0.2">
      <c r="A19" s="119" t="s">
        <v>243</v>
      </c>
      <c r="B19" s="109">
        <v>2017</v>
      </c>
      <c r="C19" s="109" t="s">
        <v>152</v>
      </c>
      <c r="D19" s="123">
        <v>4</v>
      </c>
      <c r="E19" s="121">
        <v>0</v>
      </c>
      <c r="F19" s="124">
        <v>4</v>
      </c>
      <c r="G19" s="122">
        <v>0</v>
      </c>
      <c r="H19" s="122">
        <v>0</v>
      </c>
      <c r="I19" s="125">
        <v>2.8</v>
      </c>
      <c r="J19" s="124">
        <v>1.3</v>
      </c>
      <c r="K19" s="122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2">
        <v>0</v>
      </c>
      <c r="R19" s="122">
        <v>0</v>
      </c>
      <c r="S19" s="122">
        <v>0</v>
      </c>
      <c r="T19" s="123">
        <v>6.7</v>
      </c>
      <c r="U19" s="121">
        <v>0</v>
      </c>
      <c r="V19" s="124">
        <v>1.2</v>
      </c>
      <c r="W19" s="124">
        <v>0.1</v>
      </c>
      <c r="X19" s="121">
        <v>0</v>
      </c>
      <c r="Y19" s="124">
        <v>0.2</v>
      </c>
      <c r="Z19" s="124">
        <v>0.3</v>
      </c>
      <c r="AA19" s="122">
        <v>0</v>
      </c>
      <c r="AB19" s="124">
        <v>0</v>
      </c>
      <c r="AC19" s="124">
        <v>3</v>
      </c>
      <c r="AD19" s="125">
        <v>1.5</v>
      </c>
      <c r="AE19" s="124">
        <v>0.5</v>
      </c>
      <c r="AF19" s="122">
        <v>0</v>
      </c>
      <c r="AG19" s="124">
        <v>0</v>
      </c>
      <c r="AH19" s="122">
        <v>0</v>
      </c>
      <c r="AI19" s="123">
        <v>10.8</v>
      </c>
      <c r="AJ19" s="124">
        <v>0.3</v>
      </c>
      <c r="AK19" s="123">
        <v>17.899999999999999</v>
      </c>
      <c r="AL19" s="124">
        <v>3.4</v>
      </c>
    </row>
    <row r="20" spans="1:38" x14ac:dyDescent="0.2">
      <c r="A20" s="119" t="s">
        <v>244</v>
      </c>
      <c r="B20" s="109">
        <v>2017</v>
      </c>
      <c r="C20" s="109" t="s">
        <v>152</v>
      </c>
      <c r="D20" s="127">
        <v>25.9</v>
      </c>
      <c r="E20" s="131">
        <v>15.2</v>
      </c>
      <c r="F20" s="129">
        <v>10.8</v>
      </c>
      <c r="G20" s="129">
        <v>4.7</v>
      </c>
      <c r="H20" s="130">
        <v>0</v>
      </c>
      <c r="I20" s="131">
        <v>6</v>
      </c>
      <c r="J20" s="129">
        <v>0</v>
      </c>
      <c r="K20" s="129">
        <v>0.1</v>
      </c>
      <c r="L20" s="128">
        <v>0</v>
      </c>
      <c r="M20" s="128">
        <v>0</v>
      </c>
      <c r="N20" s="128">
        <v>0</v>
      </c>
      <c r="O20" s="128">
        <v>0</v>
      </c>
      <c r="P20" s="128">
        <v>0</v>
      </c>
      <c r="Q20" s="130">
        <v>0</v>
      </c>
      <c r="R20" s="130">
        <v>0</v>
      </c>
      <c r="S20" s="130">
        <v>0</v>
      </c>
      <c r="T20" s="133">
        <v>3.1</v>
      </c>
      <c r="U20" s="134">
        <v>0</v>
      </c>
      <c r="V20" s="135">
        <v>0.7</v>
      </c>
      <c r="W20" s="135">
        <v>0.1</v>
      </c>
      <c r="X20" s="134">
        <v>0</v>
      </c>
      <c r="Y20" s="135">
        <v>1.5</v>
      </c>
      <c r="Z20" s="135">
        <v>0.2</v>
      </c>
      <c r="AA20" s="136">
        <v>0</v>
      </c>
      <c r="AB20" s="135">
        <v>0.4</v>
      </c>
      <c r="AC20" s="136">
        <v>0</v>
      </c>
      <c r="AD20" s="137">
        <v>0.2</v>
      </c>
      <c r="AE20" s="136">
        <v>0</v>
      </c>
      <c r="AF20" s="136">
        <v>0</v>
      </c>
      <c r="AG20" s="136">
        <v>0</v>
      </c>
      <c r="AH20" s="136">
        <v>0</v>
      </c>
      <c r="AI20" s="138">
        <v>29.1</v>
      </c>
      <c r="AJ20" s="141">
        <v>0</v>
      </c>
      <c r="AK20" s="138">
        <v>41.9</v>
      </c>
      <c r="AL20" s="139">
        <v>2.6</v>
      </c>
    </row>
    <row r="21" spans="1:38" x14ac:dyDescent="0.2">
      <c r="A21" s="119" t="s">
        <v>245</v>
      </c>
      <c r="B21" s="109">
        <v>2017</v>
      </c>
      <c r="C21" s="109" t="s">
        <v>152</v>
      </c>
      <c r="D21" s="123">
        <v>20.8</v>
      </c>
      <c r="E21" s="121">
        <v>0</v>
      </c>
      <c r="F21" s="124">
        <v>20.5</v>
      </c>
      <c r="G21" s="122">
        <v>0</v>
      </c>
      <c r="H21" s="122">
        <v>0</v>
      </c>
      <c r="I21" s="125">
        <v>14.6</v>
      </c>
      <c r="J21" s="124">
        <v>3.6</v>
      </c>
      <c r="K21" s="124">
        <v>0</v>
      </c>
      <c r="L21" s="121">
        <v>0</v>
      </c>
      <c r="M21" s="125">
        <v>2.4</v>
      </c>
      <c r="N21" s="121">
        <v>0</v>
      </c>
      <c r="O21" s="121">
        <v>0</v>
      </c>
      <c r="P21" s="125">
        <v>0.2</v>
      </c>
      <c r="Q21" s="122">
        <v>0</v>
      </c>
      <c r="R21" s="124">
        <v>0.1</v>
      </c>
      <c r="S21" s="122">
        <v>0</v>
      </c>
      <c r="T21" s="123">
        <v>8.4</v>
      </c>
      <c r="U21" s="121">
        <v>0</v>
      </c>
      <c r="V21" s="124">
        <v>7.4</v>
      </c>
      <c r="W21" s="122">
        <v>0</v>
      </c>
      <c r="X21" s="121">
        <v>0</v>
      </c>
      <c r="Y21" s="122">
        <v>0</v>
      </c>
      <c r="Z21" s="122">
        <v>0</v>
      </c>
      <c r="AA21" s="122">
        <v>0</v>
      </c>
      <c r="AB21" s="124">
        <v>0.1</v>
      </c>
      <c r="AC21" s="122">
        <v>0</v>
      </c>
      <c r="AD21" s="125">
        <v>0.7</v>
      </c>
      <c r="AE21" s="122">
        <v>0</v>
      </c>
      <c r="AF21" s="122">
        <v>0</v>
      </c>
      <c r="AG21" s="124">
        <v>0.2</v>
      </c>
      <c r="AH21" s="122">
        <v>0</v>
      </c>
      <c r="AI21" s="123">
        <v>29.2</v>
      </c>
      <c r="AJ21" s="124">
        <v>0.4</v>
      </c>
      <c r="AK21" s="123">
        <v>28.2</v>
      </c>
      <c r="AL21" s="124">
        <v>2.2000000000000002</v>
      </c>
    </row>
    <row r="22" spans="1:38" x14ac:dyDescent="0.2">
      <c r="A22" s="119" t="s">
        <v>246</v>
      </c>
      <c r="B22" s="109">
        <v>2017</v>
      </c>
      <c r="C22" s="109" t="s">
        <v>152</v>
      </c>
      <c r="D22" s="127">
        <v>0</v>
      </c>
      <c r="E22" s="128">
        <v>0</v>
      </c>
      <c r="F22" s="129">
        <v>0</v>
      </c>
      <c r="G22" s="130">
        <v>0</v>
      </c>
      <c r="H22" s="130">
        <v>0</v>
      </c>
      <c r="I22" s="128">
        <v>0</v>
      </c>
      <c r="J22" s="130">
        <v>0</v>
      </c>
      <c r="K22" s="129">
        <v>0</v>
      </c>
      <c r="L22" s="128">
        <v>0</v>
      </c>
      <c r="M22" s="128">
        <v>0</v>
      </c>
      <c r="N22" s="128">
        <v>0</v>
      </c>
      <c r="O22" s="128">
        <v>0</v>
      </c>
      <c r="P22" s="128">
        <v>0</v>
      </c>
      <c r="Q22" s="130">
        <v>0</v>
      </c>
      <c r="R22" s="130">
        <v>0</v>
      </c>
      <c r="S22" s="130">
        <v>0</v>
      </c>
      <c r="T22" s="133">
        <v>18.600000000000001</v>
      </c>
      <c r="U22" s="134">
        <v>0</v>
      </c>
      <c r="V22" s="135">
        <v>0</v>
      </c>
      <c r="W22" s="136">
        <v>0</v>
      </c>
      <c r="X22" s="134">
        <v>0</v>
      </c>
      <c r="Y22" s="136">
        <v>0</v>
      </c>
      <c r="Z22" s="136">
        <v>0</v>
      </c>
      <c r="AA22" s="135">
        <v>4.7</v>
      </c>
      <c r="AB22" s="136">
        <v>0</v>
      </c>
      <c r="AC22" s="135">
        <v>13.8</v>
      </c>
      <c r="AD22" s="137">
        <v>0.1</v>
      </c>
      <c r="AE22" s="136">
        <v>0</v>
      </c>
      <c r="AF22" s="136">
        <v>0</v>
      </c>
      <c r="AG22" s="136">
        <v>0</v>
      </c>
      <c r="AH22" s="136">
        <v>0</v>
      </c>
      <c r="AI22" s="138">
        <v>18.600000000000001</v>
      </c>
      <c r="AJ22" s="141">
        <v>0</v>
      </c>
      <c r="AK22" s="138">
        <v>18.600000000000001</v>
      </c>
      <c r="AL22" s="139">
        <v>3.1</v>
      </c>
    </row>
    <row r="23" spans="1:38" x14ac:dyDescent="0.2">
      <c r="A23" s="119" t="s">
        <v>247</v>
      </c>
      <c r="B23" s="109">
        <v>2017</v>
      </c>
      <c r="C23" s="109" t="s">
        <v>152</v>
      </c>
      <c r="D23" s="123">
        <v>181.5</v>
      </c>
      <c r="E23" s="121">
        <v>0</v>
      </c>
      <c r="F23" s="124">
        <v>168.8</v>
      </c>
      <c r="G23" s="122">
        <v>0</v>
      </c>
      <c r="H23" s="124">
        <v>2.8</v>
      </c>
      <c r="I23" s="125">
        <v>126.2</v>
      </c>
      <c r="J23" s="124">
        <v>35.6</v>
      </c>
      <c r="K23" s="124">
        <v>4.0999999999999996</v>
      </c>
      <c r="L23" s="121">
        <v>0</v>
      </c>
      <c r="M23" s="121">
        <v>0</v>
      </c>
      <c r="N23" s="121">
        <v>0</v>
      </c>
      <c r="O23" s="121">
        <v>0</v>
      </c>
      <c r="P23" s="125">
        <v>1.2</v>
      </c>
      <c r="Q23" s="124">
        <v>0.3</v>
      </c>
      <c r="R23" s="124">
        <v>2.5</v>
      </c>
      <c r="S23" s="124">
        <v>8.8000000000000007</v>
      </c>
      <c r="T23" s="123">
        <v>103.6</v>
      </c>
      <c r="U23" s="121">
        <v>0</v>
      </c>
      <c r="V23" s="124">
        <v>17.5</v>
      </c>
      <c r="W23" s="124">
        <v>24.8</v>
      </c>
      <c r="X23" s="121">
        <v>0</v>
      </c>
      <c r="Y23" s="124">
        <v>8.8000000000000007</v>
      </c>
      <c r="Z23" s="124">
        <v>8.3000000000000007</v>
      </c>
      <c r="AA23" s="124">
        <v>5.8</v>
      </c>
      <c r="AB23" s="124">
        <v>2.5</v>
      </c>
      <c r="AC23" s="124">
        <v>6.8</v>
      </c>
      <c r="AD23" s="125">
        <v>27.5</v>
      </c>
      <c r="AE23" s="124">
        <v>1.7</v>
      </c>
      <c r="AF23" s="122">
        <v>0</v>
      </c>
      <c r="AG23" s="122">
        <v>0</v>
      </c>
      <c r="AH23" s="122">
        <v>0</v>
      </c>
      <c r="AI23" s="123">
        <v>285.10000000000002</v>
      </c>
      <c r="AJ23" s="124">
        <v>2.4</v>
      </c>
      <c r="AK23" s="123">
        <v>320.39999999999998</v>
      </c>
      <c r="AL23" s="124">
        <v>3.9</v>
      </c>
    </row>
    <row r="24" spans="1:38" x14ac:dyDescent="0.2">
      <c r="A24" s="119" t="s">
        <v>248</v>
      </c>
      <c r="B24" s="109">
        <v>2017</v>
      </c>
      <c r="C24" s="109" t="s">
        <v>152</v>
      </c>
      <c r="D24" s="127">
        <v>1.4</v>
      </c>
      <c r="E24" s="128">
        <v>0</v>
      </c>
      <c r="F24" s="129">
        <v>0.6</v>
      </c>
      <c r="G24" s="130">
        <v>0</v>
      </c>
      <c r="H24" s="130">
        <v>0</v>
      </c>
      <c r="I24" s="131">
        <v>0.5</v>
      </c>
      <c r="J24" s="130">
        <v>0</v>
      </c>
      <c r="K24" s="130">
        <v>0</v>
      </c>
      <c r="L24" s="128">
        <v>0</v>
      </c>
      <c r="M24" s="128">
        <v>0</v>
      </c>
      <c r="N24" s="131">
        <v>0.1</v>
      </c>
      <c r="O24" s="128">
        <v>0</v>
      </c>
      <c r="P24" s="131">
        <v>0.6</v>
      </c>
      <c r="Q24" s="130">
        <v>0</v>
      </c>
      <c r="R24" s="129">
        <v>0.1</v>
      </c>
      <c r="S24" s="129">
        <v>0.2</v>
      </c>
      <c r="T24" s="133">
        <v>2.4</v>
      </c>
      <c r="U24" s="134">
        <v>0</v>
      </c>
      <c r="V24" s="135">
        <v>1.4</v>
      </c>
      <c r="W24" s="135">
        <v>0.1</v>
      </c>
      <c r="X24" s="134">
        <v>0</v>
      </c>
      <c r="Y24" s="135">
        <v>0.2</v>
      </c>
      <c r="Z24" s="135">
        <v>0.1</v>
      </c>
      <c r="AA24" s="136">
        <v>0</v>
      </c>
      <c r="AB24" s="135">
        <v>0.1</v>
      </c>
      <c r="AC24" s="136">
        <v>0</v>
      </c>
      <c r="AD24" s="137">
        <v>0.6</v>
      </c>
      <c r="AE24" s="136">
        <v>0</v>
      </c>
      <c r="AF24" s="136">
        <v>0</v>
      </c>
      <c r="AG24" s="136">
        <v>0</v>
      </c>
      <c r="AH24" s="136">
        <v>0</v>
      </c>
      <c r="AI24" s="138">
        <v>3.9</v>
      </c>
      <c r="AJ24" s="139">
        <v>0.8</v>
      </c>
      <c r="AK24" s="138">
        <v>11.7</v>
      </c>
      <c r="AL24" s="139">
        <v>2.6</v>
      </c>
    </row>
    <row r="25" spans="1:38" x14ac:dyDescent="0.2">
      <c r="A25" s="119" t="s">
        <v>249</v>
      </c>
      <c r="B25" s="109">
        <v>2017</v>
      </c>
      <c r="C25" s="109" t="s">
        <v>152</v>
      </c>
      <c r="D25" s="123">
        <v>1.7</v>
      </c>
      <c r="E25" s="121">
        <v>0</v>
      </c>
      <c r="F25" s="124">
        <v>0.2</v>
      </c>
      <c r="G25" s="122">
        <v>0</v>
      </c>
      <c r="H25" s="122">
        <v>0</v>
      </c>
      <c r="I25" s="125">
        <v>0.2</v>
      </c>
      <c r="J25" s="122">
        <v>0</v>
      </c>
      <c r="K25" s="122">
        <v>0</v>
      </c>
      <c r="L25" s="121">
        <v>0</v>
      </c>
      <c r="M25" s="121">
        <v>0</v>
      </c>
      <c r="N25" s="121">
        <v>0</v>
      </c>
      <c r="O25" s="121">
        <v>0</v>
      </c>
      <c r="P25" s="125">
        <v>1.3</v>
      </c>
      <c r="Q25" s="122">
        <v>0</v>
      </c>
      <c r="R25" s="124">
        <v>0.1</v>
      </c>
      <c r="S25" s="122">
        <v>0</v>
      </c>
      <c r="T25" s="123">
        <v>0.5</v>
      </c>
      <c r="U25" s="121">
        <v>0</v>
      </c>
      <c r="V25" s="124">
        <v>0.2</v>
      </c>
      <c r="W25" s="124">
        <v>0.1</v>
      </c>
      <c r="X25" s="121">
        <v>0</v>
      </c>
      <c r="Y25" s="122">
        <v>0</v>
      </c>
      <c r="Z25" s="124">
        <v>0.1</v>
      </c>
      <c r="AA25" s="122">
        <v>0</v>
      </c>
      <c r="AB25" s="122">
        <v>0</v>
      </c>
      <c r="AC25" s="124">
        <v>0</v>
      </c>
      <c r="AD25" s="125">
        <v>0.1</v>
      </c>
      <c r="AE25" s="122">
        <v>0</v>
      </c>
      <c r="AF25" s="122">
        <v>0</v>
      </c>
      <c r="AG25" s="122">
        <v>0</v>
      </c>
      <c r="AH25" s="122">
        <v>0</v>
      </c>
      <c r="AI25" s="123">
        <v>2.1</v>
      </c>
      <c r="AJ25" s="124">
        <v>1.8</v>
      </c>
      <c r="AK25" s="123">
        <v>6.5</v>
      </c>
      <c r="AL25" s="124">
        <v>0</v>
      </c>
    </row>
    <row r="26" spans="1:38" x14ac:dyDescent="0.2">
      <c r="A26" s="119" t="s">
        <v>250</v>
      </c>
      <c r="B26" s="109">
        <v>2017</v>
      </c>
      <c r="C26" s="109" t="s">
        <v>152</v>
      </c>
      <c r="D26" s="127">
        <v>2</v>
      </c>
      <c r="E26" s="128">
        <v>0</v>
      </c>
      <c r="F26" s="129">
        <v>2</v>
      </c>
      <c r="G26" s="130">
        <v>0</v>
      </c>
      <c r="H26" s="130">
        <v>0</v>
      </c>
      <c r="I26" s="131">
        <v>1.4</v>
      </c>
      <c r="J26" s="130">
        <v>0</v>
      </c>
      <c r="K26" s="130">
        <v>0</v>
      </c>
      <c r="L26" s="128">
        <v>0</v>
      </c>
      <c r="M26" s="128">
        <v>0</v>
      </c>
      <c r="N26" s="131">
        <v>0.6</v>
      </c>
      <c r="O26" s="128">
        <v>0</v>
      </c>
      <c r="P26" s="128">
        <v>0</v>
      </c>
      <c r="Q26" s="130">
        <v>0</v>
      </c>
      <c r="R26" s="130">
        <v>0</v>
      </c>
      <c r="S26" s="130">
        <v>0</v>
      </c>
      <c r="T26" s="133">
        <v>5.4</v>
      </c>
      <c r="U26" s="134">
        <v>0</v>
      </c>
      <c r="V26" s="135">
        <v>0.1</v>
      </c>
      <c r="W26" s="136">
        <v>0</v>
      </c>
      <c r="X26" s="134">
        <v>0</v>
      </c>
      <c r="Y26" s="135">
        <v>0.5</v>
      </c>
      <c r="Z26" s="135">
        <v>0.4</v>
      </c>
      <c r="AA26" s="136">
        <v>0</v>
      </c>
      <c r="AB26" s="136">
        <v>0</v>
      </c>
      <c r="AC26" s="136">
        <v>0</v>
      </c>
      <c r="AD26" s="137">
        <v>4.4000000000000004</v>
      </c>
      <c r="AE26" s="136">
        <v>0</v>
      </c>
      <c r="AF26" s="136">
        <v>0</v>
      </c>
      <c r="AG26" s="136">
        <v>0</v>
      </c>
      <c r="AH26" s="136">
        <v>0</v>
      </c>
      <c r="AI26" s="138">
        <v>7.3</v>
      </c>
      <c r="AJ26" s="141">
        <v>0</v>
      </c>
      <c r="AK26" s="138">
        <v>7.3</v>
      </c>
      <c r="AL26" s="139">
        <v>-0.6</v>
      </c>
    </row>
    <row r="27" spans="1:38" x14ac:dyDescent="0.2">
      <c r="A27" s="119" t="s">
        <v>251</v>
      </c>
      <c r="B27" s="109">
        <v>2017</v>
      </c>
      <c r="C27" s="109" t="s">
        <v>152</v>
      </c>
      <c r="D27" s="123">
        <v>2</v>
      </c>
      <c r="E27" s="121">
        <v>0</v>
      </c>
      <c r="F27" s="124">
        <v>1.3</v>
      </c>
      <c r="G27" s="124">
        <v>1.3</v>
      </c>
      <c r="H27" s="122">
        <v>0</v>
      </c>
      <c r="I27" s="121">
        <v>0</v>
      </c>
      <c r="J27" s="122">
        <v>0</v>
      </c>
      <c r="K27" s="122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4">
        <v>0.7</v>
      </c>
      <c r="R27" s="122">
        <v>0</v>
      </c>
      <c r="S27" s="122">
        <v>0</v>
      </c>
      <c r="T27" s="123">
        <v>0.3</v>
      </c>
      <c r="U27" s="121">
        <v>0</v>
      </c>
      <c r="V27" s="124">
        <v>0.1</v>
      </c>
      <c r="W27" s="122">
        <v>0</v>
      </c>
      <c r="X27" s="121">
        <v>0</v>
      </c>
      <c r="Y27" s="122">
        <v>0</v>
      </c>
      <c r="Z27" s="122">
        <v>0</v>
      </c>
      <c r="AA27" s="122">
        <v>0</v>
      </c>
      <c r="AB27" s="122">
        <v>0</v>
      </c>
      <c r="AC27" s="124">
        <v>0.2</v>
      </c>
      <c r="AD27" s="121">
        <v>0</v>
      </c>
      <c r="AE27" s="122">
        <v>0</v>
      </c>
      <c r="AF27" s="122">
        <v>0</v>
      </c>
      <c r="AG27" s="122">
        <v>0</v>
      </c>
      <c r="AH27" s="122">
        <v>0</v>
      </c>
      <c r="AI27" s="123">
        <v>2.2999999999999998</v>
      </c>
      <c r="AJ27" s="122">
        <v>0</v>
      </c>
      <c r="AK27" s="123">
        <v>3.4</v>
      </c>
      <c r="AL27" s="124">
        <v>5.6</v>
      </c>
    </row>
    <row r="28" spans="1:38" x14ac:dyDescent="0.2">
      <c r="A28" s="119" t="s">
        <v>252</v>
      </c>
      <c r="B28" s="109">
        <v>2017</v>
      </c>
      <c r="C28" s="109" t="s">
        <v>152</v>
      </c>
      <c r="D28" s="127">
        <v>4.0999999999999996</v>
      </c>
      <c r="E28" s="128">
        <v>0</v>
      </c>
      <c r="F28" s="129">
        <v>4.0999999999999996</v>
      </c>
      <c r="G28" s="129">
        <v>3.3</v>
      </c>
      <c r="H28" s="130">
        <v>0</v>
      </c>
      <c r="I28" s="131">
        <v>0.8</v>
      </c>
      <c r="J28" s="130">
        <v>0</v>
      </c>
      <c r="K28" s="130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30">
        <v>0</v>
      </c>
      <c r="R28" s="130">
        <v>0</v>
      </c>
      <c r="S28" s="130">
        <v>0</v>
      </c>
      <c r="T28" s="133">
        <v>1.1000000000000001</v>
      </c>
      <c r="U28" s="134">
        <v>0</v>
      </c>
      <c r="V28" s="135">
        <v>0.1</v>
      </c>
      <c r="W28" s="135">
        <v>0</v>
      </c>
      <c r="X28" s="134">
        <v>0</v>
      </c>
      <c r="Y28" s="136">
        <v>0</v>
      </c>
      <c r="Z28" s="135">
        <v>0.1</v>
      </c>
      <c r="AA28" s="136">
        <v>0</v>
      </c>
      <c r="AB28" s="136">
        <v>0</v>
      </c>
      <c r="AC28" s="135">
        <v>0.8</v>
      </c>
      <c r="AD28" s="137">
        <v>0.1</v>
      </c>
      <c r="AE28" s="136">
        <v>0</v>
      </c>
      <c r="AF28" s="136">
        <v>0</v>
      </c>
      <c r="AG28" s="136">
        <v>0</v>
      </c>
      <c r="AH28" s="136">
        <v>0</v>
      </c>
      <c r="AI28" s="138">
        <v>5.2</v>
      </c>
      <c r="AJ28" s="141">
        <v>0</v>
      </c>
      <c r="AK28" s="138">
        <v>7.2</v>
      </c>
      <c r="AL28" s="139">
        <v>1.5</v>
      </c>
    </row>
    <row r="29" spans="1:38" x14ac:dyDescent="0.2">
      <c r="A29" s="119" t="s">
        <v>253</v>
      </c>
      <c r="B29" s="109">
        <v>2017</v>
      </c>
      <c r="C29" s="109" t="s">
        <v>152</v>
      </c>
      <c r="D29" s="123">
        <v>95.1</v>
      </c>
      <c r="E29" s="125">
        <v>4.2</v>
      </c>
      <c r="F29" s="124">
        <v>90.9</v>
      </c>
      <c r="G29" s="122">
        <v>0</v>
      </c>
      <c r="H29" s="122">
        <v>0</v>
      </c>
      <c r="I29" s="125">
        <v>73.599999999999994</v>
      </c>
      <c r="J29" s="124">
        <v>17.3</v>
      </c>
      <c r="K29" s="122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2">
        <v>0</v>
      </c>
      <c r="R29" s="122">
        <v>0</v>
      </c>
      <c r="S29" s="122">
        <v>0</v>
      </c>
      <c r="T29" s="123">
        <v>16.399999999999999</v>
      </c>
      <c r="U29" s="125">
        <v>3.6</v>
      </c>
      <c r="V29" s="124">
        <v>7.3</v>
      </c>
      <c r="W29" s="124">
        <v>1.9</v>
      </c>
      <c r="X29" s="121">
        <v>0</v>
      </c>
      <c r="Y29" s="124">
        <v>3.6</v>
      </c>
      <c r="Z29" s="122">
        <v>0</v>
      </c>
      <c r="AA29" s="122">
        <v>0</v>
      </c>
      <c r="AB29" s="122">
        <v>0</v>
      </c>
      <c r="AC29" s="122">
        <v>0</v>
      </c>
      <c r="AD29" s="125">
        <v>0.1</v>
      </c>
      <c r="AE29" s="122">
        <v>0</v>
      </c>
      <c r="AF29" s="122">
        <v>0</v>
      </c>
      <c r="AG29" s="122">
        <v>0</v>
      </c>
      <c r="AH29" s="122">
        <v>0</v>
      </c>
      <c r="AI29" s="123">
        <v>111.5</v>
      </c>
      <c r="AJ29" s="122">
        <v>0</v>
      </c>
      <c r="AK29" s="123">
        <v>115.4</v>
      </c>
      <c r="AL29" s="124">
        <v>0.8</v>
      </c>
    </row>
    <row r="30" spans="1:38" x14ac:dyDescent="0.2">
      <c r="A30" s="119" t="s">
        <v>254</v>
      </c>
      <c r="B30" s="109">
        <v>2017</v>
      </c>
      <c r="C30" s="109" t="s">
        <v>152</v>
      </c>
      <c r="D30" s="127">
        <v>3.1</v>
      </c>
      <c r="E30" s="128">
        <v>0</v>
      </c>
      <c r="F30" s="129">
        <v>3.1</v>
      </c>
      <c r="G30" s="130">
        <v>0</v>
      </c>
      <c r="H30" s="130">
        <v>0</v>
      </c>
      <c r="I30" s="131">
        <v>3.1</v>
      </c>
      <c r="J30" s="130">
        <v>0</v>
      </c>
      <c r="K30" s="130">
        <v>0</v>
      </c>
      <c r="L30" s="128">
        <v>0</v>
      </c>
      <c r="M30" s="128">
        <v>0</v>
      </c>
      <c r="N30" s="128">
        <v>0</v>
      </c>
      <c r="O30" s="128">
        <v>0</v>
      </c>
      <c r="P30" s="128">
        <v>0</v>
      </c>
      <c r="Q30" s="130">
        <v>0</v>
      </c>
      <c r="R30" s="130">
        <v>0</v>
      </c>
      <c r="S30" s="130">
        <v>0</v>
      </c>
      <c r="T30" s="133">
        <v>144.80000000000001</v>
      </c>
      <c r="U30" s="134">
        <v>0</v>
      </c>
      <c r="V30" s="135">
        <v>2.7</v>
      </c>
      <c r="W30" s="136">
        <v>0</v>
      </c>
      <c r="X30" s="134">
        <v>0</v>
      </c>
      <c r="Y30" s="136">
        <v>0</v>
      </c>
      <c r="Z30" s="136">
        <v>0</v>
      </c>
      <c r="AA30" s="136">
        <v>0</v>
      </c>
      <c r="AB30" s="136">
        <v>0</v>
      </c>
      <c r="AC30" s="135">
        <v>142.1</v>
      </c>
      <c r="AD30" s="134">
        <v>0</v>
      </c>
      <c r="AE30" s="136">
        <v>0</v>
      </c>
      <c r="AF30" s="136">
        <v>0</v>
      </c>
      <c r="AG30" s="136">
        <v>0</v>
      </c>
      <c r="AH30" s="135">
        <v>0.7</v>
      </c>
      <c r="AI30" s="138">
        <v>148.6</v>
      </c>
      <c r="AJ30" s="141">
        <v>0</v>
      </c>
      <c r="AK30" s="138">
        <v>133.69999999999999</v>
      </c>
      <c r="AL30" s="139">
        <v>0.3</v>
      </c>
    </row>
    <row r="31" spans="1:38" x14ac:dyDescent="0.2">
      <c r="A31" s="119" t="s">
        <v>255</v>
      </c>
      <c r="B31" s="109">
        <v>2017</v>
      </c>
      <c r="C31" s="109" t="s">
        <v>152</v>
      </c>
      <c r="D31" s="123">
        <v>133.1</v>
      </c>
      <c r="E31" s="121">
        <v>0</v>
      </c>
      <c r="F31" s="124">
        <v>132</v>
      </c>
      <c r="G31" s="124">
        <v>46.4</v>
      </c>
      <c r="H31" s="124">
        <v>2.2000000000000002</v>
      </c>
      <c r="I31" s="125">
        <v>7.5</v>
      </c>
      <c r="J31" s="124">
        <v>73.599999999999994</v>
      </c>
      <c r="K31" s="124">
        <v>2.2000000000000002</v>
      </c>
      <c r="L31" s="121">
        <v>0</v>
      </c>
      <c r="M31" s="121">
        <v>0</v>
      </c>
      <c r="N31" s="121">
        <v>0</v>
      </c>
      <c r="O31" s="121">
        <v>0</v>
      </c>
      <c r="P31" s="125">
        <v>0.5</v>
      </c>
      <c r="Q31" s="124">
        <v>0</v>
      </c>
      <c r="R31" s="124">
        <v>0.2</v>
      </c>
      <c r="S31" s="124">
        <v>0.5</v>
      </c>
      <c r="T31" s="123">
        <v>24.6</v>
      </c>
      <c r="U31" s="121">
        <v>0</v>
      </c>
      <c r="V31" s="124">
        <v>14.4</v>
      </c>
      <c r="W31" s="124">
        <v>0.2</v>
      </c>
      <c r="X31" s="121">
        <v>0</v>
      </c>
      <c r="Y31" s="124">
        <v>6.4</v>
      </c>
      <c r="Z31" s="124">
        <v>1</v>
      </c>
      <c r="AA31" s="122">
        <v>0</v>
      </c>
      <c r="AB31" s="122">
        <v>0</v>
      </c>
      <c r="AC31" s="124">
        <v>0.5</v>
      </c>
      <c r="AD31" s="125">
        <v>1.8</v>
      </c>
      <c r="AE31" s="124">
        <v>0.2</v>
      </c>
      <c r="AF31" s="122">
        <v>0</v>
      </c>
      <c r="AG31" s="122">
        <v>0</v>
      </c>
      <c r="AH31" s="122">
        <v>0</v>
      </c>
      <c r="AI31" s="123">
        <v>157.69999999999999</v>
      </c>
      <c r="AJ31" s="124">
        <v>0.7</v>
      </c>
      <c r="AK31" s="123">
        <v>159.30000000000001</v>
      </c>
      <c r="AL31" s="124">
        <v>2.6</v>
      </c>
    </row>
    <row r="32" spans="1:38" x14ac:dyDescent="0.2">
      <c r="A32" s="119" t="s">
        <v>256</v>
      </c>
      <c r="B32" s="109">
        <v>2017</v>
      </c>
      <c r="C32" s="109" t="s">
        <v>152</v>
      </c>
      <c r="D32" s="127">
        <v>33.4</v>
      </c>
      <c r="E32" s="128">
        <v>0</v>
      </c>
      <c r="F32" s="129">
        <v>31.6</v>
      </c>
      <c r="G32" s="130">
        <v>0</v>
      </c>
      <c r="H32" s="130">
        <v>0</v>
      </c>
      <c r="I32" s="131">
        <v>17.600000000000001</v>
      </c>
      <c r="J32" s="129">
        <v>13.6</v>
      </c>
      <c r="K32" s="129">
        <v>0.1</v>
      </c>
      <c r="L32" s="128">
        <v>0</v>
      </c>
      <c r="M32" s="128">
        <v>0</v>
      </c>
      <c r="N32" s="128">
        <v>0</v>
      </c>
      <c r="O32" s="131">
        <v>0.3</v>
      </c>
      <c r="P32" s="128">
        <v>0</v>
      </c>
      <c r="Q32" s="129">
        <v>1.8</v>
      </c>
      <c r="R32" s="130">
        <v>0</v>
      </c>
      <c r="S32" s="130">
        <v>0</v>
      </c>
      <c r="T32" s="133">
        <v>21.2</v>
      </c>
      <c r="U32" s="134">
        <v>0</v>
      </c>
      <c r="V32" s="135">
        <v>12</v>
      </c>
      <c r="W32" s="135">
        <v>0.9</v>
      </c>
      <c r="X32" s="134">
        <v>0</v>
      </c>
      <c r="Y32" s="135">
        <v>2.8</v>
      </c>
      <c r="Z32" s="136">
        <v>0</v>
      </c>
      <c r="AA32" s="136">
        <v>0</v>
      </c>
      <c r="AB32" s="136">
        <v>0</v>
      </c>
      <c r="AC32" s="136">
        <v>0</v>
      </c>
      <c r="AD32" s="137">
        <v>3.4</v>
      </c>
      <c r="AE32" s="135">
        <v>2.1</v>
      </c>
      <c r="AF32" s="136">
        <v>0</v>
      </c>
      <c r="AG32" s="136">
        <v>0</v>
      </c>
      <c r="AH32" s="136">
        <v>0</v>
      </c>
      <c r="AI32" s="138">
        <v>54.5</v>
      </c>
      <c r="AJ32" s="139">
        <v>2.2000000000000002</v>
      </c>
      <c r="AK32" s="138">
        <v>49.6</v>
      </c>
      <c r="AL32" s="139">
        <v>0.7</v>
      </c>
    </row>
    <row r="33" spans="1:39" x14ac:dyDescent="0.2">
      <c r="A33" s="119" t="s">
        <v>257</v>
      </c>
      <c r="B33" s="109">
        <v>2017</v>
      </c>
      <c r="C33" s="109" t="s">
        <v>152</v>
      </c>
      <c r="D33" s="123">
        <v>35.700000000000003</v>
      </c>
      <c r="E33" s="125">
        <v>10.6</v>
      </c>
      <c r="F33" s="124">
        <v>25.1</v>
      </c>
      <c r="G33" s="124">
        <v>14</v>
      </c>
      <c r="H33" s="122">
        <v>0</v>
      </c>
      <c r="I33" s="125">
        <v>4.5</v>
      </c>
      <c r="J33" s="124">
        <v>1.1000000000000001</v>
      </c>
      <c r="K33" s="122">
        <v>0</v>
      </c>
      <c r="L33" s="121">
        <v>0</v>
      </c>
      <c r="M33" s="121">
        <v>0</v>
      </c>
      <c r="N33" s="125">
        <v>5.5</v>
      </c>
      <c r="O33" s="121">
        <v>0</v>
      </c>
      <c r="P33" s="121">
        <v>0</v>
      </c>
      <c r="Q33" s="122">
        <v>0</v>
      </c>
      <c r="R33" s="122">
        <v>0</v>
      </c>
      <c r="S33" s="122">
        <v>0</v>
      </c>
      <c r="T33" s="123">
        <v>24.1</v>
      </c>
      <c r="U33" s="121">
        <v>0</v>
      </c>
      <c r="V33" s="124">
        <v>7.3</v>
      </c>
      <c r="W33" s="124">
        <v>1.9</v>
      </c>
      <c r="X33" s="121">
        <v>0</v>
      </c>
      <c r="Y33" s="124">
        <v>0.4</v>
      </c>
      <c r="Z33" s="122">
        <v>0</v>
      </c>
      <c r="AA33" s="122">
        <v>0</v>
      </c>
      <c r="AB33" s="122">
        <v>0</v>
      </c>
      <c r="AC33" s="124">
        <v>5.4</v>
      </c>
      <c r="AD33" s="125">
        <v>9.1999999999999993</v>
      </c>
      <c r="AE33" s="122">
        <v>0</v>
      </c>
      <c r="AF33" s="122">
        <v>0</v>
      </c>
      <c r="AG33" s="122">
        <v>0</v>
      </c>
      <c r="AH33" s="122">
        <v>0</v>
      </c>
      <c r="AI33" s="123">
        <v>59.8</v>
      </c>
      <c r="AJ33" s="124">
        <v>0.2</v>
      </c>
      <c r="AK33" s="123">
        <v>56.8</v>
      </c>
      <c r="AL33" s="124">
        <v>2.5</v>
      </c>
    </row>
    <row r="34" spans="1:39" x14ac:dyDescent="0.2">
      <c r="A34" s="119" t="s">
        <v>258</v>
      </c>
      <c r="B34" s="109">
        <v>2017</v>
      </c>
      <c r="C34" s="109" t="s">
        <v>152</v>
      </c>
      <c r="D34" s="127">
        <v>30.3</v>
      </c>
      <c r="E34" s="128">
        <v>0</v>
      </c>
      <c r="F34" s="129">
        <v>29.7</v>
      </c>
      <c r="G34" s="129">
        <v>29.5</v>
      </c>
      <c r="H34" s="130">
        <v>0</v>
      </c>
      <c r="I34" s="131">
        <v>0.2</v>
      </c>
      <c r="J34" s="130">
        <v>0</v>
      </c>
      <c r="K34" s="130">
        <v>0</v>
      </c>
      <c r="L34" s="128">
        <v>0</v>
      </c>
      <c r="M34" s="128">
        <v>0</v>
      </c>
      <c r="N34" s="128">
        <v>0</v>
      </c>
      <c r="O34" s="128">
        <v>0</v>
      </c>
      <c r="P34" s="131">
        <v>0.6</v>
      </c>
      <c r="Q34" s="130">
        <v>0</v>
      </c>
      <c r="R34" s="130">
        <v>0</v>
      </c>
      <c r="S34" s="130">
        <v>0</v>
      </c>
      <c r="T34" s="133">
        <v>9</v>
      </c>
      <c r="U34" s="134">
        <v>0</v>
      </c>
      <c r="V34" s="136">
        <v>0</v>
      </c>
      <c r="W34" s="136">
        <v>0</v>
      </c>
      <c r="X34" s="134">
        <v>0</v>
      </c>
      <c r="Y34" s="136">
        <v>0</v>
      </c>
      <c r="Z34" s="136">
        <v>0</v>
      </c>
      <c r="AA34" s="136">
        <v>0</v>
      </c>
      <c r="AB34" s="136">
        <v>0</v>
      </c>
      <c r="AC34" s="135">
        <v>0.8</v>
      </c>
      <c r="AD34" s="137">
        <v>8.1</v>
      </c>
      <c r="AE34" s="136">
        <v>0</v>
      </c>
      <c r="AF34" s="136">
        <v>0</v>
      </c>
      <c r="AG34" s="136">
        <v>0</v>
      </c>
      <c r="AH34" s="136">
        <v>0</v>
      </c>
      <c r="AI34" s="138">
        <v>39.200000000000003</v>
      </c>
      <c r="AJ34" s="139">
        <v>0.9</v>
      </c>
      <c r="AK34" s="138">
        <v>39.6</v>
      </c>
      <c r="AL34" s="139">
        <v>2.1</v>
      </c>
    </row>
    <row r="35" spans="1:39" x14ac:dyDescent="0.2">
      <c r="A35" s="119" t="s">
        <v>259</v>
      </c>
      <c r="B35" s="109">
        <v>2017</v>
      </c>
      <c r="C35" s="109" t="s">
        <v>152</v>
      </c>
      <c r="D35" s="123">
        <v>66.5</v>
      </c>
      <c r="E35" s="125">
        <v>63</v>
      </c>
      <c r="F35" s="124">
        <v>2.7</v>
      </c>
      <c r="G35" s="122">
        <v>0</v>
      </c>
      <c r="H35" s="122">
        <v>0</v>
      </c>
      <c r="I35" s="125">
        <v>0.4</v>
      </c>
      <c r="J35" s="124">
        <v>0.5</v>
      </c>
      <c r="K35" s="124">
        <v>0.2</v>
      </c>
      <c r="L35" s="121">
        <v>0</v>
      </c>
      <c r="M35" s="121">
        <v>0</v>
      </c>
      <c r="N35" s="125">
        <v>1.6</v>
      </c>
      <c r="O35" s="121">
        <v>0</v>
      </c>
      <c r="P35" s="121">
        <v>0</v>
      </c>
      <c r="Q35" s="122">
        <v>0</v>
      </c>
      <c r="R35" s="124">
        <v>0.9</v>
      </c>
      <c r="S35" s="122">
        <v>0</v>
      </c>
      <c r="T35" s="123">
        <v>92.6</v>
      </c>
      <c r="U35" s="121">
        <v>0</v>
      </c>
      <c r="V35" s="124">
        <v>17.3</v>
      </c>
      <c r="W35" s="122">
        <v>0</v>
      </c>
      <c r="X35" s="121">
        <v>0</v>
      </c>
      <c r="Y35" s="124">
        <v>10.1</v>
      </c>
      <c r="Z35" s="122">
        <v>0</v>
      </c>
      <c r="AA35" s="122">
        <v>0</v>
      </c>
      <c r="AB35" s="124">
        <v>1.3</v>
      </c>
      <c r="AC35" s="124">
        <v>63.9</v>
      </c>
      <c r="AD35" s="121">
        <v>0</v>
      </c>
      <c r="AE35" s="122">
        <v>0</v>
      </c>
      <c r="AF35" s="122">
        <v>0</v>
      </c>
      <c r="AG35" s="122">
        <v>0</v>
      </c>
      <c r="AH35" s="122">
        <v>0</v>
      </c>
      <c r="AI35" s="123">
        <v>159.1</v>
      </c>
      <c r="AJ35" s="122">
        <v>0</v>
      </c>
      <c r="AK35" s="123">
        <v>139.9</v>
      </c>
      <c r="AL35" s="124">
        <v>0.1</v>
      </c>
    </row>
    <row r="36" spans="1:39" x14ac:dyDescent="0.2">
      <c r="A36" s="119" t="s">
        <v>260</v>
      </c>
      <c r="B36" s="109">
        <v>2017</v>
      </c>
      <c r="C36" s="109" t="s">
        <v>152</v>
      </c>
      <c r="D36" s="127">
        <v>10.7</v>
      </c>
      <c r="E36" s="131">
        <v>6</v>
      </c>
      <c r="F36" s="129">
        <v>4.3</v>
      </c>
      <c r="G36" s="129">
        <v>4.3</v>
      </c>
      <c r="H36" s="130">
        <v>0</v>
      </c>
      <c r="I36" s="131">
        <v>0</v>
      </c>
      <c r="J36" s="130">
        <v>0</v>
      </c>
      <c r="K36" s="130">
        <v>0</v>
      </c>
      <c r="L36" s="128">
        <v>0</v>
      </c>
      <c r="M36" s="128">
        <v>0</v>
      </c>
      <c r="N36" s="128">
        <v>0</v>
      </c>
      <c r="O36" s="128">
        <v>0</v>
      </c>
      <c r="P36" s="128">
        <v>0</v>
      </c>
      <c r="Q36" s="129">
        <v>0.3</v>
      </c>
      <c r="R36" s="129">
        <v>0</v>
      </c>
      <c r="S36" s="129">
        <v>0.2</v>
      </c>
      <c r="T36" s="133">
        <v>4.3</v>
      </c>
      <c r="U36" s="134">
        <v>0</v>
      </c>
      <c r="V36" s="135">
        <v>0</v>
      </c>
      <c r="W36" s="135">
        <v>0.3</v>
      </c>
      <c r="X36" s="134">
        <v>0</v>
      </c>
      <c r="Y36" s="135">
        <v>0.1</v>
      </c>
      <c r="Z36" s="135">
        <v>0.1</v>
      </c>
      <c r="AA36" s="136">
        <v>0</v>
      </c>
      <c r="AB36" s="136">
        <v>0</v>
      </c>
      <c r="AC36" s="136">
        <v>0</v>
      </c>
      <c r="AD36" s="137">
        <v>3.8</v>
      </c>
      <c r="AE36" s="136">
        <v>0</v>
      </c>
      <c r="AF36" s="136">
        <v>0</v>
      </c>
      <c r="AG36" s="135">
        <v>0.1</v>
      </c>
      <c r="AH36" s="136">
        <v>0</v>
      </c>
      <c r="AI36" s="138">
        <v>15</v>
      </c>
      <c r="AJ36" s="139">
        <v>0.4</v>
      </c>
      <c r="AK36" s="138">
        <v>14.2</v>
      </c>
      <c r="AL36" s="139">
        <v>2.8</v>
      </c>
    </row>
    <row r="37" spans="1:39" x14ac:dyDescent="0.2">
      <c r="A37" s="119" t="s">
        <v>261</v>
      </c>
      <c r="B37" s="109">
        <v>2017</v>
      </c>
      <c r="C37" s="109" t="s">
        <v>152</v>
      </c>
      <c r="D37" s="123">
        <v>19.399999999999999</v>
      </c>
      <c r="E37" s="125">
        <v>14</v>
      </c>
      <c r="F37" s="124">
        <v>4.9000000000000004</v>
      </c>
      <c r="G37" s="124">
        <v>1.5</v>
      </c>
      <c r="H37" s="124">
        <v>0.5</v>
      </c>
      <c r="I37" s="125">
        <v>1.7</v>
      </c>
      <c r="J37" s="124">
        <v>1</v>
      </c>
      <c r="K37" s="124">
        <v>0.3</v>
      </c>
      <c r="L37" s="121">
        <v>0</v>
      </c>
      <c r="M37" s="121">
        <v>0</v>
      </c>
      <c r="N37" s="121">
        <v>0</v>
      </c>
      <c r="O37" s="121">
        <v>0</v>
      </c>
      <c r="P37" s="125">
        <v>0.3</v>
      </c>
      <c r="Q37" s="124">
        <v>0</v>
      </c>
      <c r="R37" s="124">
        <v>0.1</v>
      </c>
      <c r="S37" s="122">
        <v>0</v>
      </c>
      <c r="T37" s="123">
        <v>6.6</v>
      </c>
      <c r="U37" s="121">
        <v>0</v>
      </c>
      <c r="V37" s="124">
        <v>0</v>
      </c>
      <c r="W37" s="124">
        <v>0.6</v>
      </c>
      <c r="X37" s="121">
        <v>0</v>
      </c>
      <c r="Y37" s="124">
        <v>1.1000000000000001</v>
      </c>
      <c r="Z37" s="124">
        <v>0.6</v>
      </c>
      <c r="AA37" s="122">
        <v>0</v>
      </c>
      <c r="AB37" s="122">
        <v>0</v>
      </c>
      <c r="AC37" s="124">
        <v>0.8</v>
      </c>
      <c r="AD37" s="125">
        <v>3.4</v>
      </c>
      <c r="AE37" s="124">
        <v>0.1</v>
      </c>
      <c r="AF37" s="122">
        <v>0</v>
      </c>
      <c r="AG37" s="124">
        <v>0</v>
      </c>
      <c r="AH37" s="122">
        <v>0</v>
      </c>
      <c r="AI37" s="123">
        <v>26</v>
      </c>
      <c r="AJ37" s="124">
        <v>0.4</v>
      </c>
      <c r="AK37" s="123">
        <v>28.6</v>
      </c>
      <c r="AL37" s="124">
        <v>3.2</v>
      </c>
    </row>
    <row r="38" spans="1:39" x14ac:dyDescent="0.2">
      <c r="A38" s="119" t="s">
        <v>643</v>
      </c>
      <c r="B38" s="109">
        <f>B40</f>
        <v>2017</v>
      </c>
      <c r="C38" s="109" t="str">
        <f>C40</f>
        <v>TWh</v>
      </c>
      <c r="D38" s="528">
        <v>2441.6</v>
      </c>
      <c r="E38" s="529">
        <v>808</v>
      </c>
      <c r="F38" s="528">
        <v>1578.2</v>
      </c>
      <c r="G38" s="530">
        <v>365.7</v>
      </c>
      <c r="H38" s="530">
        <v>9.6</v>
      </c>
      <c r="I38" s="529">
        <v>757.3</v>
      </c>
      <c r="J38" s="530">
        <v>381.5</v>
      </c>
      <c r="K38" s="530">
        <v>33.799999999999997</v>
      </c>
      <c r="L38" s="529">
        <v>9.6999999999999993</v>
      </c>
      <c r="M38" s="529">
        <v>5</v>
      </c>
      <c r="N38" s="529">
        <v>12</v>
      </c>
      <c r="O38" s="529">
        <v>3.5</v>
      </c>
      <c r="P38" s="529">
        <v>15.3</v>
      </c>
      <c r="Q38" s="537">
        <v>13.2</v>
      </c>
      <c r="R38" s="530">
        <v>16</v>
      </c>
      <c r="S38" s="530">
        <v>10.9</v>
      </c>
      <c r="T38" s="531">
        <v>1228.0999999999999</v>
      </c>
      <c r="U38" s="532">
        <v>45.1</v>
      </c>
      <c r="V38" s="533">
        <v>325.7</v>
      </c>
      <c r="W38" s="533">
        <v>109</v>
      </c>
      <c r="X38" s="532">
        <v>5.3</v>
      </c>
      <c r="Y38" s="533">
        <v>122.5</v>
      </c>
      <c r="Z38" s="533">
        <v>18.7</v>
      </c>
      <c r="AA38" s="533">
        <v>16.7</v>
      </c>
      <c r="AB38" s="533">
        <v>16.600000000000001</v>
      </c>
      <c r="AC38" s="533">
        <v>325.89999999999998</v>
      </c>
      <c r="AD38" s="532">
        <v>218.6</v>
      </c>
      <c r="AE38" s="533">
        <v>17.7</v>
      </c>
      <c r="AF38" s="533">
        <v>0.6</v>
      </c>
      <c r="AG38" s="533">
        <v>6</v>
      </c>
      <c r="AH38" s="533">
        <v>6.5</v>
      </c>
      <c r="AI38" s="534">
        <v>3676.3</v>
      </c>
      <c r="AJ38" s="535">
        <v>47.6</v>
      </c>
      <c r="AK38" s="534">
        <v>3634.2</v>
      </c>
      <c r="AL38" s="536" t="s">
        <v>644</v>
      </c>
      <c r="AM38" s="107" t="s">
        <v>644</v>
      </c>
    </row>
    <row r="39" spans="1:39" x14ac:dyDescent="0.2">
      <c r="A39" s="119" t="s">
        <v>264</v>
      </c>
      <c r="B39" s="109">
        <f>B38</f>
        <v>2017</v>
      </c>
      <c r="C39" s="109" t="str">
        <f>C38</f>
        <v>TWh</v>
      </c>
      <c r="D39" s="528">
        <v>2161.6999999999998</v>
      </c>
      <c r="E39" s="529">
        <v>788.5</v>
      </c>
      <c r="F39" s="528">
        <v>1320.7</v>
      </c>
      <c r="G39" s="530">
        <v>280.3</v>
      </c>
      <c r="H39" s="530">
        <v>9.6</v>
      </c>
      <c r="I39" s="529">
        <v>644.29999999999995</v>
      </c>
      <c r="J39" s="530">
        <v>324.5</v>
      </c>
      <c r="K39" s="530">
        <v>31.8</v>
      </c>
      <c r="L39" s="529">
        <v>9.6999999999999993</v>
      </c>
      <c r="M39" s="529">
        <v>5</v>
      </c>
      <c r="N39" s="529">
        <v>12</v>
      </c>
      <c r="O39" s="529">
        <v>3.5</v>
      </c>
      <c r="P39" s="529">
        <v>14.7</v>
      </c>
      <c r="Q39" s="537">
        <v>12.3</v>
      </c>
      <c r="R39" s="530">
        <v>14.6</v>
      </c>
      <c r="S39" s="530">
        <v>10.9</v>
      </c>
      <c r="T39" s="531">
        <v>923</v>
      </c>
      <c r="U39" s="532">
        <v>45.1</v>
      </c>
      <c r="V39" s="533">
        <v>304.7</v>
      </c>
      <c r="W39" s="533">
        <v>105.2</v>
      </c>
      <c r="X39" s="532">
        <v>5.3</v>
      </c>
      <c r="Y39" s="533">
        <v>119.4</v>
      </c>
      <c r="Z39" s="533">
        <v>18.3</v>
      </c>
      <c r="AA39" s="533">
        <v>5.9</v>
      </c>
      <c r="AB39" s="533">
        <v>15.3</v>
      </c>
      <c r="AC39" s="533">
        <v>102.6</v>
      </c>
      <c r="AD39" s="532">
        <v>177.1</v>
      </c>
      <c r="AE39" s="533">
        <v>17.600000000000001</v>
      </c>
      <c r="AF39" s="533">
        <v>0.6</v>
      </c>
      <c r="AG39" s="533">
        <v>6</v>
      </c>
      <c r="AH39" s="533">
        <v>5.7</v>
      </c>
      <c r="AI39" s="534">
        <v>3090.6</v>
      </c>
      <c r="AJ39" s="535">
        <v>42.3</v>
      </c>
      <c r="AK39" s="534">
        <v>3061.1</v>
      </c>
      <c r="AL39" s="536" t="s">
        <v>644</v>
      </c>
    </row>
    <row r="40" spans="1:39" x14ac:dyDescent="0.2">
      <c r="A40" s="119" t="s">
        <v>262</v>
      </c>
      <c r="B40" s="109">
        <v>2017</v>
      </c>
      <c r="C40" s="109" t="s">
        <v>152</v>
      </c>
      <c r="D40" s="127">
        <v>207.7</v>
      </c>
      <c r="E40" s="128">
        <v>0</v>
      </c>
      <c r="F40" s="129">
        <v>207.7</v>
      </c>
      <c r="G40" s="129">
        <v>40.5</v>
      </c>
      <c r="H40" s="130">
        <v>0</v>
      </c>
      <c r="I40" s="131">
        <v>108.2</v>
      </c>
      <c r="J40" s="129">
        <v>57</v>
      </c>
      <c r="K40" s="129">
        <v>2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30">
        <v>0</v>
      </c>
      <c r="R40" s="130">
        <v>0</v>
      </c>
      <c r="S40" s="130">
        <v>0</v>
      </c>
      <c r="T40" s="133">
        <v>87.8</v>
      </c>
      <c r="U40" s="134">
        <v>0</v>
      </c>
      <c r="V40" s="135">
        <v>17.899999999999999</v>
      </c>
      <c r="W40" s="135">
        <v>2.7</v>
      </c>
      <c r="X40" s="134">
        <v>0</v>
      </c>
      <c r="Y40" s="135">
        <v>2.8</v>
      </c>
      <c r="Z40" s="136">
        <v>0</v>
      </c>
      <c r="AA40" s="135">
        <v>6</v>
      </c>
      <c r="AB40" s="136">
        <v>0</v>
      </c>
      <c r="AC40" s="135">
        <v>41.4</v>
      </c>
      <c r="AD40" s="137">
        <v>17.100000000000001</v>
      </c>
      <c r="AE40" s="136">
        <v>0</v>
      </c>
      <c r="AF40" s="136">
        <v>0</v>
      </c>
      <c r="AG40" s="136">
        <v>0</v>
      </c>
      <c r="AH40" s="136">
        <v>0</v>
      </c>
      <c r="AI40" s="138">
        <v>295.5</v>
      </c>
      <c r="AJ40" s="141">
        <v>0</v>
      </c>
      <c r="AK40" s="138">
        <v>294.5</v>
      </c>
      <c r="AL40" s="141">
        <v>0</v>
      </c>
    </row>
    <row r="50" spans="1:38" ht="12.75" x14ac:dyDescent="0.2">
      <c r="A50" s="1" t="s">
        <v>197</v>
      </c>
      <c r="B50" s="1" t="s">
        <v>63</v>
      </c>
      <c r="C50" s="1" t="s">
        <v>393</v>
      </c>
      <c r="D50" s="144" t="s">
        <v>57</v>
      </c>
      <c r="E50" s="144" t="s">
        <v>348</v>
      </c>
      <c r="F50" s="144" t="s">
        <v>349</v>
      </c>
      <c r="G50" s="144" t="s">
        <v>595</v>
      </c>
      <c r="H50" s="144" t="s">
        <v>352</v>
      </c>
      <c r="I50" s="144" t="s">
        <v>43</v>
      </c>
      <c r="J50" s="144" t="s">
        <v>42</v>
      </c>
      <c r="K50" s="144" t="s">
        <v>44</v>
      </c>
      <c r="L50" s="144" t="s">
        <v>397</v>
      </c>
      <c r="M50" s="144" t="s">
        <v>394</v>
      </c>
      <c r="N50" s="144" t="s">
        <v>357</v>
      </c>
      <c r="O50" s="144" t="s">
        <v>647</v>
      </c>
      <c r="P50" s="144" t="s">
        <v>359</v>
      </c>
      <c r="Q50" s="144" t="s">
        <v>396</v>
      </c>
      <c r="R50" s="144" t="s">
        <v>395</v>
      </c>
      <c r="S50" s="144" t="s">
        <v>392</v>
      </c>
      <c r="T50" s="515" t="s">
        <v>151</v>
      </c>
      <c r="U50" s="565" t="s">
        <v>150</v>
      </c>
      <c r="W50" s="1" t="s">
        <v>197</v>
      </c>
      <c r="X50" s="1" t="s">
        <v>63</v>
      </c>
      <c r="Y50" s="1" t="s">
        <v>393</v>
      </c>
      <c r="Z50" s="144" t="s">
        <v>57</v>
      </c>
      <c r="AA50" s="144" t="s">
        <v>348</v>
      </c>
      <c r="AB50" s="144" t="s">
        <v>349</v>
      </c>
      <c r="AC50" s="144" t="s">
        <v>595</v>
      </c>
      <c r="AD50" s="144" t="s">
        <v>352</v>
      </c>
      <c r="AE50" s="144" t="s">
        <v>43</v>
      </c>
      <c r="AF50" s="144" t="s">
        <v>42</v>
      </c>
      <c r="AG50" s="144" t="s">
        <v>44</v>
      </c>
      <c r="AH50" s="144" t="s">
        <v>397</v>
      </c>
      <c r="AI50" s="144" t="s">
        <v>394</v>
      </c>
      <c r="AJ50" s="144" t="s">
        <v>133</v>
      </c>
      <c r="AK50" s="144" t="s">
        <v>647</v>
      </c>
      <c r="AL50" s="144" t="s">
        <v>359</v>
      </c>
    </row>
    <row r="51" spans="1:38" x14ac:dyDescent="0.2">
      <c r="A51" s="425" t="str">
        <f t="shared" ref="A51:A86" si="0">$A3</f>
        <v>AL</v>
      </c>
      <c r="B51" s="366">
        <f>B4</f>
        <v>2017</v>
      </c>
      <c r="C51" s="366" t="str">
        <f>C4</f>
        <v>TWh</v>
      </c>
      <c r="D51" s="144">
        <f>E3</f>
        <v>0</v>
      </c>
      <c r="E51" s="144">
        <f>G3</f>
        <v>0</v>
      </c>
      <c r="F51" s="167">
        <f>J3</f>
        <v>0</v>
      </c>
      <c r="G51" s="167">
        <f>H3+I3</f>
        <v>0</v>
      </c>
      <c r="H51" s="422">
        <f>M3+N3+O3+L3+K3</f>
        <v>0</v>
      </c>
      <c r="I51" s="167">
        <f>V3</f>
        <v>0</v>
      </c>
      <c r="J51" s="144">
        <f>U3</f>
        <v>0</v>
      </c>
      <c r="K51" s="422">
        <f>W3</f>
        <v>0</v>
      </c>
      <c r="L51" s="422">
        <f>Y3+Z3</f>
        <v>0</v>
      </c>
      <c r="M51" s="422">
        <f>X3+AA3+AB3+AG3+AH3</f>
        <v>0</v>
      </c>
      <c r="N51" s="167">
        <f>SUM(AC3,AD3,AE3,AF3)</f>
        <v>4.2</v>
      </c>
      <c r="O51" s="167">
        <f>SUM(P3,Q3)</f>
        <v>0</v>
      </c>
      <c r="P51" s="422">
        <f>SUM(R3:S3)</f>
        <v>0</v>
      </c>
      <c r="Q51" s="167">
        <f t="shared" ref="Q51:Q87" si="1">SUM(D51:P51)</f>
        <v>4.2</v>
      </c>
      <c r="R51" s="167">
        <f>AI3</f>
        <v>4.2</v>
      </c>
      <c r="S51" s="424">
        <f t="shared" ref="S51:S80" si="2">Q51/R51</f>
        <v>1</v>
      </c>
      <c r="T51" s="517">
        <f>IFERROR(INDEX($A$3:$AL$40,MATCH(Generation_Entsoe_SFS_2017[[#This Row],[Country]],$A$3:$A$40,0),MATCH(Generation_Entsoe_SFS_2017[[#Headers],[Consumption]],$A$1:$AL$1,0)),"")</f>
        <v>7.1</v>
      </c>
      <c r="U51" s="517">
        <f>IFERROR(INDEX($A$3:$AL$40,MATCH(Generation_Entsoe_SFS_2017[[#This Row],[Country]],$A$3:$A$40,0),MATCH(Generation_Entsoe_SFS_2017[[#Headers],[Pumping]],$A$1:$AL$1,0)),"")</f>
        <v>0</v>
      </c>
      <c r="W51" s="425" t="str">
        <f t="shared" ref="W51:W87" si="3">$A3</f>
        <v>AL</v>
      </c>
      <c r="X51" s="366">
        <v>2017</v>
      </c>
      <c r="Y51" s="366" t="s">
        <v>648</v>
      </c>
      <c r="Z51" s="550">
        <f>IFERROR(Generation_Entsoe_SFS_2017[[#This Row],[Nuclear]]/Capacity_Entsoe_SFS_2017[[#This Row],[Nuclear]]*10^6,0)</f>
        <v>0</v>
      </c>
      <c r="AA51" s="550">
        <f>IFERROR(Generation_Entsoe_SFS_2017[[#This Row],[Lignite]]/Capacity_Entsoe_SFS_2017[[#This Row],[Lignite]]*10^6,0)</f>
        <v>0</v>
      </c>
      <c r="AB51" s="550">
        <f>IFERROR(Generation_Entsoe_SFS_2017[[#This Row],[Hard coal]]/Capacity_Entsoe_SFS_2017[[#This Row],[Hard coal]]*10^6,0)</f>
        <v>0</v>
      </c>
      <c r="AC51" s="550">
        <f>IFERROR(Generation_Entsoe_SFS_2017[[#This Row],[Fossil gases]]/Capacity_Entsoe_SFS_2017[[#This Row],[Fossil gases]]*10^6,0)</f>
        <v>0</v>
      </c>
      <c r="AD51" s="550">
        <f>IFERROR(Generation_Entsoe_SFS_2017[[#This Row],[Other fossil fuels]]/Capacity_Entsoe_SFS_2017[[#This Row],[Other fossil fuels]]*10^6,0)</f>
        <v>0</v>
      </c>
      <c r="AE51" s="550">
        <f>IFERROR(Generation_Entsoe_SFS_2017[[#This Row],[Wind onshore]]/Capacity_Entsoe_SFS_2017[[#This Row],[Wind onshore]]*10^6,0)</f>
        <v>0</v>
      </c>
      <c r="AF51" s="550">
        <f>IFERROR(Generation_Entsoe_SFS_2017[[#This Row],[Wind offshore]]/Capacity_Entsoe_SFS_2017[[#This Row],[Wind offshore]]*10^6,0)</f>
        <v>0</v>
      </c>
      <c r="AG51" s="550">
        <f>IFERROR(Generation_Entsoe_SFS_2017[[#This Row],[Solar PV]]/Capacity_Entsoe_SFS_2017[[#This Row],[Solar PV]]*10^6,0)</f>
        <v>0</v>
      </c>
      <c r="AH51" s="550">
        <f>IFERROR(Generation_Entsoe_SFS_2017[[#This Row],[Bioenergy]]/Capacity_Entsoe_SFS_2017[[#This Row],[Bioenergy]]*10^6,0)</f>
        <v>0</v>
      </c>
      <c r="AI51" s="550">
        <f>IFERROR(Generation_Entsoe_SFS_2017[[#This Row],[Other RES]]/Capacity_Entsoe_SFS_2017[[#This Row],[Other RES]]*10^6,0)</f>
        <v>0</v>
      </c>
      <c r="AJ51" s="550">
        <f>IFERROR(Generation_Entsoe_SFS_2017[[#This Row],[Renewable Hydro]]/Capacity_Entsoe_SFS_2017[[#This Row],[Renewable Hydro]]*10^6,0)</f>
        <v>2288.8283378746592</v>
      </c>
      <c r="AK51" s="550">
        <f>IFERROR(Generation_Entsoe_SFS_2017[[#This Row],[Pumped Hydro]]/Capacity_Entsoe_SFS_2017[[#This Row],[Pumped Hydro]]*10^6,0)</f>
        <v>0</v>
      </c>
      <c r="AL51" s="550">
        <f>IFERROR(Generation_Entsoe_SFS_2017[[#This Row],[Other sources]]/Capacity_Entsoe_SFS_2017[[#This Row],[Other sources]]*10^6,0)</f>
        <v>0</v>
      </c>
    </row>
    <row r="52" spans="1:38" x14ac:dyDescent="0.2">
      <c r="A52" s="425" t="str">
        <f t="shared" si="0"/>
        <v>AT</v>
      </c>
      <c r="B52" s="366">
        <f t="shared" ref="B52:C65" si="4">B6</f>
        <v>2017</v>
      </c>
      <c r="C52" s="366" t="str">
        <f t="shared" si="4"/>
        <v>TWh</v>
      </c>
      <c r="D52" s="144">
        <f t="shared" ref="D52:D86" si="5">E4</f>
        <v>0</v>
      </c>
      <c r="E52" s="144">
        <f t="shared" ref="E52:E86" si="6">G4</f>
        <v>0</v>
      </c>
      <c r="F52" s="167">
        <f t="shared" ref="F52:F86" si="7">J4</f>
        <v>1.8</v>
      </c>
      <c r="G52" s="167">
        <f t="shared" ref="G52:G86" si="8">H4+I4</f>
        <v>10.8</v>
      </c>
      <c r="H52" s="422">
        <f t="shared" ref="H52:H86" si="9">M4+N4+O4+L4+K4</f>
        <v>3.9000000000000004</v>
      </c>
      <c r="I52" s="167">
        <f t="shared" ref="I52:I86" si="10">V4</f>
        <v>6.5</v>
      </c>
      <c r="J52" s="144">
        <f t="shared" ref="J52:J86" si="11">U4</f>
        <v>0</v>
      </c>
      <c r="K52" s="422">
        <f t="shared" ref="K52:K86" si="12">W4</f>
        <v>0</v>
      </c>
      <c r="L52" s="422">
        <f t="shared" ref="L52:L86" si="13">Y4+Z4</f>
        <v>0</v>
      </c>
      <c r="M52" s="422">
        <f t="shared" ref="M52:M86" si="14">X4+AA4+AB4+AG4+AH4</f>
        <v>8.8000000000000007</v>
      </c>
      <c r="N52" s="167">
        <f t="shared" ref="N52:N86" si="15">SUM(AC4,AD4,AE4,AF4)</f>
        <v>34.5</v>
      </c>
      <c r="O52" s="167">
        <f t="shared" ref="O52:O86" si="16">SUM(P4,Q4)</f>
        <v>3.9</v>
      </c>
      <c r="P52" s="422">
        <f t="shared" ref="P52:P86" si="17">SUM(R4:S4)</f>
        <v>0</v>
      </c>
      <c r="Q52" s="167">
        <f t="shared" si="1"/>
        <v>70.2</v>
      </c>
      <c r="R52" s="167">
        <f t="shared" ref="R52:R86" si="18">AI4</f>
        <v>70.2</v>
      </c>
      <c r="S52" s="424">
        <f t="shared" si="2"/>
        <v>1</v>
      </c>
      <c r="T52" s="517">
        <f>IFERROR(INDEX($A$3:$AL$40,MATCH(Generation_Entsoe_SFS_2017[[#This Row],[Country]],$A$3:$A$40,0),MATCH(Generation_Entsoe_SFS_2017[[#Headers],[Consumption]],$A$1:$AL$1,0)),"")</f>
        <v>72.3</v>
      </c>
      <c r="U52" s="517">
        <f>IFERROR(INDEX($A$3:$AL$40,MATCH(Generation_Entsoe_SFS_2017[[#This Row],[Country]],$A$3:$A$40,0),MATCH(Generation_Entsoe_SFS_2017[[#Headers],[Pumping]],$A$1:$AL$1,0)),"")</f>
        <v>5.6</v>
      </c>
      <c r="W52" s="425" t="str">
        <f t="shared" si="3"/>
        <v>AT</v>
      </c>
      <c r="X52" s="366">
        <v>2017</v>
      </c>
      <c r="Y52" s="366" t="s">
        <v>648</v>
      </c>
      <c r="Z52" s="550">
        <f>IFERROR(Generation_Entsoe_SFS_2017[[#This Row],[Nuclear]]/Capacity_Entsoe_SFS_2017[[#This Row],[Nuclear]]*10^6,0)</f>
        <v>0</v>
      </c>
      <c r="AA52" s="550">
        <f>IFERROR(Generation_Entsoe_SFS_2017[[#This Row],[Lignite]]/Capacity_Entsoe_SFS_2017[[#This Row],[Lignite]]*10^6,0)</f>
        <v>0</v>
      </c>
      <c r="AB52" s="550">
        <f>IFERROR(Generation_Entsoe_SFS_2017[[#This Row],[Hard coal]]/Capacity_Entsoe_SFS_2017[[#This Row],[Hard coal]]*10^6,0)</f>
        <v>3010.0334448160534</v>
      </c>
      <c r="AC52" s="550">
        <f>IFERROR(Generation_Entsoe_SFS_2017[[#This Row],[Fossil gases]]/Capacity_Entsoe_SFS_2017[[#This Row],[Fossil gases]]*10^6,0)</f>
        <v>2230.9440198306138</v>
      </c>
      <c r="AD52" s="550">
        <f>IFERROR(Generation_Entsoe_SFS_2017[[#This Row],[Other fossil fuels]]/Capacity_Entsoe_SFS_2017[[#This Row],[Other fossil fuels]]*10^6,0)</f>
        <v>3838.5826771653547</v>
      </c>
      <c r="AE52" s="550">
        <f>IFERROR(Generation_Entsoe_SFS_2017[[#This Row],[Wind onshore]]/Capacity_Entsoe_SFS_2017[[#This Row],[Wind onshore]]*10^6,0)</f>
        <v>2380.9523809523812</v>
      </c>
      <c r="AF52" s="550">
        <f>IFERROR(Generation_Entsoe_SFS_2017[[#This Row],[Wind offshore]]/Capacity_Entsoe_SFS_2017[[#This Row],[Wind offshore]]*10^6,0)</f>
        <v>0</v>
      </c>
      <c r="AG52" s="550">
        <f>IFERROR(Generation_Entsoe_SFS_2017[[#This Row],[Solar PV]]/Capacity_Entsoe_SFS_2017[[#This Row],[Solar PV]]*10^6,0)</f>
        <v>0</v>
      </c>
      <c r="AH52" s="550">
        <f>IFERROR(Generation_Entsoe_SFS_2017[[#This Row],[Bioenergy]]/Capacity_Entsoe_SFS_2017[[#This Row],[Bioenergy]]*10^6,0)</f>
        <v>0</v>
      </c>
      <c r="AI52" s="553">
        <f>IFERROR(Generation_Entsoe_SFS_2017[[#This Row],[Other RES]]/Capacity_Entsoe_SFS_2017[[#This Row],[Other RES]]*10^6,0)</f>
        <v>382608.69565217395</v>
      </c>
      <c r="AJ52" s="550">
        <f>IFERROR(Generation_Entsoe_SFS_2017[[#This Row],[Renewable Hydro]]/Capacity_Entsoe_SFS_2017[[#This Row],[Renewable Hydro]]*10^6,0)</f>
        <v>2444.0351374327006</v>
      </c>
      <c r="AK52" s="550">
        <f>IFERROR(Generation_Entsoe_SFS_2017[[#This Row],[Pumped Hydro]]/Capacity_Entsoe_SFS_2017[[#This Row],[Pumped Hydro]]*10^6,0)</f>
        <v>0</v>
      </c>
      <c r="AL52" s="550">
        <f>IFERROR(Generation_Entsoe_SFS_2017[[#This Row],[Other sources]]/Capacity_Entsoe_SFS_2017[[#This Row],[Other sources]]*10^6,0)</f>
        <v>0</v>
      </c>
    </row>
    <row r="53" spans="1:38" x14ac:dyDescent="0.2">
      <c r="A53" s="425" t="str">
        <f t="shared" si="0"/>
        <v>BA</v>
      </c>
      <c r="B53" s="366">
        <f t="shared" si="4"/>
        <v>2017</v>
      </c>
      <c r="C53" s="366" t="str">
        <f t="shared" si="4"/>
        <v>TWh</v>
      </c>
      <c r="D53" s="144">
        <f t="shared" si="5"/>
        <v>0</v>
      </c>
      <c r="E53" s="144">
        <f t="shared" si="6"/>
        <v>10.8</v>
      </c>
      <c r="F53" s="167">
        <f t="shared" si="7"/>
        <v>0</v>
      </c>
      <c r="G53" s="167">
        <f t="shared" si="8"/>
        <v>0</v>
      </c>
      <c r="H53" s="422">
        <f t="shared" si="9"/>
        <v>0</v>
      </c>
      <c r="I53" s="167">
        <f t="shared" si="10"/>
        <v>0</v>
      </c>
      <c r="J53" s="144">
        <f t="shared" si="11"/>
        <v>0</v>
      </c>
      <c r="K53" s="422">
        <f t="shared" si="12"/>
        <v>0</v>
      </c>
      <c r="L53" s="422">
        <f t="shared" si="13"/>
        <v>0</v>
      </c>
      <c r="M53" s="422">
        <f t="shared" si="14"/>
        <v>0.1</v>
      </c>
      <c r="N53" s="167">
        <f t="shared" si="15"/>
        <v>3.6</v>
      </c>
      <c r="O53" s="167">
        <f t="shared" si="16"/>
        <v>0.2</v>
      </c>
      <c r="P53" s="422">
        <f t="shared" si="17"/>
        <v>0</v>
      </c>
      <c r="Q53" s="167">
        <f t="shared" si="1"/>
        <v>14.7</v>
      </c>
      <c r="R53" s="167">
        <f t="shared" si="18"/>
        <v>14.7</v>
      </c>
      <c r="S53" s="424">
        <f t="shared" si="2"/>
        <v>1</v>
      </c>
      <c r="T53" s="517">
        <f>IFERROR(INDEX($A$3:$AL$40,MATCH(Generation_Entsoe_SFS_2017[[#This Row],[Country]],$A$3:$A$40,0),MATCH(Generation_Entsoe_SFS_2017[[#Headers],[Consumption]],$A$1:$AL$1,0)),"")</f>
        <v>12.6</v>
      </c>
      <c r="U53" s="517">
        <f>IFERROR(INDEX($A$3:$AL$40,MATCH(Generation_Entsoe_SFS_2017[[#This Row],[Country]],$A$3:$A$40,0),MATCH(Generation_Entsoe_SFS_2017[[#Headers],[Pumping]],$A$1:$AL$1,0)),"")</f>
        <v>0.3</v>
      </c>
      <c r="W53" s="425" t="str">
        <f t="shared" si="3"/>
        <v>BA</v>
      </c>
      <c r="X53" s="366">
        <v>2017</v>
      </c>
      <c r="Y53" s="366" t="s">
        <v>648</v>
      </c>
      <c r="Z53" s="550">
        <f>IFERROR(Generation_Entsoe_SFS_2017[[#This Row],[Nuclear]]/Capacity_Entsoe_SFS_2017[[#This Row],[Nuclear]]*10^6,0)</f>
        <v>0</v>
      </c>
      <c r="AA53" s="550">
        <f>IFERROR(Generation_Entsoe_SFS_2017[[#This Row],[Lignite]]/Capacity_Entsoe_SFS_2017[[#This Row],[Lignite]]*10^6,0)</f>
        <v>5720.3389830508477</v>
      </c>
      <c r="AB53" s="550">
        <f>IFERROR(Generation_Entsoe_SFS_2017[[#This Row],[Hard coal]]/Capacity_Entsoe_SFS_2017[[#This Row],[Hard coal]]*10^6,0)</f>
        <v>0</v>
      </c>
      <c r="AC53" s="550">
        <f>IFERROR(Generation_Entsoe_SFS_2017[[#This Row],[Fossil gases]]/Capacity_Entsoe_SFS_2017[[#This Row],[Fossil gases]]*10^6,0)</f>
        <v>0</v>
      </c>
      <c r="AD53" s="550">
        <f>IFERROR(Generation_Entsoe_SFS_2017[[#This Row],[Other fossil fuels]]/Capacity_Entsoe_SFS_2017[[#This Row],[Other fossil fuels]]*10^6,0)</f>
        <v>0</v>
      </c>
      <c r="AE53" s="550">
        <f>IFERROR(Generation_Entsoe_SFS_2017[[#This Row],[Wind onshore]]/Capacity_Entsoe_SFS_2017[[#This Row],[Wind onshore]]*10^6,0)</f>
        <v>0</v>
      </c>
      <c r="AF53" s="550">
        <f>IFERROR(Generation_Entsoe_SFS_2017[[#This Row],[Wind offshore]]/Capacity_Entsoe_SFS_2017[[#This Row],[Wind offshore]]*10^6,0)</f>
        <v>0</v>
      </c>
      <c r="AG53" s="550">
        <f>IFERROR(Generation_Entsoe_SFS_2017[[#This Row],[Solar PV]]/Capacity_Entsoe_SFS_2017[[#This Row],[Solar PV]]*10^6,0)</f>
        <v>0</v>
      </c>
      <c r="AH53" s="550">
        <f>IFERROR(Generation_Entsoe_SFS_2017[[#This Row],[Bioenergy]]/Capacity_Entsoe_SFS_2017[[#This Row],[Bioenergy]]*10^6,0)</f>
        <v>0</v>
      </c>
      <c r="AI53" s="550">
        <f>IFERROR(Generation_Entsoe_SFS_2017[[#This Row],[Other RES]]/Capacity_Entsoe_SFS_2017[[#This Row],[Other RES]]*10^6,0)</f>
        <v>0</v>
      </c>
      <c r="AJ53" s="550">
        <f>IFERROR(Generation_Entsoe_SFS_2017[[#This Row],[Renewable Hydro]]/Capacity_Entsoe_SFS_2017[[#This Row],[Renewable Hydro]]*10^6,0)</f>
        <v>2173.913043478261</v>
      </c>
      <c r="AK53" s="550">
        <f>IFERROR(Generation_Entsoe_SFS_2017[[#This Row],[Pumped Hydro]]/Capacity_Entsoe_SFS_2017[[#This Row],[Pumped Hydro]]*10^6,0)</f>
        <v>454.54545454545456</v>
      </c>
      <c r="AL53" s="550">
        <f>IFERROR(Generation_Entsoe_SFS_2017[[#This Row],[Other sources]]/Capacity_Entsoe_SFS_2017[[#This Row],[Other sources]]*10^6,0)</f>
        <v>0</v>
      </c>
    </row>
    <row r="54" spans="1:38" x14ac:dyDescent="0.2">
      <c r="A54" s="425" t="str">
        <f t="shared" si="0"/>
        <v>BE</v>
      </c>
      <c r="B54" s="366">
        <f t="shared" si="4"/>
        <v>2017</v>
      </c>
      <c r="C54" s="366" t="str">
        <f t="shared" si="4"/>
        <v>TWh</v>
      </c>
      <c r="D54" s="144">
        <f t="shared" si="5"/>
        <v>40</v>
      </c>
      <c r="E54" s="144">
        <f t="shared" si="6"/>
        <v>0</v>
      </c>
      <c r="F54" s="167">
        <f t="shared" si="7"/>
        <v>0</v>
      </c>
      <c r="G54" s="167">
        <f t="shared" si="8"/>
        <v>23.5</v>
      </c>
      <c r="H54" s="422">
        <f t="shared" si="9"/>
        <v>0.1</v>
      </c>
      <c r="I54" s="167">
        <f t="shared" si="10"/>
        <v>3.3</v>
      </c>
      <c r="J54" s="144">
        <f t="shared" si="11"/>
        <v>2.8</v>
      </c>
      <c r="K54" s="422">
        <f t="shared" si="12"/>
        <v>2.9</v>
      </c>
      <c r="L54" s="422">
        <f t="shared" si="13"/>
        <v>4</v>
      </c>
      <c r="M54" s="422">
        <f t="shared" si="14"/>
        <v>1.1000000000000001</v>
      </c>
      <c r="N54" s="167">
        <f t="shared" si="15"/>
        <v>0.2</v>
      </c>
      <c r="O54" s="167">
        <f t="shared" si="16"/>
        <v>1.1000000000000001</v>
      </c>
      <c r="P54" s="422">
        <f t="shared" si="17"/>
        <v>1.2</v>
      </c>
      <c r="Q54" s="167">
        <f t="shared" si="1"/>
        <v>80.2</v>
      </c>
      <c r="R54" s="167">
        <f t="shared" si="18"/>
        <v>80.3</v>
      </c>
      <c r="S54" s="424">
        <f t="shared" si="2"/>
        <v>0.99875466998754681</v>
      </c>
      <c r="T54" s="517">
        <f>IFERROR(INDEX($A$3:$AL$40,MATCH(Generation_Entsoe_SFS_2017[[#This Row],[Country]],$A$3:$A$40,0),MATCH(Generation_Entsoe_SFS_2017[[#Headers],[Consumption]],$A$1:$AL$1,0)),"")</f>
        <v>84.8</v>
      </c>
      <c r="U54" s="517">
        <f>IFERROR(INDEX($A$3:$AL$40,MATCH(Generation_Entsoe_SFS_2017[[#This Row],[Country]],$A$3:$A$40,0),MATCH(Generation_Entsoe_SFS_2017[[#Headers],[Pumping]],$A$1:$AL$1,0)),"")</f>
        <v>1.5</v>
      </c>
      <c r="W54" s="425" t="str">
        <f t="shared" si="3"/>
        <v>BE</v>
      </c>
      <c r="X54" s="366">
        <v>2017</v>
      </c>
      <c r="Y54" s="366" t="s">
        <v>648</v>
      </c>
      <c r="Z54" s="550">
        <f>IFERROR(Generation_Entsoe_SFS_2017[[#This Row],[Nuclear]]/Capacity_Entsoe_SFS_2017[[#This Row],[Nuclear]]*10^6,0)</f>
        <v>6757.8982936306802</v>
      </c>
      <c r="AA54" s="550">
        <f>IFERROR(Generation_Entsoe_SFS_2017[[#This Row],[Lignite]]/Capacity_Entsoe_SFS_2017[[#This Row],[Lignite]]*10^6,0)</f>
        <v>0</v>
      </c>
      <c r="AB54" s="550">
        <f>IFERROR(Generation_Entsoe_SFS_2017[[#This Row],[Hard coal]]/Capacity_Entsoe_SFS_2017[[#This Row],[Hard coal]]*10^6,0)</f>
        <v>0</v>
      </c>
      <c r="AC54" s="550">
        <f>IFERROR(Generation_Entsoe_SFS_2017[[#This Row],[Fossil gases]]/Capacity_Entsoe_SFS_2017[[#This Row],[Fossil gases]]*10^6,0)</f>
        <v>3513.7559808612441</v>
      </c>
      <c r="AD54" s="550">
        <f>IFERROR(Generation_Entsoe_SFS_2017[[#This Row],[Other fossil fuels]]/Capacity_Entsoe_SFS_2017[[#This Row],[Other fossil fuels]]*10^6,0)</f>
        <v>632.91139240506334</v>
      </c>
      <c r="AE54" s="550">
        <f>IFERROR(Generation_Entsoe_SFS_2017[[#This Row],[Wind onshore]]/Capacity_Entsoe_SFS_2017[[#This Row],[Wind onshore]]*10^6,0)</f>
        <v>1710.7309486780714</v>
      </c>
      <c r="AF54" s="550">
        <f>IFERROR(Generation_Entsoe_SFS_2017[[#This Row],[Wind offshore]]/Capacity_Entsoe_SFS_2017[[#This Row],[Wind offshore]]*10^6,0)</f>
        <v>3189.0660592255126</v>
      </c>
      <c r="AG54" s="550">
        <f>IFERROR(Generation_Entsoe_SFS_2017[[#This Row],[Solar PV]]/Capacity_Entsoe_SFS_2017[[#This Row],[Solar PV]]*10^6,0)</f>
        <v>857.98816568047334</v>
      </c>
      <c r="AH54" s="550">
        <f>IFERROR(Generation_Entsoe_SFS_2017[[#This Row],[Bioenergy]]/Capacity_Entsoe_SFS_2017[[#This Row],[Bioenergy]]*10^6,0)</f>
        <v>4962.7791563275432</v>
      </c>
      <c r="AI54" s="550">
        <f>IFERROR(Generation_Entsoe_SFS_2017[[#This Row],[Other RES]]/Capacity_Entsoe_SFS_2017[[#This Row],[Other RES]]*10^6,0)</f>
        <v>0</v>
      </c>
      <c r="AJ54" s="550">
        <f>IFERROR(Generation_Entsoe_SFS_2017[[#This Row],[Renewable Hydro]]/Capacity_Entsoe_SFS_2017[[#This Row],[Renewable Hydro]]*10^6,0)</f>
        <v>1639.344262295082</v>
      </c>
      <c r="AK54" s="550">
        <f>IFERROR(Generation_Entsoe_SFS_2017[[#This Row],[Pumped Hydro]]/Capacity_Entsoe_SFS_2017[[#This Row],[Pumped Hydro]]*10^6,0)</f>
        <v>840.97859327217134</v>
      </c>
      <c r="AL54" s="550">
        <f>IFERROR(Generation_Entsoe_SFS_2017[[#This Row],[Other sources]]/Capacity_Entsoe_SFS_2017[[#This Row],[Other sources]]*10^6,0)</f>
        <v>3069.0537084398975</v>
      </c>
    </row>
    <row r="55" spans="1:38" x14ac:dyDescent="0.2">
      <c r="A55" s="425" t="str">
        <f t="shared" si="0"/>
        <v>BG</v>
      </c>
      <c r="B55" s="366">
        <f t="shared" si="4"/>
        <v>2017</v>
      </c>
      <c r="C55" s="366" t="str">
        <f t="shared" si="4"/>
        <v>TWh</v>
      </c>
      <c r="D55" s="144">
        <f t="shared" si="5"/>
        <v>14.7</v>
      </c>
      <c r="E55" s="144">
        <f t="shared" si="6"/>
        <v>17.600000000000001</v>
      </c>
      <c r="F55" s="167">
        <f t="shared" si="7"/>
        <v>0.3</v>
      </c>
      <c r="G55" s="167">
        <f t="shared" si="8"/>
        <v>1.5</v>
      </c>
      <c r="H55" s="422">
        <f t="shared" si="9"/>
        <v>0</v>
      </c>
      <c r="I55" s="167">
        <f t="shared" si="10"/>
        <v>1.5</v>
      </c>
      <c r="J55" s="144">
        <f t="shared" si="11"/>
        <v>0</v>
      </c>
      <c r="K55" s="422">
        <f t="shared" si="12"/>
        <v>1.4</v>
      </c>
      <c r="L55" s="422">
        <f t="shared" si="13"/>
        <v>0.3</v>
      </c>
      <c r="M55" s="422">
        <f t="shared" si="14"/>
        <v>0</v>
      </c>
      <c r="N55" s="167">
        <f t="shared" si="15"/>
        <v>2.7</v>
      </c>
      <c r="O55" s="167">
        <f t="shared" si="16"/>
        <v>0.7</v>
      </c>
      <c r="P55" s="422">
        <f t="shared" si="17"/>
        <v>0</v>
      </c>
      <c r="Q55" s="167">
        <f t="shared" si="1"/>
        <v>40.699999999999996</v>
      </c>
      <c r="R55" s="167">
        <f t="shared" si="18"/>
        <v>40.799999999999997</v>
      </c>
      <c r="S55" s="424">
        <f t="shared" si="2"/>
        <v>0.99754901960784315</v>
      </c>
      <c r="T55" s="517">
        <f>IFERROR(INDEX($A$3:$AL$40,MATCH(Generation_Entsoe_SFS_2017[[#This Row],[Country]],$A$3:$A$40,0),MATCH(Generation_Entsoe_SFS_2017[[#Headers],[Consumption]],$A$1:$AL$1,0)),"")</f>
        <v>34.4</v>
      </c>
      <c r="U55" s="517">
        <f>IFERROR(INDEX($A$3:$AL$40,MATCH(Generation_Entsoe_SFS_2017[[#This Row],[Country]],$A$3:$A$40,0),MATCH(Generation_Entsoe_SFS_2017[[#Headers],[Pumping]],$A$1:$AL$1,0)),"")</f>
        <v>1</v>
      </c>
      <c r="W55" s="425" t="str">
        <f t="shared" si="3"/>
        <v>BG</v>
      </c>
      <c r="X55" s="366">
        <v>2017</v>
      </c>
      <c r="Y55" s="366" t="s">
        <v>648</v>
      </c>
      <c r="Z55" s="550">
        <f>IFERROR(Generation_Entsoe_SFS_2017[[#This Row],[Nuclear]]/Capacity_Entsoe_SFS_2017[[#This Row],[Nuclear]]*10^6,0)</f>
        <v>7350</v>
      </c>
      <c r="AA55" s="550">
        <f>IFERROR(Generation_Entsoe_SFS_2017[[#This Row],[Lignite]]/Capacity_Entsoe_SFS_2017[[#This Row],[Lignite]]*10^6,0)</f>
        <v>4272.8817674192769</v>
      </c>
      <c r="AB55" s="550">
        <f>IFERROR(Generation_Entsoe_SFS_2017[[#This Row],[Hard coal]]/Capacity_Entsoe_SFS_2017[[#This Row],[Hard coal]]*10^6,0)</f>
        <v>828.72928176795585</v>
      </c>
      <c r="AC55" s="550">
        <f>IFERROR(Generation_Entsoe_SFS_2017[[#This Row],[Fossil gases]]/Capacity_Entsoe_SFS_2017[[#This Row],[Fossil gases]]*10^6,0)</f>
        <v>2664.2984014209592</v>
      </c>
      <c r="AD55" s="550">
        <f>IFERROR(Generation_Entsoe_SFS_2017[[#This Row],[Other fossil fuels]]/Capacity_Entsoe_SFS_2017[[#This Row],[Other fossil fuels]]*10^6,0)</f>
        <v>0</v>
      </c>
      <c r="AE55" s="550">
        <f>IFERROR(Generation_Entsoe_SFS_2017[[#This Row],[Wind onshore]]/Capacity_Entsoe_SFS_2017[[#This Row],[Wind onshore]]*10^6,0)</f>
        <v>2139.8002853067046</v>
      </c>
      <c r="AF55" s="550">
        <f>IFERROR(Generation_Entsoe_SFS_2017[[#This Row],[Wind offshore]]/Capacity_Entsoe_SFS_2017[[#This Row],[Wind offshore]]*10^6,0)</f>
        <v>0</v>
      </c>
      <c r="AG55" s="550">
        <f>IFERROR(Generation_Entsoe_SFS_2017[[#This Row],[Solar PV]]/Capacity_Entsoe_SFS_2017[[#This Row],[Solar PV]]*10^6,0)</f>
        <v>1338.4321223709369</v>
      </c>
      <c r="AH55" s="550">
        <f>IFERROR(Generation_Entsoe_SFS_2017[[#This Row],[Bioenergy]]/Capacity_Entsoe_SFS_2017[[#This Row],[Bioenergy]]*10^6,0)</f>
        <v>3896.1038961038962</v>
      </c>
      <c r="AI55" s="550">
        <f>IFERROR(Generation_Entsoe_SFS_2017[[#This Row],[Other RES]]/Capacity_Entsoe_SFS_2017[[#This Row],[Other RES]]*10^6,0)</f>
        <v>0</v>
      </c>
      <c r="AJ55" s="550">
        <f>IFERROR(Generation_Entsoe_SFS_2017[[#This Row],[Renewable Hydro]]/Capacity_Entsoe_SFS_2017[[#This Row],[Renewable Hydro]]*10^6,0)</f>
        <v>1223.3801540552788</v>
      </c>
      <c r="AK55" s="550">
        <f>IFERROR(Generation_Entsoe_SFS_2017[[#This Row],[Pumped Hydro]]/Capacity_Entsoe_SFS_2017[[#This Row],[Pumped Hydro]]*10^6,0)</f>
        <v>702.1063189568705</v>
      </c>
      <c r="AL55" s="550">
        <f>IFERROR(Generation_Entsoe_SFS_2017[[#This Row],[Other sources]]/Capacity_Entsoe_SFS_2017[[#This Row],[Other sources]]*10^6,0)</f>
        <v>0</v>
      </c>
    </row>
    <row r="56" spans="1:38" x14ac:dyDescent="0.2">
      <c r="A56" s="425" t="str">
        <f t="shared" si="0"/>
        <v>CH</v>
      </c>
      <c r="B56" s="366">
        <f t="shared" si="4"/>
        <v>2017</v>
      </c>
      <c r="C56" s="366" t="str">
        <f t="shared" si="4"/>
        <v>TWh</v>
      </c>
      <c r="D56" s="144">
        <f t="shared" si="5"/>
        <v>19.5</v>
      </c>
      <c r="E56" s="144">
        <f t="shared" si="6"/>
        <v>0</v>
      </c>
      <c r="F56" s="167">
        <f t="shared" si="7"/>
        <v>0</v>
      </c>
      <c r="G56" s="167">
        <f t="shared" si="8"/>
        <v>0.8</v>
      </c>
      <c r="H56" s="422">
        <f t="shared" si="9"/>
        <v>0</v>
      </c>
      <c r="I56" s="167">
        <f t="shared" si="10"/>
        <v>0.1</v>
      </c>
      <c r="J56" s="144">
        <f t="shared" si="11"/>
        <v>0</v>
      </c>
      <c r="K56" s="422">
        <f t="shared" si="12"/>
        <v>1.1000000000000001</v>
      </c>
      <c r="L56" s="422">
        <f t="shared" si="13"/>
        <v>0.60000000000000009</v>
      </c>
      <c r="M56" s="422">
        <f t="shared" si="14"/>
        <v>1.3</v>
      </c>
      <c r="N56" s="167">
        <f t="shared" si="15"/>
        <v>36.6</v>
      </c>
      <c r="O56" s="167">
        <f t="shared" si="16"/>
        <v>0</v>
      </c>
      <c r="P56" s="422">
        <f t="shared" si="17"/>
        <v>1.4</v>
      </c>
      <c r="Q56" s="167">
        <f t="shared" si="1"/>
        <v>61.400000000000006</v>
      </c>
      <c r="R56" s="167">
        <f t="shared" si="18"/>
        <v>61.5</v>
      </c>
      <c r="S56" s="424">
        <f t="shared" si="2"/>
        <v>0.99837398373983754</v>
      </c>
      <c r="T56" s="517">
        <f>IFERROR(INDEX($A$3:$AL$40,MATCH(Generation_Entsoe_SFS_2017[[#This Row],[Country]],$A$3:$A$40,0),MATCH(Generation_Entsoe_SFS_2017[[#Headers],[Consumption]],$A$1:$AL$1,0)),"")</f>
        <v>63.4</v>
      </c>
      <c r="U56" s="517">
        <f>IFERROR(INDEX($A$3:$AL$40,MATCH(Generation_Entsoe_SFS_2017[[#This Row],[Country]],$A$3:$A$40,0),MATCH(Generation_Entsoe_SFS_2017[[#Headers],[Pumping]],$A$1:$AL$1,0)),"")</f>
        <v>4.2</v>
      </c>
      <c r="W56" s="425" t="str">
        <f t="shared" si="3"/>
        <v>CH</v>
      </c>
      <c r="X56" s="366">
        <v>2017</v>
      </c>
      <c r="Y56" s="366" t="s">
        <v>648</v>
      </c>
      <c r="Z56" s="550">
        <f>IFERROR(Generation_Entsoe_SFS_2017[[#This Row],[Nuclear]]/Capacity_Entsoe_SFS_2017[[#This Row],[Nuclear]]*10^6,0)</f>
        <v>5850.5850585058506</v>
      </c>
      <c r="AA56" s="550">
        <f>IFERROR(Generation_Entsoe_SFS_2017[[#This Row],[Lignite]]/Capacity_Entsoe_SFS_2017[[#This Row],[Lignite]]*10^6,0)</f>
        <v>0</v>
      </c>
      <c r="AB56" s="550">
        <f>IFERROR(Generation_Entsoe_SFS_2017[[#This Row],[Hard coal]]/Capacity_Entsoe_SFS_2017[[#This Row],[Hard coal]]*10^6,0)</f>
        <v>0</v>
      </c>
      <c r="AC56" s="550">
        <f>IFERROR(Generation_Entsoe_SFS_2017[[#This Row],[Fossil gases]]/Capacity_Entsoe_SFS_2017[[#This Row],[Fossil gases]]*10^6,0)</f>
        <v>0</v>
      </c>
      <c r="AD56" s="550">
        <f>IFERROR(Generation_Entsoe_SFS_2017[[#This Row],[Other fossil fuels]]/Capacity_Entsoe_SFS_2017[[#This Row],[Other fossil fuels]]*10^6,0)</f>
        <v>0</v>
      </c>
      <c r="AE56" s="550">
        <f>IFERROR(Generation_Entsoe_SFS_2017[[#This Row],[Wind onshore]]/Capacity_Entsoe_SFS_2017[[#This Row],[Wind onshore]]*10^6,0)</f>
        <v>1666.6666666666667</v>
      </c>
      <c r="AF56" s="550">
        <f>IFERROR(Generation_Entsoe_SFS_2017[[#This Row],[Wind offshore]]/Capacity_Entsoe_SFS_2017[[#This Row],[Wind offshore]]*10^6,0)</f>
        <v>0</v>
      </c>
      <c r="AG56" s="550">
        <f>IFERROR(Generation_Entsoe_SFS_2017[[#This Row],[Solar PV]]/Capacity_Entsoe_SFS_2017[[#This Row],[Solar PV]]*10^6,0)</f>
        <v>789.09612625538023</v>
      </c>
      <c r="AH56" s="550">
        <f>IFERROR(Generation_Entsoe_SFS_2017[[#This Row],[Bioenergy]]/Capacity_Entsoe_SFS_2017[[#This Row],[Bioenergy]]*10^6,0)</f>
        <v>2429.1497975708508</v>
      </c>
      <c r="AI56" s="550">
        <f>IFERROR(Generation_Entsoe_SFS_2017[[#This Row],[Other RES]]/Capacity_Entsoe_SFS_2017[[#This Row],[Other RES]]*10^6,0)</f>
        <v>6161.1374407582944</v>
      </c>
      <c r="AJ56" s="550">
        <f>IFERROR(Generation_Entsoe_SFS_2017[[#This Row],[Renewable Hydro]]/Capacity_Entsoe_SFS_2017[[#This Row],[Renewable Hydro]]*10^6,0)</f>
        <v>3009.8684210526317</v>
      </c>
      <c r="AK56" s="550">
        <f>IFERROR(Generation_Entsoe_SFS_2017[[#This Row],[Pumped Hydro]]/Capacity_Entsoe_SFS_2017[[#This Row],[Pumped Hydro]]*10^6,0)</f>
        <v>0</v>
      </c>
      <c r="AL56" s="550">
        <f>IFERROR(Generation_Entsoe_SFS_2017[[#This Row],[Other sources]]/Capacity_Entsoe_SFS_2017[[#This Row],[Other sources]]*10^6,0)</f>
        <v>6635.0710900473932</v>
      </c>
    </row>
    <row r="57" spans="1:38" x14ac:dyDescent="0.2">
      <c r="A57" s="425" t="str">
        <f t="shared" si="0"/>
        <v>CY</v>
      </c>
      <c r="B57" s="366">
        <f t="shared" si="4"/>
        <v>2017</v>
      </c>
      <c r="C57" s="366" t="str">
        <f t="shared" si="4"/>
        <v>TWh</v>
      </c>
      <c r="D57" s="144">
        <f t="shared" si="5"/>
        <v>0</v>
      </c>
      <c r="E57" s="144">
        <f t="shared" si="6"/>
        <v>0</v>
      </c>
      <c r="F57" s="167">
        <f t="shared" si="7"/>
        <v>0</v>
      </c>
      <c r="G57" s="167">
        <f t="shared" si="8"/>
        <v>0</v>
      </c>
      <c r="H57" s="422">
        <f t="shared" si="9"/>
        <v>4.5999999999999996</v>
      </c>
      <c r="I57" s="167">
        <f t="shared" si="10"/>
        <v>0.2</v>
      </c>
      <c r="J57" s="144">
        <f t="shared" si="11"/>
        <v>0</v>
      </c>
      <c r="K57" s="422">
        <f t="shared" si="12"/>
        <v>0</v>
      </c>
      <c r="L57" s="422">
        <f t="shared" si="13"/>
        <v>0</v>
      </c>
      <c r="M57" s="422">
        <f t="shared" si="14"/>
        <v>0</v>
      </c>
      <c r="N57" s="167">
        <f t="shared" si="15"/>
        <v>0</v>
      </c>
      <c r="O57" s="167">
        <f t="shared" si="16"/>
        <v>0</v>
      </c>
      <c r="P57" s="422">
        <f t="shared" si="17"/>
        <v>0</v>
      </c>
      <c r="Q57" s="167">
        <f t="shared" si="1"/>
        <v>4.8</v>
      </c>
      <c r="R57" s="167">
        <f t="shared" si="18"/>
        <v>4.8</v>
      </c>
      <c r="S57" s="424">
        <f t="shared" si="2"/>
        <v>1</v>
      </c>
      <c r="T57" s="517">
        <f>IFERROR(INDEX($A$3:$AL$40,MATCH(Generation_Entsoe_SFS_2017[[#This Row],[Country]],$A$3:$A$40,0),MATCH(Generation_Entsoe_SFS_2017[[#Headers],[Consumption]],$A$1:$AL$1,0)),"")</f>
        <v>4.8</v>
      </c>
      <c r="U57" s="517">
        <f>IFERROR(INDEX($A$3:$AL$40,MATCH(Generation_Entsoe_SFS_2017[[#This Row],[Country]],$A$3:$A$40,0),MATCH(Generation_Entsoe_SFS_2017[[#Headers],[Pumping]],$A$1:$AL$1,0)),"")</f>
        <v>0</v>
      </c>
      <c r="W57" s="425" t="str">
        <f t="shared" si="3"/>
        <v>CY</v>
      </c>
      <c r="X57" s="366">
        <v>2017</v>
      </c>
      <c r="Y57" s="366" t="s">
        <v>648</v>
      </c>
      <c r="Z57" s="550">
        <f>IFERROR(Generation_Entsoe_SFS_2017[[#This Row],[Nuclear]]/Capacity_Entsoe_SFS_2017[[#This Row],[Nuclear]]*10^6,0)</f>
        <v>0</v>
      </c>
      <c r="AA57" s="550">
        <f>IFERROR(Generation_Entsoe_SFS_2017[[#This Row],[Lignite]]/Capacity_Entsoe_SFS_2017[[#This Row],[Lignite]]*10^6,0)</f>
        <v>0</v>
      </c>
      <c r="AB57" s="550">
        <f>IFERROR(Generation_Entsoe_SFS_2017[[#This Row],[Hard coal]]/Capacity_Entsoe_SFS_2017[[#This Row],[Hard coal]]*10^6,0)</f>
        <v>0</v>
      </c>
      <c r="AC57" s="550">
        <f>IFERROR(Generation_Entsoe_SFS_2017[[#This Row],[Fossil gases]]/Capacity_Entsoe_SFS_2017[[#This Row],[Fossil gases]]*10^6,0)</f>
        <v>0</v>
      </c>
      <c r="AD57" s="550">
        <f>IFERROR(Generation_Entsoe_SFS_2017[[#This Row],[Other fossil fuels]]/Capacity_Entsoe_SFS_2017[[#This Row],[Other fossil fuels]]*10^6,0)</f>
        <v>3112.3139377537209</v>
      </c>
      <c r="AE57" s="550">
        <f>IFERROR(Generation_Entsoe_SFS_2017[[#This Row],[Wind onshore]]/Capacity_Entsoe_SFS_2017[[#This Row],[Wind onshore]]*10^6,0)</f>
        <v>1290.3225806451612</v>
      </c>
      <c r="AF57" s="550">
        <f>IFERROR(Generation_Entsoe_SFS_2017[[#This Row],[Wind offshore]]/Capacity_Entsoe_SFS_2017[[#This Row],[Wind offshore]]*10^6,0)</f>
        <v>0</v>
      </c>
      <c r="AG57" s="550">
        <f>IFERROR(Generation_Entsoe_SFS_2017[[#This Row],[Solar PV]]/Capacity_Entsoe_SFS_2017[[#This Row],[Solar PV]]*10^6,0)</f>
        <v>0</v>
      </c>
      <c r="AH57" s="550">
        <f>IFERROR(Generation_Entsoe_SFS_2017[[#This Row],[Bioenergy]]/Capacity_Entsoe_SFS_2017[[#This Row],[Bioenergy]]*10^6,0)</f>
        <v>0</v>
      </c>
      <c r="AI57" s="550">
        <f>IFERROR(Generation_Entsoe_SFS_2017[[#This Row],[Other RES]]/Capacity_Entsoe_SFS_2017[[#This Row],[Other RES]]*10^6,0)</f>
        <v>0</v>
      </c>
      <c r="AJ57" s="550">
        <f>IFERROR(Generation_Entsoe_SFS_2017[[#This Row],[Renewable Hydro]]/Capacity_Entsoe_SFS_2017[[#This Row],[Renewable Hydro]]*10^6,0)</f>
        <v>0</v>
      </c>
      <c r="AK57" s="550">
        <f>IFERROR(Generation_Entsoe_SFS_2017[[#This Row],[Pumped Hydro]]/Capacity_Entsoe_SFS_2017[[#This Row],[Pumped Hydro]]*10^6,0)</f>
        <v>0</v>
      </c>
      <c r="AL57" s="550">
        <f>IFERROR(Generation_Entsoe_SFS_2017[[#This Row],[Other sources]]/Capacity_Entsoe_SFS_2017[[#This Row],[Other sources]]*10^6,0)</f>
        <v>0</v>
      </c>
    </row>
    <row r="58" spans="1:38" x14ac:dyDescent="0.2">
      <c r="A58" s="425" t="str">
        <f t="shared" si="0"/>
        <v>CZ</v>
      </c>
      <c r="B58" s="366">
        <f t="shared" si="4"/>
        <v>2017</v>
      </c>
      <c r="C58" s="366" t="str">
        <f t="shared" si="4"/>
        <v>TWh</v>
      </c>
      <c r="D58" s="144">
        <f t="shared" si="5"/>
        <v>26.8</v>
      </c>
      <c r="E58" s="144">
        <f t="shared" si="6"/>
        <v>33.5</v>
      </c>
      <c r="F58" s="167">
        <f t="shared" si="7"/>
        <v>4.0999999999999996</v>
      </c>
      <c r="G58" s="167">
        <f t="shared" si="8"/>
        <v>6.1</v>
      </c>
      <c r="H58" s="422">
        <f t="shared" si="9"/>
        <v>0.2</v>
      </c>
      <c r="I58" s="167">
        <f t="shared" si="10"/>
        <v>0.6</v>
      </c>
      <c r="J58" s="144">
        <f t="shared" si="11"/>
        <v>0</v>
      </c>
      <c r="K58" s="422">
        <f t="shared" si="12"/>
        <v>2.1</v>
      </c>
      <c r="L58" s="422">
        <f t="shared" si="13"/>
        <v>4.4000000000000004</v>
      </c>
      <c r="M58" s="422">
        <f t="shared" si="14"/>
        <v>0</v>
      </c>
      <c r="N58" s="167">
        <f t="shared" si="15"/>
        <v>1.8</v>
      </c>
      <c r="O58" s="167">
        <f t="shared" si="16"/>
        <v>1.2</v>
      </c>
      <c r="P58" s="422">
        <f t="shared" si="17"/>
        <v>0</v>
      </c>
      <c r="Q58" s="167">
        <f t="shared" si="1"/>
        <v>80.799999999999983</v>
      </c>
      <c r="R58" s="167">
        <f t="shared" si="18"/>
        <v>80.900000000000006</v>
      </c>
      <c r="S58" s="424">
        <f t="shared" si="2"/>
        <v>0.99876390605686005</v>
      </c>
      <c r="T58" s="517">
        <f>IFERROR(INDEX($A$3:$AL$40,MATCH(Generation_Entsoe_SFS_2017[[#This Row],[Country]],$A$3:$A$40,0),MATCH(Generation_Entsoe_SFS_2017[[#Headers],[Consumption]],$A$1:$AL$1,0)),"")</f>
        <v>66.3</v>
      </c>
      <c r="U58" s="517">
        <f>IFERROR(INDEX($A$3:$AL$40,MATCH(Generation_Entsoe_SFS_2017[[#This Row],[Country]],$A$3:$A$40,0),MATCH(Generation_Entsoe_SFS_2017[[#Headers],[Pumping]],$A$1:$AL$1,0)),"")</f>
        <v>1.5</v>
      </c>
      <c r="W58" s="425" t="str">
        <f t="shared" si="3"/>
        <v>CZ</v>
      </c>
      <c r="X58" s="366">
        <v>2017</v>
      </c>
      <c r="Y58" s="366" t="s">
        <v>648</v>
      </c>
      <c r="Z58" s="550">
        <f>IFERROR(Generation_Entsoe_SFS_2017[[#This Row],[Nuclear]]/Capacity_Entsoe_SFS_2017[[#This Row],[Nuclear]]*10^6,0)</f>
        <v>6633.6633663366338</v>
      </c>
      <c r="AA58" s="550">
        <f>IFERROR(Generation_Entsoe_SFS_2017[[#This Row],[Lignite]]/Capacity_Entsoe_SFS_2017[[#This Row],[Lignite]]*10^6,0)</f>
        <v>3944.8893075836081</v>
      </c>
      <c r="AB58" s="550">
        <f>IFERROR(Generation_Entsoe_SFS_2017[[#This Row],[Hard coal]]/Capacity_Entsoe_SFS_2017[[#This Row],[Hard coal]]*10^6,0)</f>
        <v>3416.6666666666665</v>
      </c>
      <c r="AC58" s="550">
        <f>IFERROR(Generation_Entsoe_SFS_2017[[#This Row],[Fossil gases]]/Capacity_Entsoe_SFS_2017[[#This Row],[Fossil gases]]*10^6,0)</f>
        <v>3798.2565379825651</v>
      </c>
      <c r="AD58" s="550">
        <f>IFERROR(Generation_Entsoe_SFS_2017[[#This Row],[Other fossil fuels]]/Capacity_Entsoe_SFS_2017[[#This Row],[Other fossil fuels]]*10^6,0)</f>
        <v>0</v>
      </c>
      <c r="AE58" s="550">
        <f>IFERROR(Generation_Entsoe_SFS_2017[[#This Row],[Wind onshore]]/Capacity_Entsoe_SFS_2017[[#This Row],[Wind onshore]]*10^6,0)</f>
        <v>1948.0519480519481</v>
      </c>
      <c r="AF58" s="550">
        <f>IFERROR(Generation_Entsoe_SFS_2017[[#This Row],[Wind offshore]]/Capacity_Entsoe_SFS_2017[[#This Row],[Wind offshore]]*10^6,0)</f>
        <v>0</v>
      </c>
      <c r="AG58" s="550">
        <f>IFERROR(Generation_Entsoe_SFS_2017[[#This Row],[Solar PV]]/Capacity_Entsoe_SFS_2017[[#This Row],[Solar PV]]*10^6,0)</f>
        <v>1029.4117647058824</v>
      </c>
      <c r="AH58" s="550">
        <f>IFERROR(Generation_Entsoe_SFS_2017[[#This Row],[Bioenergy]]/Capacity_Entsoe_SFS_2017[[#This Row],[Bioenergy]]*10^6,0)</f>
        <v>5500.0000000000009</v>
      </c>
      <c r="AI58" s="550">
        <f>IFERROR(Generation_Entsoe_SFS_2017[[#This Row],[Other RES]]/Capacity_Entsoe_SFS_2017[[#This Row],[Other RES]]*10^6,0)</f>
        <v>0</v>
      </c>
      <c r="AJ58" s="550">
        <f>IFERROR(Generation_Entsoe_SFS_2017[[#This Row],[Renewable Hydro]]/Capacity_Entsoe_SFS_2017[[#This Row],[Renewable Hydro]]*10^6,0)</f>
        <v>1655.9337626494939</v>
      </c>
      <c r="AK58" s="550">
        <f>IFERROR(Generation_Entsoe_SFS_2017[[#This Row],[Pumped Hydro]]/Capacity_Entsoe_SFS_2017[[#This Row],[Pumped Hydro]]*10^6,0)</f>
        <v>1023.8907849829352</v>
      </c>
      <c r="AL58" s="550">
        <f>IFERROR(Generation_Entsoe_SFS_2017[[#This Row],[Other sources]]/Capacity_Entsoe_SFS_2017[[#This Row],[Other sources]]*10^6,0)</f>
        <v>0</v>
      </c>
    </row>
    <row r="59" spans="1:38" x14ac:dyDescent="0.2">
      <c r="A59" s="425" t="str">
        <f t="shared" si="0"/>
        <v>DE</v>
      </c>
      <c r="B59" s="366">
        <f t="shared" si="4"/>
        <v>2017</v>
      </c>
      <c r="C59" s="366" t="str">
        <f t="shared" si="4"/>
        <v>TWh</v>
      </c>
      <c r="D59" s="144">
        <f t="shared" si="5"/>
        <v>72.2</v>
      </c>
      <c r="E59" s="144">
        <f t="shared" si="6"/>
        <v>137.30000000000001</v>
      </c>
      <c r="F59" s="167">
        <f t="shared" si="7"/>
        <v>84.2</v>
      </c>
      <c r="G59" s="167">
        <f t="shared" si="8"/>
        <v>82.9</v>
      </c>
      <c r="H59" s="422">
        <f t="shared" si="9"/>
        <v>8.5</v>
      </c>
      <c r="I59" s="167">
        <f t="shared" si="10"/>
        <v>86</v>
      </c>
      <c r="J59" s="144">
        <f t="shared" si="11"/>
        <v>17.399999999999999</v>
      </c>
      <c r="K59" s="422">
        <f t="shared" si="12"/>
        <v>35.5</v>
      </c>
      <c r="L59" s="422">
        <f t="shared" si="13"/>
        <v>40.6</v>
      </c>
      <c r="M59" s="422">
        <f t="shared" si="14"/>
        <v>6.9</v>
      </c>
      <c r="N59" s="167">
        <f t="shared" si="15"/>
        <v>19.5</v>
      </c>
      <c r="O59" s="167">
        <f t="shared" si="16"/>
        <v>6.4</v>
      </c>
      <c r="P59" s="422">
        <f t="shared" si="17"/>
        <v>5</v>
      </c>
      <c r="Q59" s="167">
        <f t="shared" si="1"/>
        <v>602.4</v>
      </c>
      <c r="R59" s="167">
        <f t="shared" si="18"/>
        <v>602.29999999999995</v>
      </c>
      <c r="S59" s="424">
        <f t="shared" si="2"/>
        <v>1.0001660302174997</v>
      </c>
      <c r="T59" s="517">
        <f>IFERROR(INDEX($A$3:$AL$40,MATCH(Generation_Entsoe_SFS_2017[[#This Row],[Country]],$A$3:$A$40,0),MATCH(Generation_Entsoe_SFS_2017[[#Headers],[Consumption]],$A$1:$AL$1,0)),"")</f>
        <v>538.70000000000005</v>
      </c>
      <c r="U59" s="517">
        <f>IFERROR(INDEX($A$3:$AL$40,MATCH(Generation_Entsoe_SFS_2017[[#This Row],[Country]],$A$3:$A$40,0),MATCH(Generation_Entsoe_SFS_2017[[#Headers],[Pumping]],$A$1:$AL$1,0)),"")</f>
        <v>8.3000000000000007</v>
      </c>
      <c r="W59" s="425" t="str">
        <f t="shared" si="3"/>
        <v>DE</v>
      </c>
      <c r="X59" s="366">
        <v>2017</v>
      </c>
      <c r="Y59" s="366" t="s">
        <v>648</v>
      </c>
      <c r="Z59" s="550">
        <f>IFERROR(Generation_Entsoe_SFS_2017[[#This Row],[Nuclear]]/Capacity_Entsoe_SFS_2017[[#This Row],[Nuclear]]*10^6,0)</f>
        <v>7592.8068145966981</v>
      </c>
      <c r="AA59" s="550">
        <f>IFERROR(Generation_Entsoe_SFS_2017[[#This Row],[Lignite]]/Capacity_Entsoe_SFS_2017[[#This Row],[Lignite]]*10^6,0)</f>
        <v>6599.6923668525287</v>
      </c>
      <c r="AB59" s="550">
        <f>IFERROR(Generation_Entsoe_SFS_2017[[#This Row],[Hard coal]]/Capacity_Entsoe_SFS_2017[[#This Row],[Hard coal]]*10^6,0)</f>
        <v>3366.6533386645342</v>
      </c>
      <c r="AC59" s="550">
        <f>IFERROR(Generation_Entsoe_SFS_2017[[#This Row],[Fossil gases]]/Capacity_Entsoe_SFS_2017[[#This Row],[Fossil gases]]*10^6,0)</f>
        <v>2710.7448826106861</v>
      </c>
      <c r="AD59" s="550">
        <f>IFERROR(Generation_Entsoe_SFS_2017[[#This Row],[Other fossil fuels]]/Capacity_Entsoe_SFS_2017[[#This Row],[Other fossil fuels]]*10^6,0)</f>
        <v>1640.6099208646981</v>
      </c>
      <c r="AE59" s="550">
        <f>IFERROR(Generation_Entsoe_SFS_2017[[#This Row],[Wind onshore]]/Capacity_Entsoe_SFS_2017[[#This Row],[Wind onshore]]*10^6,0)</f>
        <v>1730.3474779179492</v>
      </c>
      <c r="AF59" s="550">
        <f>IFERROR(Generation_Entsoe_SFS_2017[[#This Row],[Wind offshore]]/Capacity_Entsoe_SFS_2017[[#This Row],[Wind offshore]]*10^6,0)</f>
        <v>3239.6201824613663</v>
      </c>
      <c r="AG59" s="550">
        <f>IFERROR(Generation_Entsoe_SFS_2017[[#This Row],[Solar PV]]/Capacity_Entsoe_SFS_2017[[#This Row],[Solar PV]]*10^6,0)</f>
        <v>844.8357924797715</v>
      </c>
      <c r="AH59" s="550">
        <f>IFERROR(Generation_Entsoe_SFS_2017[[#This Row],[Bioenergy]]/Capacity_Entsoe_SFS_2017[[#This Row],[Bioenergy]]*10^6,0)</f>
        <v>5600</v>
      </c>
      <c r="AI59" s="550">
        <f>IFERROR(Generation_Entsoe_SFS_2017[[#This Row],[Other RES]]/Capacity_Entsoe_SFS_2017[[#This Row],[Other RES]]*10^6,0)</f>
        <v>5051.2445095168378</v>
      </c>
      <c r="AJ59" s="550">
        <f>IFERROR(Generation_Entsoe_SFS_2017[[#This Row],[Renewable Hydro]]/Capacity_Entsoe_SFS_2017[[#This Row],[Renewable Hydro]]*10^6,0)</f>
        <v>4500.3461804754206</v>
      </c>
      <c r="AK59" s="550">
        <f>IFERROR(Generation_Entsoe_SFS_2017[[#This Row],[Pumped Hydro]]/Capacity_Entsoe_SFS_2017[[#This Row],[Pumped Hydro]]*10^6,0)</f>
        <v>1018.7838268067495</v>
      </c>
      <c r="AL59" s="550">
        <f>IFERROR(Generation_Entsoe_SFS_2017[[#This Row],[Other sources]]/Capacity_Entsoe_SFS_2017[[#This Row],[Other sources]]*10^6,0)</f>
        <v>6097.5609756097565</v>
      </c>
    </row>
    <row r="60" spans="1:38" x14ac:dyDescent="0.2">
      <c r="A60" s="425" t="str">
        <f t="shared" si="0"/>
        <v>DK</v>
      </c>
      <c r="B60" s="366">
        <f t="shared" si="4"/>
        <v>2017</v>
      </c>
      <c r="C60" s="366" t="str">
        <f t="shared" si="4"/>
        <v>TWh</v>
      </c>
      <c r="D60" s="144">
        <f t="shared" si="5"/>
        <v>0</v>
      </c>
      <c r="E60" s="144">
        <f t="shared" si="6"/>
        <v>0</v>
      </c>
      <c r="F60" s="167">
        <f t="shared" si="7"/>
        <v>6.5</v>
      </c>
      <c r="G60" s="167">
        <f t="shared" si="8"/>
        <v>2.2000000000000002</v>
      </c>
      <c r="H60" s="422">
        <f t="shared" si="9"/>
        <v>0.1</v>
      </c>
      <c r="I60" s="167">
        <f t="shared" si="10"/>
        <v>9.6</v>
      </c>
      <c r="J60" s="144">
        <f t="shared" si="11"/>
        <v>5.2</v>
      </c>
      <c r="K60" s="422">
        <f t="shared" si="12"/>
        <v>0.8</v>
      </c>
      <c r="L60" s="422">
        <f t="shared" si="13"/>
        <v>3.7</v>
      </c>
      <c r="M60" s="422">
        <f t="shared" si="14"/>
        <v>1.4</v>
      </c>
      <c r="N60" s="167">
        <f t="shared" si="15"/>
        <v>0</v>
      </c>
      <c r="O60" s="167">
        <f t="shared" si="16"/>
        <v>0</v>
      </c>
      <c r="P60" s="422">
        <f t="shared" si="17"/>
        <v>0</v>
      </c>
      <c r="Q60" s="167">
        <f t="shared" si="1"/>
        <v>29.499999999999996</v>
      </c>
      <c r="R60" s="167">
        <f t="shared" si="18"/>
        <v>29.4</v>
      </c>
      <c r="S60" s="424">
        <f t="shared" si="2"/>
        <v>1.0034013605442176</v>
      </c>
      <c r="T60" s="517">
        <f>IFERROR(INDEX($A$3:$AL$40,MATCH(Generation_Entsoe_SFS_2017[[#This Row],[Country]],$A$3:$A$40,0),MATCH(Generation_Entsoe_SFS_2017[[#Headers],[Consumption]],$A$1:$AL$1,0)),"")</f>
        <v>34.1</v>
      </c>
      <c r="U60" s="517">
        <f>IFERROR(INDEX($A$3:$AL$40,MATCH(Generation_Entsoe_SFS_2017[[#This Row],[Country]],$A$3:$A$40,0),MATCH(Generation_Entsoe_SFS_2017[[#Headers],[Pumping]],$A$1:$AL$1,0)),"")</f>
        <v>0</v>
      </c>
      <c r="W60" s="425" t="str">
        <f t="shared" si="3"/>
        <v>DK</v>
      </c>
      <c r="X60" s="366">
        <v>2017</v>
      </c>
      <c r="Y60" s="366" t="s">
        <v>648</v>
      </c>
      <c r="Z60" s="550">
        <f>IFERROR(Generation_Entsoe_SFS_2017[[#This Row],[Nuclear]]/Capacity_Entsoe_SFS_2017[[#This Row],[Nuclear]]*10^6,0)</f>
        <v>0</v>
      </c>
      <c r="AA60" s="550">
        <f>IFERROR(Generation_Entsoe_SFS_2017[[#This Row],[Lignite]]/Capacity_Entsoe_SFS_2017[[#This Row],[Lignite]]*10^6,0)</f>
        <v>0</v>
      </c>
      <c r="AB60" s="550">
        <f>IFERROR(Generation_Entsoe_SFS_2017[[#This Row],[Hard coal]]/Capacity_Entsoe_SFS_2017[[#This Row],[Hard coal]]*10^6,0)</f>
        <v>1511.627906976744</v>
      </c>
      <c r="AC60" s="550">
        <f>IFERROR(Generation_Entsoe_SFS_2017[[#This Row],[Fossil gases]]/Capacity_Entsoe_SFS_2017[[#This Row],[Fossil gases]]*10^6,0)</f>
        <v>972.59062776304154</v>
      </c>
      <c r="AD60" s="550">
        <f>IFERROR(Generation_Entsoe_SFS_2017[[#This Row],[Other fossil fuels]]/Capacity_Entsoe_SFS_2017[[#This Row],[Other fossil fuels]]*10^6,0)</f>
        <v>95.419847328244273</v>
      </c>
      <c r="AE60" s="550">
        <f>IFERROR(Generation_Entsoe_SFS_2017[[#This Row],[Wind onshore]]/Capacity_Entsoe_SFS_2017[[#This Row],[Wind onshore]]*10^6,0)</f>
        <v>2267.8951098511693</v>
      </c>
      <c r="AF60" s="550">
        <f>IFERROR(Generation_Entsoe_SFS_2017[[#This Row],[Wind offshore]]/Capacity_Entsoe_SFS_2017[[#This Row],[Wind offshore]]*10^6,0)</f>
        <v>4113.9240506329115</v>
      </c>
      <c r="AG60" s="550">
        <f>IFERROR(Generation_Entsoe_SFS_2017[[#This Row],[Solar PV]]/Capacity_Entsoe_SFS_2017[[#This Row],[Solar PV]]*10^6,0)</f>
        <v>881.05726872246703</v>
      </c>
      <c r="AH60" s="550">
        <f>IFERROR(Generation_Entsoe_SFS_2017[[#This Row],[Bioenergy]]/Capacity_Entsoe_SFS_2017[[#This Row],[Bioenergy]]*10^6,0)</f>
        <v>2742.7724240177909</v>
      </c>
      <c r="AI60" s="550">
        <f>IFERROR(Generation_Entsoe_SFS_2017[[#This Row],[Other RES]]/Capacity_Entsoe_SFS_2017[[#This Row],[Other RES]]*10^6,0)</f>
        <v>3381.6425120772942</v>
      </c>
      <c r="AJ60" s="550">
        <f>IFERROR(Generation_Entsoe_SFS_2017[[#This Row],[Renewable Hydro]]/Capacity_Entsoe_SFS_2017[[#This Row],[Renewable Hydro]]*10^6,0)</f>
        <v>0</v>
      </c>
      <c r="AK60" s="550">
        <f>IFERROR(Generation_Entsoe_SFS_2017[[#This Row],[Pumped Hydro]]/Capacity_Entsoe_SFS_2017[[#This Row],[Pumped Hydro]]*10^6,0)</f>
        <v>0</v>
      </c>
      <c r="AL60" s="550">
        <f>IFERROR(Generation_Entsoe_SFS_2017[[#This Row],[Other sources]]/Capacity_Entsoe_SFS_2017[[#This Row],[Other sources]]*10^6,0)</f>
        <v>0</v>
      </c>
    </row>
    <row r="61" spans="1:38" x14ac:dyDescent="0.2">
      <c r="A61" s="425" t="str">
        <f t="shared" si="0"/>
        <v>EE</v>
      </c>
      <c r="B61" s="366">
        <f t="shared" si="4"/>
        <v>2017</v>
      </c>
      <c r="C61" s="366" t="str">
        <f t="shared" si="4"/>
        <v>TWh</v>
      </c>
      <c r="D61" s="144">
        <f t="shared" si="5"/>
        <v>0</v>
      </c>
      <c r="E61" s="144">
        <f t="shared" si="6"/>
        <v>0</v>
      </c>
      <c r="F61" s="167">
        <f t="shared" si="7"/>
        <v>0</v>
      </c>
      <c r="G61" s="167">
        <f t="shared" si="8"/>
        <v>0</v>
      </c>
      <c r="H61" s="422">
        <f t="shared" si="9"/>
        <v>9.6999999999999993</v>
      </c>
      <c r="I61" s="167">
        <f t="shared" si="10"/>
        <v>0.7</v>
      </c>
      <c r="J61" s="144">
        <f t="shared" si="11"/>
        <v>0</v>
      </c>
      <c r="K61" s="422">
        <f t="shared" si="12"/>
        <v>0</v>
      </c>
      <c r="L61" s="422">
        <f t="shared" si="13"/>
        <v>0.8</v>
      </c>
      <c r="M61" s="422">
        <f t="shared" si="14"/>
        <v>0.1</v>
      </c>
      <c r="N61" s="167">
        <f t="shared" si="15"/>
        <v>0</v>
      </c>
      <c r="O61" s="167">
        <f t="shared" si="16"/>
        <v>0</v>
      </c>
      <c r="P61" s="422">
        <f t="shared" si="17"/>
        <v>0</v>
      </c>
      <c r="Q61" s="167">
        <f t="shared" si="1"/>
        <v>11.299999999999999</v>
      </c>
      <c r="R61" s="167">
        <f t="shared" si="18"/>
        <v>11.2</v>
      </c>
      <c r="S61" s="424">
        <f t="shared" si="2"/>
        <v>1.0089285714285714</v>
      </c>
      <c r="T61" s="517">
        <f>IFERROR(INDEX($A$3:$AL$40,MATCH(Generation_Entsoe_SFS_2017[[#This Row],[Country]],$A$3:$A$40,0),MATCH(Generation_Entsoe_SFS_2017[[#Headers],[Consumption]],$A$1:$AL$1,0)),"")</f>
        <v>8.5</v>
      </c>
      <c r="U61" s="517">
        <f>IFERROR(INDEX($A$3:$AL$40,MATCH(Generation_Entsoe_SFS_2017[[#This Row],[Country]],$A$3:$A$40,0),MATCH(Generation_Entsoe_SFS_2017[[#Headers],[Pumping]],$A$1:$AL$1,0)),"")</f>
        <v>0</v>
      </c>
      <c r="W61" s="425" t="str">
        <f t="shared" si="3"/>
        <v>EE</v>
      </c>
      <c r="X61" s="366">
        <v>2017</v>
      </c>
      <c r="Y61" s="366" t="s">
        <v>648</v>
      </c>
      <c r="Z61" s="550">
        <f>IFERROR(Generation_Entsoe_SFS_2017[[#This Row],[Nuclear]]/Capacity_Entsoe_SFS_2017[[#This Row],[Nuclear]]*10^6,0)</f>
        <v>0</v>
      </c>
      <c r="AA61" s="550">
        <f>IFERROR(Generation_Entsoe_SFS_2017[[#This Row],[Lignite]]/Capacity_Entsoe_SFS_2017[[#This Row],[Lignite]]*10^6,0)</f>
        <v>0</v>
      </c>
      <c r="AB61" s="550">
        <f>IFERROR(Generation_Entsoe_SFS_2017[[#This Row],[Hard coal]]/Capacity_Entsoe_SFS_2017[[#This Row],[Hard coal]]*10^6,0)</f>
        <v>0</v>
      </c>
      <c r="AC61" s="550">
        <f>IFERROR(Generation_Entsoe_SFS_2017[[#This Row],[Fossil gases]]/Capacity_Entsoe_SFS_2017[[#This Row],[Fossil gases]]*10^6,0)</f>
        <v>0</v>
      </c>
      <c r="AD61" s="550">
        <f>IFERROR(Generation_Entsoe_SFS_2017[[#This Row],[Other fossil fuels]]/Capacity_Entsoe_SFS_2017[[#This Row],[Other fossil fuels]]*10^6,0)</f>
        <v>4507.434944237918</v>
      </c>
      <c r="AE61" s="550">
        <f>IFERROR(Generation_Entsoe_SFS_2017[[#This Row],[Wind onshore]]/Capacity_Entsoe_SFS_2017[[#This Row],[Wind onshore]]*10^6,0)</f>
        <v>2052.7859237536659</v>
      </c>
      <c r="AF61" s="550">
        <f>IFERROR(Generation_Entsoe_SFS_2017[[#This Row],[Wind offshore]]/Capacity_Entsoe_SFS_2017[[#This Row],[Wind offshore]]*10^6,0)</f>
        <v>0</v>
      </c>
      <c r="AG61" s="550">
        <f>IFERROR(Generation_Entsoe_SFS_2017[[#This Row],[Solar PV]]/Capacity_Entsoe_SFS_2017[[#This Row],[Solar PV]]*10^6,0)</f>
        <v>0</v>
      </c>
      <c r="AH61" s="553">
        <f>IFERROR(Generation_Entsoe_SFS_2017[[#This Row],[Bioenergy]]/Capacity_Entsoe_SFS_2017[[#This Row],[Bioenergy]]*10^6,0)</f>
        <v>8695.652173913044</v>
      </c>
      <c r="AI61" s="553">
        <f>IFERROR(Generation_Entsoe_SFS_2017[[#This Row],[Other RES]]/Capacity_Entsoe_SFS_2017[[#This Row],[Other RES]]*10^6,0)</f>
        <v>33333.333333333336</v>
      </c>
      <c r="AJ61" s="550">
        <f>IFERROR(Generation_Entsoe_SFS_2017[[#This Row],[Renewable Hydro]]/Capacity_Entsoe_SFS_2017[[#This Row],[Renewable Hydro]]*10^6,0)</f>
        <v>0</v>
      </c>
      <c r="AK61" s="550">
        <f>IFERROR(Generation_Entsoe_SFS_2017[[#This Row],[Pumped Hydro]]/Capacity_Entsoe_SFS_2017[[#This Row],[Pumped Hydro]]*10^6,0)</f>
        <v>0</v>
      </c>
      <c r="AL61" s="550">
        <f>IFERROR(Generation_Entsoe_SFS_2017[[#This Row],[Other sources]]/Capacity_Entsoe_SFS_2017[[#This Row],[Other sources]]*10^6,0)</f>
        <v>0</v>
      </c>
    </row>
    <row r="62" spans="1:38" x14ac:dyDescent="0.2">
      <c r="A62" s="425" t="str">
        <f t="shared" si="0"/>
        <v>ES</v>
      </c>
      <c r="B62" s="366">
        <f t="shared" si="4"/>
        <v>2017</v>
      </c>
      <c r="C62" s="366" t="str">
        <f t="shared" si="4"/>
        <v>TWh</v>
      </c>
      <c r="D62" s="144">
        <f t="shared" si="5"/>
        <v>55.6</v>
      </c>
      <c r="E62" s="144">
        <f t="shared" si="6"/>
        <v>4.7</v>
      </c>
      <c r="F62" s="167">
        <f t="shared" si="7"/>
        <v>40.5</v>
      </c>
      <c r="G62" s="167">
        <f t="shared" si="8"/>
        <v>61.2</v>
      </c>
      <c r="H62" s="422">
        <f t="shared" si="9"/>
        <v>11</v>
      </c>
      <c r="I62" s="167">
        <f t="shared" si="10"/>
        <v>47.9</v>
      </c>
      <c r="J62" s="144">
        <f t="shared" si="11"/>
        <v>0</v>
      </c>
      <c r="K62" s="422">
        <f t="shared" si="12"/>
        <v>8.4</v>
      </c>
      <c r="L62" s="422">
        <f t="shared" si="13"/>
        <v>3.6</v>
      </c>
      <c r="M62" s="422">
        <f t="shared" si="14"/>
        <v>6.2</v>
      </c>
      <c r="N62" s="167">
        <f t="shared" si="15"/>
        <v>18.400000000000002</v>
      </c>
      <c r="O62" s="167">
        <f t="shared" si="16"/>
        <v>2.2999999999999998</v>
      </c>
      <c r="P62" s="422">
        <f t="shared" si="17"/>
        <v>2.8000000000000003</v>
      </c>
      <c r="Q62" s="167">
        <f t="shared" si="1"/>
        <v>262.60000000000002</v>
      </c>
      <c r="R62" s="167">
        <f t="shared" si="18"/>
        <v>262.60000000000002</v>
      </c>
      <c r="S62" s="424">
        <f t="shared" si="2"/>
        <v>1</v>
      </c>
      <c r="T62" s="517">
        <f>IFERROR(INDEX($A$3:$AL$40,MATCH(Generation_Entsoe_SFS_2017[[#This Row],[Country]],$A$3:$A$40,0),MATCH(Generation_Entsoe_SFS_2017[[#Headers],[Consumption]],$A$1:$AL$1,0)),"")</f>
        <v>268.10000000000002</v>
      </c>
      <c r="U62" s="517">
        <f>IFERROR(INDEX($A$3:$AL$40,MATCH(Generation_Entsoe_SFS_2017[[#This Row],[Country]],$A$3:$A$40,0),MATCH(Generation_Entsoe_SFS_2017[[#Headers],[Pumping]],$A$1:$AL$1,0)),"")</f>
        <v>3.7</v>
      </c>
      <c r="W62" s="425" t="str">
        <f t="shared" si="3"/>
        <v>ES</v>
      </c>
      <c r="X62" s="366">
        <v>2017</v>
      </c>
      <c r="Y62" s="366" t="s">
        <v>648</v>
      </c>
      <c r="Z62" s="550">
        <f>IFERROR(Generation_Entsoe_SFS_2017[[#This Row],[Nuclear]]/Capacity_Entsoe_SFS_2017[[#This Row],[Nuclear]]*10^6,0)</f>
        <v>7812.2804552479975</v>
      </c>
      <c r="AA62" s="550">
        <f>IFERROR(Generation_Entsoe_SFS_2017[[#This Row],[Lignite]]/Capacity_Entsoe_SFS_2017[[#This Row],[Lignite]]*10^6,0)</f>
        <v>4450.757575757576</v>
      </c>
      <c r="AB62" s="550">
        <f>IFERROR(Generation_Entsoe_SFS_2017[[#This Row],[Hard coal]]/Capacity_Entsoe_SFS_2017[[#This Row],[Hard coal]]*10^6,0)</f>
        <v>4525.6453234998316</v>
      </c>
      <c r="AC62" s="550">
        <f>IFERROR(Generation_Entsoe_SFS_2017[[#This Row],[Fossil gases]]/Capacity_Entsoe_SFS_2017[[#This Row],[Fossil gases]]*10^6,0)</f>
        <v>1903.1034268300268</v>
      </c>
      <c r="AD62" s="550">
        <f>IFERROR(Generation_Entsoe_SFS_2017[[#This Row],[Other fossil fuels]]/Capacity_Entsoe_SFS_2017[[#This Row],[Other fossil fuels]]*10^6,0)</f>
        <v>3268.9450222882615</v>
      </c>
      <c r="AE62" s="550">
        <f>IFERROR(Generation_Entsoe_SFS_2017[[#This Row],[Wind onshore]]/Capacity_Entsoe_SFS_2017[[#This Row],[Wind onshore]]*10^6,0)</f>
        <v>2082.1560530319493</v>
      </c>
      <c r="AF62" s="550">
        <f>IFERROR(Generation_Entsoe_SFS_2017[[#This Row],[Wind offshore]]/Capacity_Entsoe_SFS_2017[[#This Row],[Wind offshore]]*10^6,0)</f>
        <v>0</v>
      </c>
      <c r="AG62" s="550">
        <f>IFERROR(Generation_Entsoe_SFS_2017[[#This Row],[Solar PV]]/Capacity_Entsoe_SFS_2017[[#This Row],[Solar PV]]*10^6,0)</f>
        <v>1796.4071856287426</v>
      </c>
      <c r="AH62" s="550">
        <f>IFERROR(Generation_Entsoe_SFS_2017[[#This Row],[Bioenergy]]/Capacity_Entsoe_SFS_2017[[#This Row],[Bioenergy]]*10^6,0)</f>
        <v>4838.7096774193551</v>
      </c>
      <c r="AI62" s="550">
        <f>IFERROR(Generation_Entsoe_SFS_2017[[#This Row],[Other RES]]/Capacity_Entsoe_SFS_2017[[#This Row],[Other RES]]*10^6,0)</f>
        <v>2559.8678777869527</v>
      </c>
      <c r="AJ62" s="550">
        <f>IFERROR(Generation_Entsoe_SFS_2017[[#This Row],[Renewable Hydro]]/Capacity_Entsoe_SFS_2017[[#This Row],[Renewable Hydro]]*10^6,0)</f>
        <v>1082.1619714168089</v>
      </c>
      <c r="AK62" s="550">
        <f>IFERROR(Generation_Entsoe_SFS_2017[[#This Row],[Pumped Hydro]]/Capacity_Entsoe_SFS_2017[[#This Row],[Pumped Hydro]]*10^6,0)</f>
        <v>690.89816761790314</v>
      </c>
      <c r="AL62" s="550">
        <f>IFERROR(Generation_Entsoe_SFS_2017[[#This Row],[Other sources]]/Capacity_Entsoe_SFS_2017[[#This Row],[Other sources]]*10^6,0)</f>
        <v>3994.2938659058491</v>
      </c>
    </row>
    <row r="63" spans="1:38" x14ac:dyDescent="0.2">
      <c r="A63" s="425" t="str">
        <f t="shared" si="0"/>
        <v>FI</v>
      </c>
      <c r="B63" s="366">
        <f t="shared" si="4"/>
        <v>2017</v>
      </c>
      <c r="C63" s="366" t="str">
        <f t="shared" si="4"/>
        <v>TWh</v>
      </c>
      <c r="D63" s="144">
        <f t="shared" si="5"/>
        <v>21.6</v>
      </c>
      <c r="E63" s="144">
        <f t="shared" si="6"/>
        <v>0</v>
      </c>
      <c r="F63" s="167">
        <f t="shared" si="7"/>
        <v>6.1</v>
      </c>
      <c r="G63" s="167">
        <f t="shared" si="8"/>
        <v>3.2</v>
      </c>
      <c r="H63" s="422">
        <f t="shared" si="9"/>
        <v>2.9000000000000004</v>
      </c>
      <c r="I63" s="167">
        <f t="shared" si="10"/>
        <v>4.8</v>
      </c>
      <c r="J63" s="144">
        <f t="shared" si="11"/>
        <v>0</v>
      </c>
      <c r="K63" s="422">
        <f t="shared" si="12"/>
        <v>0</v>
      </c>
      <c r="L63" s="422">
        <f t="shared" si="13"/>
        <v>10.9</v>
      </c>
      <c r="M63" s="422">
        <f t="shared" si="14"/>
        <v>0</v>
      </c>
      <c r="N63" s="167">
        <f t="shared" si="15"/>
        <v>14.6</v>
      </c>
      <c r="O63" s="167">
        <f t="shared" si="16"/>
        <v>0</v>
      </c>
      <c r="P63" s="422">
        <f t="shared" si="17"/>
        <v>0.9</v>
      </c>
      <c r="Q63" s="167">
        <f t="shared" si="1"/>
        <v>65</v>
      </c>
      <c r="R63" s="167">
        <f t="shared" si="18"/>
        <v>65.099999999999994</v>
      </c>
      <c r="S63" s="424">
        <f t="shared" si="2"/>
        <v>0.99846390168970822</v>
      </c>
      <c r="T63" s="517">
        <f>IFERROR(INDEX($A$3:$AL$40,MATCH(Generation_Entsoe_SFS_2017[[#This Row],[Country]],$A$3:$A$40,0),MATCH(Generation_Entsoe_SFS_2017[[#Headers],[Consumption]],$A$1:$AL$1,0)),"")</f>
        <v>85.5</v>
      </c>
      <c r="U63" s="517">
        <f>IFERROR(INDEX($A$3:$AL$40,MATCH(Generation_Entsoe_SFS_2017[[#This Row],[Country]],$A$3:$A$40,0),MATCH(Generation_Entsoe_SFS_2017[[#Headers],[Pumping]],$A$1:$AL$1,0)),"")</f>
        <v>0</v>
      </c>
      <c r="W63" s="425" t="str">
        <f t="shared" si="3"/>
        <v>FI</v>
      </c>
      <c r="X63" s="366">
        <v>2017</v>
      </c>
      <c r="Y63" s="366" t="s">
        <v>648</v>
      </c>
      <c r="Z63" s="550">
        <f>IFERROR(Generation_Entsoe_SFS_2017[[#This Row],[Nuclear]]/Capacity_Entsoe_SFS_2017[[#This Row],[Nuclear]]*10^6,0)</f>
        <v>7764.1984184040266</v>
      </c>
      <c r="AA63" s="550">
        <f>IFERROR(Generation_Entsoe_SFS_2017[[#This Row],[Lignite]]/Capacity_Entsoe_SFS_2017[[#This Row],[Lignite]]*10^6,0)</f>
        <v>0</v>
      </c>
      <c r="AB63" s="550">
        <f>IFERROR(Generation_Entsoe_SFS_2017[[#This Row],[Hard coal]]/Capacity_Entsoe_SFS_2017[[#This Row],[Hard coal]]*10^6,0)</f>
        <v>2677.7875329236172</v>
      </c>
      <c r="AC63" s="550">
        <f>IFERROR(Generation_Entsoe_SFS_2017[[#This Row],[Fossil gases]]/Capacity_Entsoe_SFS_2017[[#This Row],[Fossil gases]]*10^6,0)</f>
        <v>1715.8176943699734</v>
      </c>
      <c r="AD63" s="550">
        <f>IFERROR(Generation_Entsoe_SFS_2017[[#This Row],[Other fossil fuels]]/Capacity_Entsoe_SFS_2017[[#This Row],[Other fossil fuels]]*10^6,0)</f>
        <v>1150.3371677905593</v>
      </c>
      <c r="AE63" s="550">
        <f>IFERROR(Generation_Entsoe_SFS_2017[[#This Row],[Wind onshore]]/Capacity_Entsoe_SFS_2017[[#This Row],[Wind onshore]]*10^6,0)</f>
        <v>2515.7232704402513</v>
      </c>
      <c r="AF63" s="550">
        <f>IFERROR(Generation_Entsoe_SFS_2017[[#This Row],[Wind offshore]]/Capacity_Entsoe_SFS_2017[[#This Row],[Wind offshore]]*10^6,0)</f>
        <v>0</v>
      </c>
      <c r="AG63" s="550">
        <f>IFERROR(Generation_Entsoe_SFS_2017[[#This Row],[Solar PV]]/Capacity_Entsoe_SFS_2017[[#This Row],[Solar PV]]*10^6,0)</f>
        <v>0</v>
      </c>
      <c r="AH63" s="550">
        <f>IFERROR(Generation_Entsoe_SFS_2017[[#This Row],[Bioenergy]]/Capacity_Entsoe_SFS_2017[[#This Row],[Bioenergy]]*10^6,0)</f>
        <v>6012.1345835631546</v>
      </c>
      <c r="AI63" s="550">
        <f>IFERROR(Generation_Entsoe_SFS_2017[[#This Row],[Other RES]]/Capacity_Entsoe_SFS_2017[[#This Row],[Other RES]]*10^6,0)</f>
        <v>0</v>
      </c>
      <c r="AJ63" s="550">
        <f>IFERROR(Generation_Entsoe_SFS_2017[[#This Row],[Renewable Hydro]]/Capacity_Entsoe_SFS_2017[[#This Row],[Renewable Hydro]]*10^6,0)</f>
        <v>4636.39250555732</v>
      </c>
      <c r="AK63" s="550">
        <f>IFERROR(Generation_Entsoe_SFS_2017[[#This Row],[Pumped Hydro]]/Capacity_Entsoe_SFS_2017[[#This Row],[Pumped Hydro]]*10^6,0)</f>
        <v>0</v>
      </c>
      <c r="AL63" s="550">
        <f>IFERROR(Generation_Entsoe_SFS_2017[[#This Row],[Other sources]]/Capacity_Entsoe_SFS_2017[[#This Row],[Other sources]]*10^6,0)</f>
        <v>5732.4840764331211</v>
      </c>
    </row>
    <row r="64" spans="1:38" x14ac:dyDescent="0.2">
      <c r="A64" s="425" t="str">
        <f t="shared" si="0"/>
        <v>FR</v>
      </c>
      <c r="B64" s="366">
        <f t="shared" si="4"/>
        <v>2017</v>
      </c>
      <c r="C64" s="366" t="str">
        <f t="shared" si="4"/>
        <v>TWh</v>
      </c>
      <c r="D64" s="144">
        <f t="shared" si="5"/>
        <v>379.1</v>
      </c>
      <c r="E64" s="144">
        <f t="shared" si="6"/>
        <v>0</v>
      </c>
      <c r="F64" s="167">
        <f t="shared" si="7"/>
        <v>9.6999999999999993</v>
      </c>
      <c r="G64" s="167">
        <f t="shared" si="8"/>
        <v>40.9</v>
      </c>
      <c r="H64" s="422">
        <f t="shared" si="9"/>
        <v>3.8</v>
      </c>
      <c r="I64" s="167">
        <f t="shared" si="10"/>
        <v>24</v>
      </c>
      <c r="J64" s="144">
        <f t="shared" si="11"/>
        <v>0</v>
      </c>
      <c r="K64" s="422">
        <f t="shared" si="12"/>
        <v>9.1999999999999993</v>
      </c>
      <c r="L64" s="422">
        <f t="shared" si="13"/>
        <v>5</v>
      </c>
      <c r="M64" s="422">
        <f t="shared" si="14"/>
        <v>2.1</v>
      </c>
      <c r="N64" s="167">
        <f t="shared" si="15"/>
        <v>48.800000000000004</v>
      </c>
      <c r="O64" s="167">
        <f t="shared" si="16"/>
        <v>4.9000000000000004</v>
      </c>
      <c r="P64" s="422">
        <f t="shared" si="17"/>
        <v>2.1</v>
      </c>
      <c r="Q64" s="167">
        <f t="shared" si="1"/>
        <v>529.6</v>
      </c>
      <c r="R64" s="167">
        <f t="shared" si="18"/>
        <v>529.4</v>
      </c>
      <c r="S64" s="424">
        <f t="shared" si="2"/>
        <v>1.0003777861730261</v>
      </c>
      <c r="T64" s="517">
        <f>IFERROR(INDEX($A$3:$AL$40,MATCH(Generation_Entsoe_SFS_2017[[#This Row],[Country]],$A$3:$A$40,0),MATCH(Generation_Entsoe_SFS_2017[[#Headers],[Consumption]],$A$1:$AL$1,0)),"")</f>
        <v>482</v>
      </c>
      <c r="U64" s="517">
        <f>IFERROR(INDEX($A$3:$AL$40,MATCH(Generation_Entsoe_SFS_2017[[#This Row],[Country]],$A$3:$A$40,0),MATCH(Generation_Entsoe_SFS_2017[[#Headers],[Pumping]],$A$1:$AL$1,0)),"")</f>
        <v>7.1</v>
      </c>
      <c r="W64" s="425" t="str">
        <f t="shared" si="3"/>
        <v>FR</v>
      </c>
      <c r="X64" s="366">
        <v>2017</v>
      </c>
      <c r="Y64" s="366" t="s">
        <v>648</v>
      </c>
      <c r="Z64" s="550">
        <f>IFERROR(Generation_Entsoe_SFS_2017[[#This Row],[Nuclear]]/Capacity_Entsoe_SFS_2017[[#This Row],[Nuclear]]*10^6,0)</f>
        <v>6005.0689054332333</v>
      </c>
      <c r="AA64" s="550">
        <f>IFERROR(Generation_Entsoe_SFS_2017[[#This Row],[Lignite]]/Capacity_Entsoe_SFS_2017[[#This Row],[Lignite]]*10^6,0)</f>
        <v>0</v>
      </c>
      <c r="AB64" s="550">
        <f>IFERROR(Generation_Entsoe_SFS_2017[[#This Row],[Hard coal]]/Capacity_Entsoe_SFS_2017[[#This Row],[Hard coal]]*10^6,0)</f>
        <v>3236.5699032365696</v>
      </c>
      <c r="AC64" s="550">
        <f>IFERROR(Generation_Entsoe_SFS_2017[[#This Row],[Fossil gases]]/Capacity_Entsoe_SFS_2017[[#This Row],[Fossil gases]]*10^6,0)</f>
        <v>3451.1855539616909</v>
      </c>
      <c r="AD64" s="550">
        <f>IFERROR(Generation_Entsoe_SFS_2017[[#This Row],[Other fossil fuels]]/Capacity_Entsoe_SFS_2017[[#This Row],[Other fossil fuels]]*10^6,0)</f>
        <v>927.28160078086864</v>
      </c>
      <c r="AE64" s="550">
        <f>IFERROR(Generation_Entsoe_SFS_2017[[#This Row],[Wind onshore]]/Capacity_Entsoe_SFS_2017[[#This Row],[Wind onshore]]*10^6,0)</f>
        <v>1772.6567693330378</v>
      </c>
      <c r="AF64" s="550">
        <f>IFERROR(Generation_Entsoe_SFS_2017[[#This Row],[Wind offshore]]/Capacity_Entsoe_SFS_2017[[#This Row],[Wind offshore]]*10^6,0)</f>
        <v>0</v>
      </c>
      <c r="AG64" s="550">
        <f>IFERROR(Generation_Entsoe_SFS_2017[[#This Row],[Solar PV]]/Capacity_Entsoe_SFS_2017[[#This Row],[Solar PV]]*10^6,0)</f>
        <v>1203.2435260266805</v>
      </c>
      <c r="AH64" s="550">
        <f>IFERROR(Generation_Entsoe_SFS_2017[[#This Row],[Bioenergy]]/Capacity_Entsoe_SFS_2017[[#This Row],[Bioenergy]]*10^6,0)</f>
        <v>4625.3469010175759</v>
      </c>
      <c r="AI64" s="550">
        <f>IFERROR(Generation_Entsoe_SFS_2017[[#This Row],[Other RES]]/Capacity_Entsoe_SFS_2017[[#This Row],[Other RES]]*10^6,0)</f>
        <v>808.93682588597846</v>
      </c>
      <c r="AJ64" s="550">
        <f>IFERROR(Generation_Entsoe_SFS_2017[[#This Row],[Renewable Hydro]]/Capacity_Entsoe_SFS_2017[[#This Row],[Renewable Hydro]]*10^6,0)</f>
        <v>2051.3682794568922</v>
      </c>
      <c r="AK64" s="550">
        <f>IFERROR(Generation_Entsoe_SFS_2017[[#This Row],[Pumped Hydro]]/Capacity_Entsoe_SFS_2017[[#This Row],[Pumped Hydro]]*10^6,0)</f>
        <v>0</v>
      </c>
      <c r="AL64" s="550">
        <f>IFERROR(Generation_Entsoe_SFS_2017[[#This Row],[Other sources]]/Capacity_Entsoe_SFS_2017[[#This Row],[Other sources]]*10^6,0)</f>
        <v>0</v>
      </c>
    </row>
    <row r="65" spans="1:38" x14ac:dyDescent="0.2">
      <c r="A65" s="425" t="str">
        <f t="shared" si="0"/>
        <v>GB</v>
      </c>
      <c r="B65" s="366">
        <f t="shared" si="4"/>
        <v>2017</v>
      </c>
      <c r="C65" s="366" t="str">
        <f t="shared" si="4"/>
        <v>TWh</v>
      </c>
      <c r="D65" s="144">
        <f t="shared" si="5"/>
        <v>65.599999999999994</v>
      </c>
      <c r="E65" s="144">
        <f t="shared" si="6"/>
        <v>0</v>
      </c>
      <c r="F65" s="167">
        <f t="shared" si="7"/>
        <v>23.7</v>
      </c>
      <c r="G65" s="167">
        <f t="shared" si="8"/>
        <v>143.6</v>
      </c>
      <c r="H65" s="422">
        <f t="shared" si="9"/>
        <v>0</v>
      </c>
      <c r="I65" s="167">
        <f t="shared" si="10"/>
        <v>27.9</v>
      </c>
      <c r="J65" s="144">
        <f t="shared" si="11"/>
        <v>16</v>
      </c>
      <c r="K65" s="422">
        <f t="shared" si="12"/>
        <v>10.5</v>
      </c>
      <c r="L65" s="422">
        <f t="shared" si="13"/>
        <v>17.400000000000002</v>
      </c>
      <c r="M65" s="422">
        <f t="shared" si="14"/>
        <v>0.1</v>
      </c>
      <c r="N65" s="167">
        <f t="shared" si="15"/>
        <v>7.5</v>
      </c>
      <c r="O65" s="167">
        <f t="shared" si="16"/>
        <v>0</v>
      </c>
      <c r="P65" s="422">
        <f t="shared" si="17"/>
        <v>0</v>
      </c>
      <c r="Q65" s="167">
        <f t="shared" si="1"/>
        <v>312.29999999999995</v>
      </c>
      <c r="R65" s="167">
        <f t="shared" si="18"/>
        <v>312.3</v>
      </c>
      <c r="S65" s="424">
        <f t="shared" si="2"/>
        <v>0.99999999999999978</v>
      </c>
      <c r="T65" s="517">
        <f>IFERROR(INDEX($A$3:$AL$40,MATCH(Generation_Entsoe_SFS_2017[[#This Row],[Country]],$A$3:$A$40,0),MATCH(Generation_Entsoe_SFS_2017[[#Headers],[Consumption]],$A$1:$AL$1,0)),"")</f>
        <v>324.8</v>
      </c>
      <c r="U65" s="517">
        <f>IFERROR(INDEX($A$3:$AL$40,MATCH(Generation_Entsoe_SFS_2017[[#This Row],[Country]],$A$3:$A$40,0),MATCH(Generation_Entsoe_SFS_2017[[#Headers],[Pumping]],$A$1:$AL$1,0)),"")</f>
        <v>3.9</v>
      </c>
      <c r="W65" s="425" t="str">
        <f t="shared" si="3"/>
        <v>GB</v>
      </c>
      <c r="X65" s="366">
        <v>2017</v>
      </c>
      <c r="Y65" s="366" t="s">
        <v>648</v>
      </c>
      <c r="Z65" s="550">
        <f>IFERROR(Generation_Entsoe_SFS_2017[[#This Row],[Nuclear]]/Capacity_Entsoe_SFS_2017[[#This Row],[Nuclear]]*10^6,0)</f>
        <v>7093.4256055363312</v>
      </c>
      <c r="AA65" s="550">
        <f>IFERROR(Generation_Entsoe_SFS_2017[[#This Row],[Lignite]]/Capacity_Entsoe_SFS_2017[[#This Row],[Lignite]]*10^6,0)</f>
        <v>0</v>
      </c>
      <c r="AB65" s="550">
        <f>IFERROR(Generation_Entsoe_SFS_2017[[#This Row],[Hard coal]]/Capacity_Entsoe_SFS_2017[[#This Row],[Hard coal]]*10^6,0)</f>
        <v>1675.5037115588545</v>
      </c>
      <c r="AC65" s="550">
        <f>IFERROR(Generation_Entsoe_SFS_2017[[#This Row],[Fossil gases]]/Capacity_Entsoe_SFS_2017[[#This Row],[Fossil gases]]*10^6,0)</f>
        <v>4613.8028531037135</v>
      </c>
      <c r="AD65" s="550">
        <f>IFERROR(Generation_Entsoe_SFS_2017[[#This Row],[Other fossil fuels]]/Capacity_Entsoe_SFS_2017[[#This Row],[Other fossil fuels]]*10^6,0)</f>
        <v>0</v>
      </c>
      <c r="AE65" s="550">
        <f>IFERROR(Generation_Entsoe_SFS_2017[[#This Row],[Wind onshore]]/Capacity_Entsoe_SFS_2017[[#This Row],[Wind onshore]]*10^6,0)</f>
        <v>2154.4401544401544</v>
      </c>
      <c r="AF65" s="550">
        <f>IFERROR(Generation_Entsoe_SFS_2017[[#This Row],[Wind offshore]]/Capacity_Entsoe_SFS_2017[[#This Row],[Wind offshore]]*10^6,0)</f>
        <v>2962.9629629629626</v>
      </c>
      <c r="AG65" s="550">
        <f>IFERROR(Generation_Entsoe_SFS_2017[[#This Row],[Solar PV]]/Capacity_Entsoe_SFS_2017[[#This Row],[Solar PV]]*10^6,0)</f>
        <v>813.95348837209303</v>
      </c>
      <c r="AH65" s="553">
        <f>IFERROR(Generation_Entsoe_SFS_2017[[#This Row],[Bioenergy]]/Capacity_Entsoe_SFS_2017[[#This Row],[Bioenergy]]*10^6,0)</f>
        <v>8293.6129647283142</v>
      </c>
      <c r="AI65" s="553">
        <f>IFERROR(Generation_Entsoe_SFS_2017[[#This Row],[Other RES]]/Capacity_Entsoe_SFS_2017[[#This Row],[Other RES]]*10^6,0)</f>
        <v>100000</v>
      </c>
      <c r="AJ65" s="550">
        <f>IFERROR(Generation_Entsoe_SFS_2017[[#This Row],[Renewable Hydro]]/Capacity_Entsoe_SFS_2017[[#This Row],[Renewable Hydro]]*10^6,0)</f>
        <v>1962.8369536770479</v>
      </c>
      <c r="AK65" s="550">
        <f>IFERROR(Generation_Entsoe_SFS_2017[[#This Row],[Pumped Hydro]]/Capacity_Entsoe_SFS_2017[[#This Row],[Pumped Hydro]]*10^6,0)</f>
        <v>0</v>
      </c>
      <c r="AL65" s="550">
        <f>IFERROR(Generation_Entsoe_SFS_2017[[#This Row],[Other sources]]/Capacity_Entsoe_SFS_2017[[#This Row],[Other sources]]*10^6,0)</f>
        <v>0</v>
      </c>
    </row>
    <row r="66" spans="1:38" x14ac:dyDescent="0.2">
      <c r="A66" s="425" t="str">
        <f t="shared" si="0"/>
        <v>GR</v>
      </c>
      <c r="B66" s="366">
        <f t="shared" ref="B66:C72" si="19">B20</f>
        <v>2017</v>
      </c>
      <c r="C66" s="366" t="str">
        <f t="shared" si="19"/>
        <v>TWh</v>
      </c>
      <c r="D66" s="144">
        <f t="shared" si="5"/>
        <v>0</v>
      </c>
      <c r="E66" s="144">
        <f t="shared" si="6"/>
        <v>16.399999999999999</v>
      </c>
      <c r="F66" s="167">
        <f t="shared" si="7"/>
        <v>0</v>
      </c>
      <c r="G66" s="167">
        <f t="shared" si="8"/>
        <v>15.4</v>
      </c>
      <c r="H66" s="422">
        <f t="shared" si="9"/>
        <v>0</v>
      </c>
      <c r="I66" s="167">
        <f t="shared" si="10"/>
        <v>4.8</v>
      </c>
      <c r="J66" s="144">
        <f t="shared" si="11"/>
        <v>0</v>
      </c>
      <c r="K66" s="422">
        <f t="shared" si="12"/>
        <v>3.7</v>
      </c>
      <c r="L66" s="422">
        <f t="shared" si="13"/>
        <v>0.3</v>
      </c>
      <c r="M66" s="422">
        <f t="shared" si="14"/>
        <v>1.2</v>
      </c>
      <c r="N66" s="167">
        <f t="shared" si="15"/>
        <v>4</v>
      </c>
      <c r="O66" s="167">
        <f t="shared" si="16"/>
        <v>0.1</v>
      </c>
      <c r="P66" s="422">
        <f t="shared" si="17"/>
        <v>0</v>
      </c>
      <c r="Q66" s="167">
        <f t="shared" si="1"/>
        <v>45.9</v>
      </c>
      <c r="R66" s="167">
        <f t="shared" si="18"/>
        <v>45.8</v>
      </c>
      <c r="S66" s="424">
        <f t="shared" si="2"/>
        <v>1.0021834061135371</v>
      </c>
      <c r="T66" s="517">
        <f>IFERROR(INDEX($A$3:$AL$40,MATCH(Generation_Entsoe_SFS_2017[[#This Row],[Country]],$A$3:$A$40,0),MATCH(Generation_Entsoe_SFS_2017[[#Headers],[Consumption]],$A$1:$AL$1,0)),"")</f>
        <v>51.9</v>
      </c>
      <c r="U66" s="517">
        <f>IFERROR(INDEX($A$3:$AL$40,MATCH(Generation_Entsoe_SFS_2017[[#This Row],[Country]],$A$3:$A$40,0),MATCH(Generation_Entsoe_SFS_2017[[#Headers],[Pumping]],$A$1:$AL$1,0)),"")</f>
        <v>0.1</v>
      </c>
      <c r="W66" s="425" t="str">
        <f t="shared" si="3"/>
        <v>GR</v>
      </c>
      <c r="X66" s="366">
        <v>2017</v>
      </c>
      <c r="Y66" s="366" t="s">
        <v>648</v>
      </c>
      <c r="Z66" s="550">
        <f>IFERROR(Generation_Entsoe_SFS_2017[[#This Row],[Nuclear]]/Capacity_Entsoe_SFS_2017[[#This Row],[Nuclear]]*10^6,0)</f>
        <v>0</v>
      </c>
      <c r="AA66" s="550">
        <f>IFERROR(Generation_Entsoe_SFS_2017[[#This Row],[Lignite]]/Capacity_Entsoe_SFS_2017[[#This Row],[Lignite]]*10^6,0)</f>
        <v>4200.8196721311469</v>
      </c>
      <c r="AB66" s="550">
        <f>IFERROR(Generation_Entsoe_SFS_2017[[#This Row],[Hard coal]]/Capacity_Entsoe_SFS_2017[[#This Row],[Hard coal]]*10^6,0)</f>
        <v>0</v>
      </c>
      <c r="AC66" s="550">
        <f>IFERROR(Generation_Entsoe_SFS_2017[[#This Row],[Fossil gases]]/Capacity_Entsoe_SFS_2017[[#This Row],[Fossil gases]]*10^6,0)</f>
        <v>3607.4022019208246</v>
      </c>
      <c r="AD66" s="550">
        <f>IFERROR(Generation_Entsoe_SFS_2017[[#This Row],[Other fossil fuels]]/Capacity_Entsoe_SFS_2017[[#This Row],[Other fossil fuels]]*10^6,0)</f>
        <v>0</v>
      </c>
      <c r="AE66" s="550">
        <f>IFERROR(Generation_Entsoe_SFS_2017[[#This Row],[Wind onshore]]/Capacity_Entsoe_SFS_2017[[#This Row],[Wind onshore]]*10^6,0)</f>
        <v>2305.4755043227665</v>
      </c>
      <c r="AF66" s="550">
        <f>IFERROR(Generation_Entsoe_SFS_2017[[#This Row],[Wind offshore]]/Capacity_Entsoe_SFS_2017[[#This Row],[Wind offshore]]*10^6,0)</f>
        <v>0</v>
      </c>
      <c r="AG66" s="550">
        <f>IFERROR(Generation_Entsoe_SFS_2017[[#This Row],[Solar PV]]/Capacity_Entsoe_SFS_2017[[#This Row],[Solar PV]]*10^6,0)</f>
        <v>1511.437908496732</v>
      </c>
      <c r="AH66" s="550">
        <f>IFERROR(Generation_Entsoe_SFS_2017[[#This Row],[Bioenergy]]/Capacity_Entsoe_SFS_2017[[#This Row],[Bioenergy]]*10^6,0)</f>
        <v>5000</v>
      </c>
      <c r="AI66" s="550">
        <f>IFERROR(Generation_Entsoe_SFS_2017[[#This Row],[Other RES]]/Capacity_Entsoe_SFS_2017[[#This Row],[Other RES]]*10^6,0)</f>
        <v>5217.391304347826</v>
      </c>
      <c r="AJ66" s="550">
        <f>IFERROR(Generation_Entsoe_SFS_2017[[#This Row],[Renewable Hydro]]/Capacity_Entsoe_SFS_2017[[#This Row],[Renewable Hydro]]*10^6,0)</f>
        <v>1176.8167107972931</v>
      </c>
      <c r="AK66" s="550">
        <f>IFERROR(Generation_Entsoe_SFS_2017[[#This Row],[Pumped Hydro]]/Capacity_Entsoe_SFS_2017[[#This Row],[Pumped Hydro]]*10^6,0)</f>
        <v>0</v>
      </c>
      <c r="AL66" s="550">
        <f>IFERROR(Generation_Entsoe_SFS_2017[[#This Row],[Other sources]]/Capacity_Entsoe_SFS_2017[[#This Row],[Other sources]]*10^6,0)</f>
        <v>0</v>
      </c>
    </row>
    <row r="67" spans="1:38" x14ac:dyDescent="0.2">
      <c r="A67" s="425" t="str">
        <f t="shared" si="0"/>
        <v>HR</v>
      </c>
      <c r="B67" s="366">
        <f t="shared" si="19"/>
        <v>2017</v>
      </c>
      <c r="C67" s="366" t="str">
        <f t="shared" si="19"/>
        <v>TWh</v>
      </c>
      <c r="D67" s="144">
        <f t="shared" si="5"/>
        <v>0</v>
      </c>
      <c r="E67" s="144">
        <f t="shared" si="6"/>
        <v>0</v>
      </c>
      <c r="F67" s="167">
        <f t="shared" si="7"/>
        <v>1.3</v>
      </c>
      <c r="G67" s="167">
        <f t="shared" si="8"/>
        <v>2.8</v>
      </c>
      <c r="H67" s="422">
        <f t="shared" si="9"/>
        <v>0</v>
      </c>
      <c r="I67" s="167">
        <f t="shared" si="10"/>
        <v>1.2</v>
      </c>
      <c r="J67" s="144">
        <f t="shared" si="11"/>
        <v>0</v>
      </c>
      <c r="K67" s="422">
        <f t="shared" si="12"/>
        <v>0.1</v>
      </c>
      <c r="L67" s="422">
        <f t="shared" si="13"/>
        <v>0.5</v>
      </c>
      <c r="M67" s="422">
        <f t="shared" si="14"/>
        <v>0</v>
      </c>
      <c r="N67" s="167">
        <f t="shared" si="15"/>
        <v>5</v>
      </c>
      <c r="O67" s="167">
        <f t="shared" si="16"/>
        <v>0</v>
      </c>
      <c r="P67" s="422">
        <f t="shared" si="17"/>
        <v>0</v>
      </c>
      <c r="Q67" s="167">
        <f t="shared" si="1"/>
        <v>10.899999999999999</v>
      </c>
      <c r="R67" s="167">
        <f t="shared" si="18"/>
        <v>10.8</v>
      </c>
      <c r="S67" s="424">
        <f t="shared" si="2"/>
        <v>1.0092592592592591</v>
      </c>
      <c r="T67" s="517">
        <f>IFERROR(INDEX($A$3:$AL$40,MATCH(Generation_Entsoe_SFS_2017[[#This Row],[Country]],$A$3:$A$40,0),MATCH(Generation_Entsoe_SFS_2017[[#Headers],[Consumption]],$A$1:$AL$1,0)),"")</f>
        <v>17.899999999999999</v>
      </c>
      <c r="U67" s="517">
        <f>IFERROR(INDEX($A$3:$AL$40,MATCH(Generation_Entsoe_SFS_2017[[#This Row],[Country]],$A$3:$A$40,0),MATCH(Generation_Entsoe_SFS_2017[[#Headers],[Pumping]],$A$1:$AL$1,0)),"")</f>
        <v>0.3</v>
      </c>
      <c r="W67" s="425" t="str">
        <f t="shared" si="3"/>
        <v>HR</v>
      </c>
      <c r="X67" s="366">
        <v>2017</v>
      </c>
      <c r="Y67" s="366" t="s">
        <v>648</v>
      </c>
      <c r="Z67" s="550">
        <f>IFERROR(Generation_Entsoe_SFS_2017[[#This Row],[Nuclear]]/Capacity_Entsoe_SFS_2017[[#This Row],[Nuclear]]*10^6,0)</f>
        <v>0</v>
      </c>
      <c r="AA67" s="550">
        <f>IFERROR(Generation_Entsoe_SFS_2017[[#This Row],[Lignite]]/Capacity_Entsoe_SFS_2017[[#This Row],[Lignite]]*10^6,0)</f>
        <v>0</v>
      </c>
      <c r="AB67" s="550">
        <f>IFERROR(Generation_Entsoe_SFS_2017[[#This Row],[Hard coal]]/Capacity_Entsoe_SFS_2017[[#This Row],[Hard coal]]*10^6,0)</f>
        <v>4000</v>
      </c>
      <c r="AC67" s="550">
        <f>IFERROR(Generation_Entsoe_SFS_2017[[#This Row],[Fossil gases]]/Capacity_Entsoe_SFS_2017[[#This Row],[Fossil gases]]*10^6,0)</f>
        <v>3768.5060565275908</v>
      </c>
      <c r="AD67" s="550">
        <f>IFERROR(Generation_Entsoe_SFS_2017[[#This Row],[Other fossil fuels]]/Capacity_Entsoe_SFS_2017[[#This Row],[Other fossil fuels]]*10^6,0)</f>
        <v>0</v>
      </c>
      <c r="AE67" s="550">
        <f>IFERROR(Generation_Entsoe_SFS_2017[[#This Row],[Wind onshore]]/Capacity_Entsoe_SFS_2017[[#This Row],[Wind onshore]]*10^6,0)</f>
        <v>2234.6368715083795</v>
      </c>
      <c r="AF67" s="550">
        <f>IFERROR(Generation_Entsoe_SFS_2017[[#This Row],[Wind offshore]]/Capacity_Entsoe_SFS_2017[[#This Row],[Wind offshore]]*10^6,0)</f>
        <v>0</v>
      </c>
      <c r="AG67" s="550">
        <f>IFERROR(Generation_Entsoe_SFS_2017[[#This Row],[Solar PV]]/Capacity_Entsoe_SFS_2017[[#This Row],[Solar PV]]*10^6,0)</f>
        <v>1960.7843137254902</v>
      </c>
      <c r="AH67" s="550">
        <f>IFERROR(Generation_Entsoe_SFS_2017[[#This Row],[Bioenergy]]/Capacity_Entsoe_SFS_2017[[#This Row],[Bioenergy]]*10^6,0)</f>
        <v>6944.4444444444443</v>
      </c>
      <c r="AI67" s="550">
        <f>IFERROR(Generation_Entsoe_SFS_2017[[#This Row],[Other RES]]/Capacity_Entsoe_SFS_2017[[#This Row],[Other RES]]*10^6,0)</f>
        <v>0</v>
      </c>
      <c r="AJ67" s="550">
        <f>IFERROR(Generation_Entsoe_SFS_2017[[#This Row],[Renewable Hydro]]/Capacity_Entsoe_SFS_2017[[#This Row],[Renewable Hydro]]*10^6,0)</f>
        <v>2392.3444976076553</v>
      </c>
      <c r="AK67" s="550">
        <f>IFERROR(Generation_Entsoe_SFS_2017[[#This Row],[Pumped Hydro]]/Capacity_Entsoe_SFS_2017[[#This Row],[Pumped Hydro]]*10^6,0)</f>
        <v>0</v>
      </c>
      <c r="AL67" s="550">
        <f>IFERROR(Generation_Entsoe_SFS_2017[[#This Row],[Other sources]]/Capacity_Entsoe_SFS_2017[[#This Row],[Other sources]]*10^6,0)</f>
        <v>0</v>
      </c>
    </row>
    <row r="68" spans="1:38" x14ac:dyDescent="0.2">
      <c r="A68" s="425" t="str">
        <f t="shared" si="0"/>
        <v>HU</v>
      </c>
      <c r="B68" s="366">
        <f t="shared" si="19"/>
        <v>2017</v>
      </c>
      <c r="C68" s="366" t="str">
        <f t="shared" si="19"/>
        <v>TWh</v>
      </c>
      <c r="D68" s="144">
        <f t="shared" si="5"/>
        <v>15.2</v>
      </c>
      <c r="E68" s="144">
        <f t="shared" si="6"/>
        <v>4.7</v>
      </c>
      <c r="F68" s="167">
        <f t="shared" si="7"/>
        <v>0</v>
      </c>
      <c r="G68" s="167">
        <f t="shared" si="8"/>
        <v>6</v>
      </c>
      <c r="H68" s="422">
        <f t="shared" si="9"/>
        <v>0.1</v>
      </c>
      <c r="I68" s="167">
        <f t="shared" si="10"/>
        <v>0.7</v>
      </c>
      <c r="J68" s="144">
        <f t="shared" si="11"/>
        <v>0</v>
      </c>
      <c r="K68" s="422">
        <f t="shared" si="12"/>
        <v>0.1</v>
      </c>
      <c r="L68" s="422">
        <f t="shared" si="13"/>
        <v>1.7</v>
      </c>
      <c r="M68" s="422">
        <f t="shared" si="14"/>
        <v>0.4</v>
      </c>
      <c r="N68" s="167">
        <f t="shared" si="15"/>
        <v>0.2</v>
      </c>
      <c r="O68" s="167">
        <f t="shared" si="16"/>
        <v>0</v>
      </c>
      <c r="P68" s="422">
        <f t="shared" si="17"/>
        <v>0</v>
      </c>
      <c r="Q68" s="167">
        <f t="shared" si="1"/>
        <v>29.099999999999998</v>
      </c>
      <c r="R68" s="167">
        <f t="shared" si="18"/>
        <v>29.1</v>
      </c>
      <c r="S68" s="424">
        <f t="shared" si="2"/>
        <v>0.99999999999999989</v>
      </c>
      <c r="T68" s="517">
        <f>IFERROR(INDEX($A$3:$AL$40,MATCH(Generation_Entsoe_SFS_2017[[#This Row],[Country]],$A$3:$A$40,0),MATCH(Generation_Entsoe_SFS_2017[[#Headers],[Consumption]],$A$1:$AL$1,0)),"")</f>
        <v>41.9</v>
      </c>
      <c r="U68" s="517">
        <f>IFERROR(INDEX($A$3:$AL$40,MATCH(Generation_Entsoe_SFS_2017[[#This Row],[Country]],$A$3:$A$40,0),MATCH(Generation_Entsoe_SFS_2017[[#Headers],[Pumping]],$A$1:$AL$1,0)),"")</f>
        <v>0</v>
      </c>
      <c r="W68" s="425" t="str">
        <f t="shared" si="3"/>
        <v>HU</v>
      </c>
      <c r="X68" s="366">
        <v>2017</v>
      </c>
      <c r="Y68" s="366" t="s">
        <v>648</v>
      </c>
      <c r="Z68" s="550">
        <f>IFERROR(Generation_Entsoe_SFS_2017[[#This Row],[Nuclear]]/Capacity_Entsoe_SFS_2017[[#This Row],[Nuclear]]*10^6,0)</f>
        <v>8055.1139374668774</v>
      </c>
      <c r="AA68" s="550">
        <f>IFERROR(Generation_Entsoe_SFS_2017[[#This Row],[Lignite]]/Capacity_Entsoe_SFS_2017[[#This Row],[Lignite]]*10^6,0)</f>
        <v>4480.4575786463301</v>
      </c>
      <c r="AB68" s="550">
        <f>IFERROR(Generation_Entsoe_SFS_2017[[#This Row],[Hard coal]]/Capacity_Entsoe_SFS_2017[[#This Row],[Hard coal]]*10^6,0)</f>
        <v>0</v>
      </c>
      <c r="AC68" s="550">
        <f>IFERROR(Generation_Entsoe_SFS_2017[[#This Row],[Fossil gases]]/Capacity_Entsoe_SFS_2017[[#This Row],[Fossil gases]]*10^6,0)</f>
        <v>1456.3106796116506</v>
      </c>
      <c r="AD68" s="550">
        <f>IFERROR(Generation_Entsoe_SFS_2017[[#This Row],[Other fossil fuels]]/Capacity_Entsoe_SFS_2017[[#This Row],[Other fossil fuels]]*10^6,0)</f>
        <v>243.90243902439028</v>
      </c>
      <c r="AE68" s="550">
        <f>IFERROR(Generation_Entsoe_SFS_2017[[#This Row],[Wind onshore]]/Capacity_Entsoe_SFS_2017[[#This Row],[Wind onshore]]*10^6,0)</f>
        <v>2167.1826625386993</v>
      </c>
      <c r="AF68" s="550">
        <f>IFERROR(Generation_Entsoe_SFS_2017[[#This Row],[Wind offshore]]/Capacity_Entsoe_SFS_2017[[#This Row],[Wind offshore]]*10^6,0)</f>
        <v>0</v>
      </c>
      <c r="AG68" s="550">
        <f>IFERROR(Generation_Entsoe_SFS_2017[[#This Row],[Solar PV]]/Capacity_Entsoe_SFS_2017[[#This Row],[Solar PV]]*10^6,0)</f>
        <v>1063.8297872340427</v>
      </c>
      <c r="AH68" s="550">
        <f>IFERROR(Generation_Entsoe_SFS_2017[[#This Row],[Bioenergy]]/Capacity_Entsoe_SFS_2017[[#This Row],[Bioenergy]]*10^6,0)</f>
        <v>5483.8709677419356</v>
      </c>
      <c r="AI68" s="553">
        <f>IFERROR(Generation_Entsoe_SFS_2017[[#This Row],[Other RES]]/Capacity_Entsoe_SFS_2017[[#This Row],[Other RES]]*10^6,0)</f>
        <v>14285.714285714286</v>
      </c>
      <c r="AJ68" s="550">
        <f>IFERROR(Generation_Entsoe_SFS_2017[[#This Row],[Renewable Hydro]]/Capacity_Entsoe_SFS_2017[[#This Row],[Renewable Hydro]]*10^6,0)</f>
        <v>3571.4285714285716</v>
      </c>
      <c r="AK68" s="550">
        <f>IFERROR(Generation_Entsoe_SFS_2017[[#This Row],[Pumped Hydro]]/Capacity_Entsoe_SFS_2017[[#This Row],[Pumped Hydro]]*10^6,0)</f>
        <v>0</v>
      </c>
      <c r="AL68" s="550">
        <f>IFERROR(Generation_Entsoe_SFS_2017[[#This Row],[Other sources]]/Capacity_Entsoe_SFS_2017[[#This Row],[Other sources]]*10^6,0)</f>
        <v>0</v>
      </c>
    </row>
    <row r="69" spans="1:38" x14ac:dyDescent="0.2">
      <c r="A69" s="425" t="str">
        <f t="shared" si="0"/>
        <v>IE</v>
      </c>
      <c r="B69" s="366">
        <f t="shared" si="19"/>
        <v>2017</v>
      </c>
      <c r="C69" s="366" t="str">
        <f t="shared" si="19"/>
        <v>TWh</v>
      </c>
      <c r="D69" s="144">
        <f t="shared" si="5"/>
        <v>0</v>
      </c>
      <c r="E69" s="144">
        <f t="shared" si="6"/>
        <v>0</v>
      </c>
      <c r="F69" s="167">
        <f t="shared" si="7"/>
        <v>3.6</v>
      </c>
      <c r="G69" s="167">
        <f t="shared" si="8"/>
        <v>14.6</v>
      </c>
      <c r="H69" s="422">
        <f t="shared" si="9"/>
        <v>2.4</v>
      </c>
      <c r="I69" s="167">
        <f t="shared" si="10"/>
        <v>7.4</v>
      </c>
      <c r="J69" s="144">
        <f t="shared" si="11"/>
        <v>0</v>
      </c>
      <c r="K69" s="422">
        <f t="shared" si="12"/>
        <v>0</v>
      </c>
      <c r="L69" s="422">
        <f t="shared" si="13"/>
        <v>0</v>
      </c>
      <c r="M69" s="422">
        <f t="shared" si="14"/>
        <v>0.30000000000000004</v>
      </c>
      <c r="N69" s="167">
        <f t="shared" si="15"/>
        <v>0.7</v>
      </c>
      <c r="O69" s="167">
        <f t="shared" si="16"/>
        <v>0.2</v>
      </c>
      <c r="P69" s="422">
        <f t="shared" si="17"/>
        <v>0.1</v>
      </c>
      <c r="Q69" s="167">
        <f t="shared" si="1"/>
        <v>29.3</v>
      </c>
      <c r="R69" s="167">
        <f t="shared" si="18"/>
        <v>29.2</v>
      </c>
      <c r="S69" s="424">
        <f t="shared" si="2"/>
        <v>1.0034246575342467</v>
      </c>
      <c r="T69" s="517">
        <f>IFERROR(INDEX($A$3:$AL$40,MATCH(Generation_Entsoe_SFS_2017[[#This Row],[Country]],$A$3:$A$40,0),MATCH(Generation_Entsoe_SFS_2017[[#Headers],[Consumption]],$A$1:$AL$1,0)),"")</f>
        <v>28.2</v>
      </c>
      <c r="U69" s="517">
        <f>IFERROR(INDEX($A$3:$AL$40,MATCH(Generation_Entsoe_SFS_2017[[#This Row],[Country]],$A$3:$A$40,0),MATCH(Generation_Entsoe_SFS_2017[[#Headers],[Pumping]],$A$1:$AL$1,0)),"")</f>
        <v>0.4</v>
      </c>
      <c r="W69" s="425" t="str">
        <f t="shared" si="3"/>
        <v>IE</v>
      </c>
      <c r="X69" s="366">
        <v>2017</v>
      </c>
      <c r="Y69" s="366" t="s">
        <v>648</v>
      </c>
      <c r="Z69" s="550">
        <f>IFERROR(Generation_Entsoe_SFS_2017[[#This Row],[Nuclear]]/Capacity_Entsoe_SFS_2017[[#This Row],[Nuclear]]*10^6,0)</f>
        <v>0</v>
      </c>
      <c r="AA69" s="550">
        <f>IFERROR(Generation_Entsoe_SFS_2017[[#This Row],[Lignite]]/Capacity_Entsoe_SFS_2017[[#This Row],[Lignite]]*10^6,0)</f>
        <v>0</v>
      </c>
      <c r="AB69" s="550">
        <f>IFERROR(Generation_Entsoe_SFS_2017[[#This Row],[Hard coal]]/Capacity_Entsoe_SFS_2017[[#This Row],[Hard coal]]*10^6,0)</f>
        <v>4210.5263157894733</v>
      </c>
      <c r="AC69" s="550">
        <f>IFERROR(Generation_Entsoe_SFS_2017[[#This Row],[Fossil gases]]/Capacity_Entsoe_SFS_2017[[#This Row],[Fossil gases]]*10^6,0)</f>
        <v>3463.8196915776989</v>
      </c>
      <c r="AD69" s="550">
        <f>IFERROR(Generation_Entsoe_SFS_2017[[#This Row],[Other fossil fuels]]/Capacity_Entsoe_SFS_2017[[#This Row],[Other fossil fuels]]*10^6,0)</f>
        <v>2097.9020979020979</v>
      </c>
      <c r="AE69" s="550">
        <f>IFERROR(Generation_Entsoe_SFS_2017[[#This Row],[Wind onshore]]/Capacity_Entsoe_SFS_2017[[#This Row],[Wind onshore]]*10^6,0)</f>
        <v>2402.5974025974028</v>
      </c>
      <c r="AF69" s="550">
        <f>IFERROR(Generation_Entsoe_SFS_2017[[#This Row],[Wind offshore]]/Capacity_Entsoe_SFS_2017[[#This Row],[Wind offshore]]*10^6,0)</f>
        <v>0</v>
      </c>
      <c r="AG69" s="550">
        <f>IFERROR(Generation_Entsoe_SFS_2017[[#This Row],[Solar PV]]/Capacity_Entsoe_SFS_2017[[#This Row],[Solar PV]]*10^6,0)</f>
        <v>0</v>
      </c>
      <c r="AH69" s="550">
        <f>IFERROR(Generation_Entsoe_SFS_2017[[#This Row],[Bioenergy]]/Capacity_Entsoe_SFS_2017[[#This Row],[Bioenergy]]*10^6,0)</f>
        <v>0</v>
      </c>
      <c r="AI69" s="550">
        <f>IFERROR(Generation_Entsoe_SFS_2017[[#This Row],[Other RES]]/Capacity_Entsoe_SFS_2017[[#This Row],[Other RES]]*10^6,0)</f>
        <v>463.67851622874815</v>
      </c>
      <c r="AJ69" s="550">
        <f>IFERROR(Generation_Entsoe_SFS_2017[[#This Row],[Renewable Hydro]]/Capacity_Entsoe_SFS_2017[[#This Row],[Renewable Hydro]]*10^6,0)</f>
        <v>2941.1764705882351</v>
      </c>
      <c r="AK69" s="550">
        <f>IFERROR(Generation_Entsoe_SFS_2017[[#This Row],[Pumped Hydro]]/Capacity_Entsoe_SFS_2017[[#This Row],[Pumped Hydro]]*10^6,0)</f>
        <v>684.93150684931504</v>
      </c>
      <c r="AL69" s="550">
        <f>IFERROR(Generation_Entsoe_SFS_2017[[#This Row],[Other sources]]/Capacity_Entsoe_SFS_2017[[#This Row],[Other sources]]*10^6,0)</f>
        <v>2500</v>
      </c>
    </row>
    <row r="70" spans="1:38" x14ac:dyDescent="0.2">
      <c r="A70" s="425" t="str">
        <f t="shared" si="0"/>
        <v>IS</v>
      </c>
      <c r="B70" s="366">
        <f t="shared" si="19"/>
        <v>2017</v>
      </c>
      <c r="C70" s="366" t="str">
        <f t="shared" si="19"/>
        <v>TWh</v>
      </c>
      <c r="D70" s="144">
        <f t="shared" si="5"/>
        <v>0</v>
      </c>
      <c r="E70" s="144">
        <f t="shared" si="6"/>
        <v>0</v>
      </c>
      <c r="F70" s="167">
        <f t="shared" si="7"/>
        <v>0</v>
      </c>
      <c r="G70" s="167">
        <f t="shared" si="8"/>
        <v>0</v>
      </c>
      <c r="H70" s="422">
        <f t="shared" si="9"/>
        <v>0</v>
      </c>
      <c r="I70" s="167">
        <f t="shared" si="10"/>
        <v>0</v>
      </c>
      <c r="J70" s="144">
        <f t="shared" si="11"/>
        <v>0</v>
      </c>
      <c r="K70" s="422">
        <f t="shared" si="12"/>
        <v>0</v>
      </c>
      <c r="L70" s="422">
        <f t="shared" si="13"/>
        <v>0</v>
      </c>
      <c r="M70" s="422">
        <f t="shared" si="14"/>
        <v>4.7</v>
      </c>
      <c r="N70" s="167">
        <f t="shared" si="15"/>
        <v>13.9</v>
      </c>
      <c r="O70" s="167">
        <f t="shared" si="16"/>
        <v>0</v>
      </c>
      <c r="P70" s="422">
        <f t="shared" si="17"/>
        <v>0</v>
      </c>
      <c r="Q70" s="167">
        <f t="shared" si="1"/>
        <v>18.600000000000001</v>
      </c>
      <c r="R70" s="167">
        <f t="shared" si="18"/>
        <v>18.600000000000001</v>
      </c>
      <c r="S70" s="424">
        <f t="shared" si="2"/>
        <v>1</v>
      </c>
      <c r="T70" s="517">
        <f>IFERROR(INDEX($A$3:$AL$40,MATCH(Generation_Entsoe_SFS_2017[[#This Row],[Country]],$A$3:$A$40,0),MATCH(Generation_Entsoe_SFS_2017[[#Headers],[Consumption]],$A$1:$AL$1,0)),"")</f>
        <v>18.600000000000001</v>
      </c>
      <c r="U70" s="517">
        <f>IFERROR(INDEX($A$3:$AL$40,MATCH(Generation_Entsoe_SFS_2017[[#This Row],[Country]],$A$3:$A$40,0),MATCH(Generation_Entsoe_SFS_2017[[#Headers],[Pumping]],$A$1:$AL$1,0)),"")</f>
        <v>0</v>
      </c>
      <c r="W70" s="425" t="str">
        <f t="shared" si="3"/>
        <v>IS</v>
      </c>
      <c r="X70" s="366">
        <v>2017</v>
      </c>
      <c r="Y70" s="366" t="s">
        <v>648</v>
      </c>
      <c r="Z70" s="550">
        <f>IFERROR(Generation_Entsoe_SFS_2017[[#This Row],[Nuclear]]/Capacity_Entsoe_SFS_2017[[#This Row],[Nuclear]]*10^6,0)</f>
        <v>0</v>
      </c>
      <c r="AA70" s="550">
        <f>IFERROR(Generation_Entsoe_SFS_2017[[#This Row],[Lignite]]/Capacity_Entsoe_SFS_2017[[#This Row],[Lignite]]*10^6,0)</f>
        <v>0</v>
      </c>
      <c r="AB70" s="550">
        <f>IFERROR(Generation_Entsoe_SFS_2017[[#This Row],[Hard coal]]/Capacity_Entsoe_SFS_2017[[#This Row],[Hard coal]]*10^6,0)</f>
        <v>0</v>
      </c>
      <c r="AC70" s="550">
        <f>IFERROR(Generation_Entsoe_SFS_2017[[#This Row],[Fossil gases]]/Capacity_Entsoe_SFS_2017[[#This Row],[Fossil gases]]*10^6,0)</f>
        <v>0</v>
      </c>
      <c r="AD70" s="550">
        <f>IFERROR(Generation_Entsoe_SFS_2017[[#This Row],[Other fossil fuels]]/Capacity_Entsoe_SFS_2017[[#This Row],[Other fossil fuels]]*10^6,0)</f>
        <v>0</v>
      </c>
      <c r="AE70" s="550">
        <f>IFERROR(Generation_Entsoe_SFS_2017[[#This Row],[Wind onshore]]/Capacity_Entsoe_SFS_2017[[#This Row],[Wind onshore]]*10^6,0)</f>
        <v>0</v>
      </c>
      <c r="AF70" s="550">
        <f>IFERROR(Generation_Entsoe_SFS_2017[[#This Row],[Wind offshore]]/Capacity_Entsoe_SFS_2017[[#This Row],[Wind offshore]]*10^6,0)</f>
        <v>0</v>
      </c>
      <c r="AG70" s="550">
        <f>IFERROR(Generation_Entsoe_SFS_2017[[#This Row],[Solar PV]]/Capacity_Entsoe_SFS_2017[[#This Row],[Solar PV]]*10^6,0)</f>
        <v>0</v>
      </c>
      <c r="AH70" s="550">
        <f>IFERROR(Generation_Entsoe_SFS_2017[[#This Row],[Bioenergy]]/Capacity_Entsoe_SFS_2017[[#This Row],[Bioenergy]]*10^6,0)</f>
        <v>0</v>
      </c>
      <c r="AI70" s="550">
        <f>IFERROR(Generation_Entsoe_SFS_2017[[#This Row],[Other RES]]/Capacity_Entsoe_SFS_2017[[#This Row],[Other RES]]*10^6,0)</f>
        <v>6657.2237960339944</v>
      </c>
      <c r="AJ70" s="553">
        <f>IFERROR(Generation_Entsoe_SFS_2017[[#This Row],[Renewable Hydro]]/Capacity_Entsoe_SFS_2017[[#This Row],[Renewable Hydro]]*10^6,0)</f>
        <v>7045.1089711099858</v>
      </c>
      <c r="AK70" s="550">
        <f>IFERROR(Generation_Entsoe_SFS_2017[[#This Row],[Pumped Hydro]]/Capacity_Entsoe_SFS_2017[[#This Row],[Pumped Hydro]]*10^6,0)</f>
        <v>0</v>
      </c>
      <c r="AL70" s="550">
        <f>IFERROR(Generation_Entsoe_SFS_2017[[#This Row],[Other sources]]/Capacity_Entsoe_SFS_2017[[#This Row],[Other sources]]*10^6,0)</f>
        <v>0</v>
      </c>
    </row>
    <row r="71" spans="1:38" x14ac:dyDescent="0.2">
      <c r="A71" s="425" t="str">
        <f t="shared" si="0"/>
        <v>IT</v>
      </c>
      <c r="B71" s="366">
        <f t="shared" si="19"/>
        <v>2017</v>
      </c>
      <c r="C71" s="366" t="str">
        <f t="shared" si="19"/>
        <v>TWh</v>
      </c>
      <c r="D71" s="144">
        <f t="shared" si="5"/>
        <v>0</v>
      </c>
      <c r="E71" s="144">
        <f t="shared" si="6"/>
        <v>0</v>
      </c>
      <c r="F71" s="167">
        <f t="shared" si="7"/>
        <v>35.6</v>
      </c>
      <c r="G71" s="167">
        <f t="shared" si="8"/>
        <v>129</v>
      </c>
      <c r="H71" s="422">
        <f t="shared" si="9"/>
        <v>4.0999999999999996</v>
      </c>
      <c r="I71" s="167">
        <f t="shared" si="10"/>
        <v>17.5</v>
      </c>
      <c r="J71" s="144">
        <f t="shared" si="11"/>
        <v>0</v>
      </c>
      <c r="K71" s="422">
        <f t="shared" si="12"/>
        <v>24.8</v>
      </c>
      <c r="L71" s="422">
        <f t="shared" si="13"/>
        <v>17.100000000000001</v>
      </c>
      <c r="M71" s="422">
        <f t="shared" si="14"/>
        <v>8.3000000000000007</v>
      </c>
      <c r="N71" s="167">
        <f t="shared" si="15"/>
        <v>36</v>
      </c>
      <c r="O71" s="167">
        <f t="shared" si="16"/>
        <v>1.5</v>
      </c>
      <c r="P71" s="422">
        <f t="shared" si="17"/>
        <v>11.3</v>
      </c>
      <c r="Q71" s="167">
        <f t="shared" si="1"/>
        <v>285.2</v>
      </c>
      <c r="R71" s="167">
        <f t="shared" si="18"/>
        <v>285.10000000000002</v>
      </c>
      <c r="S71" s="424">
        <f t="shared" si="2"/>
        <v>1.0003507541213608</v>
      </c>
      <c r="T71" s="517">
        <f>IFERROR(INDEX($A$3:$AL$40,MATCH(Generation_Entsoe_SFS_2017[[#This Row],[Country]],$A$3:$A$40,0),MATCH(Generation_Entsoe_SFS_2017[[#Headers],[Consumption]],$A$1:$AL$1,0)),"")</f>
        <v>320.39999999999998</v>
      </c>
      <c r="U71" s="517">
        <f>IFERROR(INDEX($A$3:$AL$40,MATCH(Generation_Entsoe_SFS_2017[[#This Row],[Country]],$A$3:$A$40,0),MATCH(Generation_Entsoe_SFS_2017[[#Headers],[Pumping]],$A$1:$AL$1,0)),"")</f>
        <v>2.4</v>
      </c>
      <c r="W71" s="425" t="str">
        <f t="shared" si="3"/>
        <v>IT</v>
      </c>
      <c r="X71" s="366">
        <v>2017</v>
      </c>
      <c r="Y71" s="366" t="s">
        <v>648</v>
      </c>
      <c r="Z71" s="550">
        <f>IFERROR(Generation_Entsoe_SFS_2017[[#This Row],[Nuclear]]/Capacity_Entsoe_SFS_2017[[#This Row],[Nuclear]]*10^6,0)</f>
        <v>0</v>
      </c>
      <c r="AA71" s="550">
        <f>IFERROR(Generation_Entsoe_SFS_2017[[#This Row],[Lignite]]/Capacity_Entsoe_SFS_2017[[#This Row],[Lignite]]*10^6,0)</f>
        <v>0</v>
      </c>
      <c r="AB71" s="550">
        <f>IFERROR(Generation_Entsoe_SFS_2017[[#This Row],[Hard coal]]/Capacity_Entsoe_SFS_2017[[#This Row],[Hard coal]]*10^6,0)</f>
        <v>4840.9029099809632</v>
      </c>
      <c r="AC71" s="550">
        <f>IFERROR(Generation_Entsoe_SFS_2017[[#This Row],[Fossil gases]]/Capacity_Entsoe_SFS_2017[[#This Row],[Fossil gases]]*10^6,0)</f>
        <v>2783.7721191195515</v>
      </c>
      <c r="AD71" s="550">
        <f>IFERROR(Generation_Entsoe_SFS_2017[[#This Row],[Other fossil fuels]]/Capacity_Entsoe_SFS_2017[[#This Row],[Other fossil fuels]]*10^6,0)</f>
        <v>263.75040205853969</v>
      </c>
      <c r="AE71" s="550">
        <f>IFERROR(Generation_Entsoe_SFS_2017[[#This Row],[Wind onshore]]/Capacity_Entsoe_SFS_2017[[#This Row],[Wind onshore]]*10^6,0)</f>
        <v>1789.732051544283</v>
      </c>
      <c r="AF71" s="550">
        <f>IFERROR(Generation_Entsoe_SFS_2017[[#This Row],[Wind offshore]]/Capacity_Entsoe_SFS_2017[[#This Row],[Wind offshore]]*10^6,0)</f>
        <v>0</v>
      </c>
      <c r="AG71" s="550">
        <f>IFERROR(Generation_Entsoe_SFS_2017[[#This Row],[Solar PV]]/Capacity_Entsoe_SFS_2017[[#This Row],[Solar PV]]*10^6,0)</f>
        <v>1261.3162445326009</v>
      </c>
      <c r="AH71" s="550">
        <f>IFERROR(Generation_Entsoe_SFS_2017[[#This Row],[Bioenergy]]/Capacity_Entsoe_SFS_2017[[#This Row],[Bioenergy]]*10^6,0)</f>
        <v>5773.1262660364619</v>
      </c>
      <c r="AI71" s="550">
        <f>IFERROR(Generation_Entsoe_SFS_2017[[#This Row],[Other RES]]/Capacity_Entsoe_SFS_2017[[#This Row],[Other RES]]*10^6,0)</f>
        <v>5747.9224376731299</v>
      </c>
      <c r="AJ71" s="550">
        <f>IFERROR(Generation_Entsoe_SFS_2017[[#This Row],[Renewable Hydro]]/Capacity_Entsoe_SFS_2017[[#This Row],[Renewable Hydro]]*10^6,0)</f>
        <v>1645.9400146305777</v>
      </c>
      <c r="AK71" s="550">
        <f>IFERROR(Generation_Entsoe_SFS_2017[[#This Row],[Pumped Hydro]]/Capacity_Entsoe_SFS_2017[[#This Row],[Pumped Hydro]]*10^6,0)</f>
        <v>315.59015358720808</v>
      </c>
      <c r="AL71" s="550">
        <f>IFERROR(Generation_Entsoe_SFS_2017[[#This Row],[Other sources]]/Capacity_Entsoe_SFS_2017[[#This Row],[Other sources]]*10^6,0)</f>
        <v>3302.1624780829925</v>
      </c>
    </row>
    <row r="72" spans="1:38" x14ac:dyDescent="0.2">
      <c r="A72" s="425" t="str">
        <f t="shared" si="0"/>
        <v>LT</v>
      </c>
      <c r="B72" s="366">
        <f t="shared" si="19"/>
        <v>2017</v>
      </c>
      <c r="C72" s="366" t="str">
        <f t="shared" si="19"/>
        <v>TWh</v>
      </c>
      <c r="D72" s="144">
        <f t="shared" si="5"/>
        <v>0</v>
      </c>
      <c r="E72" s="144">
        <f t="shared" si="6"/>
        <v>0</v>
      </c>
      <c r="F72" s="167">
        <f t="shared" si="7"/>
        <v>0</v>
      </c>
      <c r="G72" s="167">
        <f t="shared" si="8"/>
        <v>0.5</v>
      </c>
      <c r="H72" s="422">
        <f t="shared" si="9"/>
        <v>0.1</v>
      </c>
      <c r="I72" s="167">
        <f t="shared" si="10"/>
        <v>1.4</v>
      </c>
      <c r="J72" s="144">
        <f t="shared" si="11"/>
        <v>0</v>
      </c>
      <c r="K72" s="422">
        <f t="shared" si="12"/>
        <v>0.1</v>
      </c>
      <c r="L72" s="422">
        <f t="shared" si="13"/>
        <v>0.30000000000000004</v>
      </c>
      <c r="M72" s="422">
        <f t="shared" si="14"/>
        <v>0.1</v>
      </c>
      <c r="N72" s="167">
        <f t="shared" si="15"/>
        <v>0.6</v>
      </c>
      <c r="O72" s="167">
        <f t="shared" si="16"/>
        <v>0.6</v>
      </c>
      <c r="P72" s="422">
        <f t="shared" si="17"/>
        <v>0.30000000000000004</v>
      </c>
      <c r="Q72" s="167">
        <f t="shared" si="1"/>
        <v>4.0000000000000009</v>
      </c>
      <c r="R72" s="167">
        <f t="shared" si="18"/>
        <v>3.9</v>
      </c>
      <c r="S72" s="424">
        <f t="shared" si="2"/>
        <v>1.025641025641026</v>
      </c>
      <c r="T72" s="517">
        <f>IFERROR(INDEX($A$3:$AL$40,MATCH(Generation_Entsoe_SFS_2017[[#This Row],[Country]],$A$3:$A$40,0),MATCH(Generation_Entsoe_SFS_2017[[#Headers],[Consumption]],$A$1:$AL$1,0)),"")</f>
        <v>11.7</v>
      </c>
      <c r="U72" s="517">
        <f>IFERROR(INDEX($A$3:$AL$40,MATCH(Generation_Entsoe_SFS_2017[[#This Row],[Country]],$A$3:$A$40,0),MATCH(Generation_Entsoe_SFS_2017[[#Headers],[Pumping]],$A$1:$AL$1,0)),"")</f>
        <v>0.8</v>
      </c>
      <c r="W72" s="425" t="str">
        <f t="shared" si="3"/>
        <v>LT</v>
      </c>
      <c r="X72" s="366">
        <v>2017</v>
      </c>
      <c r="Y72" s="366" t="s">
        <v>648</v>
      </c>
      <c r="Z72" s="550">
        <f>IFERROR(Generation_Entsoe_SFS_2017[[#This Row],[Nuclear]]/Capacity_Entsoe_SFS_2017[[#This Row],[Nuclear]]*10^6,0)</f>
        <v>0</v>
      </c>
      <c r="AA72" s="550">
        <f>IFERROR(Generation_Entsoe_SFS_2017[[#This Row],[Lignite]]/Capacity_Entsoe_SFS_2017[[#This Row],[Lignite]]*10^6,0)</f>
        <v>0</v>
      </c>
      <c r="AB72" s="550">
        <f>IFERROR(Generation_Entsoe_SFS_2017[[#This Row],[Hard coal]]/Capacity_Entsoe_SFS_2017[[#This Row],[Hard coal]]*10^6,0)</f>
        <v>0</v>
      </c>
      <c r="AC72" s="550">
        <f>IFERROR(Generation_Entsoe_SFS_2017[[#This Row],[Fossil gases]]/Capacity_Entsoe_SFS_2017[[#This Row],[Fossil gases]]*10^6,0)</f>
        <v>892.85714285714278</v>
      </c>
      <c r="AD72" s="550">
        <f>IFERROR(Generation_Entsoe_SFS_2017[[#This Row],[Other fossil fuels]]/Capacity_Entsoe_SFS_2017[[#This Row],[Other fossil fuels]]*10^6,0)</f>
        <v>83.892617449664442</v>
      </c>
      <c r="AE72" s="550">
        <f>IFERROR(Generation_Entsoe_SFS_2017[[#This Row],[Wind onshore]]/Capacity_Entsoe_SFS_2017[[#This Row],[Wind onshore]]*10^6,0)</f>
        <v>2687.1401151631476</v>
      </c>
      <c r="AF72" s="550">
        <f>IFERROR(Generation_Entsoe_SFS_2017[[#This Row],[Wind offshore]]/Capacity_Entsoe_SFS_2017[[#This Row],[Wind offshore]]*10^6,0)</f>
        <v>0</v>
      </c>
      <c r="AG72" s="550">
        <f>IFERROR(Generation_Entsoe_SFS_2017[[#This Row],[Solar PV]]/Capacity_Entsoe_SFS_2017[[#This Row],[Solar PV]]*10^6,0)</f>
        <v>1219.5121951219512</v>
      </c>
      <c r="AH72" s="550">
        <f>IFERROR(Generation_Entsoe_SFS_2017[[#This Row],[Bioenergy]]/Capacity_Entsoe_SFS_2017[[#This Row],[Bioenergy]]*10^6,0)</f>
        <v>3296.7032967032969</v>
      </c>
      <c r="AI72" s="550">
        <f>IFERROR(Generation_Entsoe_SFS_2017[[#This Row],[Other RES]]/Capacity_Entsoe_SFS_2017[[#This Row],[Other RES]]*10^6,0)</f>
        <v>0</v>
      </c>
      <c r="AJ72" s="550">
        <f>IFERROR(Generation_Entsoe_SFS_2017[[#This Row],[Renewable Hydro]]/Capacity_Entsoe_SFS_2017[[#This Row],[Renewable Hydro]]*10^6,0)</f>
        <v>4724.4094488188975</v>
      </c>
      <c r="AK72" s="550">
        <f>IFERROR(Generation_Entsoe_SFS_2017[[#This Row],[Pumped Hydro]]/Capacity_Entsoe_SFS_2017[[#This Row],[Pumped Hydro]]*10^6,0)</f>
        <v>666.66666666666663</v>
      </c>
      <c r="AL72" s="553">
        <f>IFERROR(Generation_Entsoe_SFS_2017[[#This Row],[Other sources]]/Capacity_Entsoe_SFS_2017[[#This Row],[Other sources]]*10^6,0)</f>
        <v>8571.4285714285725</v>
      </c>
    </row>
    <row r="73" spans="1:38" x14ac:dyDescent="0.2">
      <c r="A73" s="425" t="str">
        <f t="shared" si="0"/>
        <v>LU</v>
      </c>
      <c r="B73" s="366">
        <f t="shared" ref="B73:C77" si="20">B29</f>
        <v>2017</v>
      </c>
      <c r="C73" s="366" t="str">
        <f t="shared" si="20"/>
        <v>TWh</v>
      </c>
      <c r="D73" s="144">
        <f t="shared" si="5"/>
        <v>0</v>
      </c>
      <c r="E73" s="144">
        <f t="shared" si="6"/>
        <v>0</v>
      </c>
      <c r="F73" s="167">
        <f t="shared" si="7"/>
        <v>0</v>
      </c>
      <c r="G73" s="167">
        <f t="shared" si="8"/>
        <v>0.2</v>
      </c>
      <c r="H73" s="422">
        <f t="shared" si="9"/>
        <v>0</v>
      </c>
      <c r="I73" s="167">
        <f t="shared" si="10"/>
        <v>0.2</v>
      </c>
      <c r="J73" s="144">
        <f t="shared" si="11"/>
        <v>0</v>
      </c>
      <c r="K73" s="422">
        <f t="shared" si="12"/>
        <v>0.1</v>
      </c>
      <c r="L73" s="422">
        <f t="shared" si="13"/>
        <v>0.1</v>
      </c>
      <c r="M73" s="422">
        <f t="shared" si="14"/>
        <v>0</v>
      </c>
      <c r="N73" s="167">
        <f t="shared" si="15"/>
        <v>0.1</v>
      </c>
      <c r="O73" s="167">
        <f t="shared" si="16"/>
        <v>1.3</v>
      </c>
      <c r="P73" s="422">
        <f t="shared" si="17"/>
        <v>0.1</v>
      </c>
      <c r="Q73" s="167">
        <f t="shared" si="1"/>
        <v>2.1</v>
      </c>
      <c r="R73" s="167">
        <f t="shared" si="18"/>
        <v>2.1</v>
      </c>
      <c r="S73" s="424">
        <f t="shared" si="2"/>
        <v>1</v>
      </c>
      <c r="T73" s="517">
        <f>IFERROR(INDEX($A$3:$AL$40,MATCH(Generation_Entsoe_SFS_2017[[#This Row],[Country]],$A$3:$A$40,0),MATCH(Generation_Entsoe_SFS_2017[[#Headers],[Consumption]],$A$1:$AL$1,0)),"")</f>
        <v>6.5</v>
      </c>
      <c r="U73" s="517">
        <f>IFERROR(INDEX($A$3:$AL$40,MATCH(Generation_Entsoe_SFS_2017[[#This Row],[Country]],$A$3:$A$40,0),MATCH(Generation_Entsoe_SFS_2017[[#Headers],[Pumping]],$A$1:$AL$1,0)),"")</f>
        <v>1.8</v>
      </c>
      <c r="W73" s="425" t="str">
        <f t="shared" si="3"/>
        <v>LU</v>
      </c>
      <c r="X73" s="366">
        <v>2017</v>
      </c>
      <c r="Y73" s="366" t="s">
        <v>648</v>
      </c>
      <c r="Z73" s="550">
        <f>IFERROR(Generation_Entsoe_SFS_2017[[#This Row],[Nuclear]]/Capacity_Entsoe_SFS_2017[[#This Row],[Nuclear]]*10^6,0)</f>
        <v>0</v>
      </c>
      <c r="AA73" s="550">
        <f>IFERROR(Generation_Entsoe_SFS_2017[[#This Row],[Lignite]]/Capacity_Entsoe_SFS_2017[[#This Row],[Lignite]]*10^6,0)</f>
        <v>0</v>
      </c>
      <c r="AB73" s="550">
        <f>IFERROR(Generation_Entsoe_SFS_2017[[#This Row],[Hard coal]]/Capacity_Entsoe_SFS_2017[[#This Row],[Hard coal]]*10^6,0)</f>
        <v>0</v>
      </c>
      <c r="AC73" s="550">
        <f>IFERROR(Generation_Entsoe_SFS_2017[[#This Row],[Fossil gases]]/Capacity_Entsoe_SFS_2017[[#This Row],[Fossil gases]]*10^6,0)</f>
        <v>1470.5882352941176</v>
      </c>
      <c r="AD73" s="550">
        <f>IFERROR(Generation_Entsoe_SFS_2017[[#This Row],[Other fossil fuels]]/Capacity_Entsoe_SFS_2017[[#This Row],[Other fossil fuels]]*10^6,0)</f>
        <v>0</v>
      </c>
      <c r="AE73" s="550">
        <f>IFERROR(Generation_Entsoe_SFS_2017[[#This Row],[Wind onshore]]/Capacity_Entsoe_SFS_2017[[#This Row],[Wind onshore]]*10^6,0)</f>
        <v>1666.6666666666667</v>
      </c>
      <c r="AF73" s="550">
        <f>IFERROR(Generation_Entsoe_SFS_2017[[#This Row],[Wind offshore]]/Capacity_Entsoe_SFS_2017[[#This Row],[Wind offshore]]*10^6,0)</f>
        <v>0</v>
      </c>
      <c r="AG73" s="550">
        <f>IFERROR(Generation_Entsoe_SFS_2017[[#This Row],[Solar PV]]/Capacity_Entsoe_SFS_2017[[#This Row],[Solar PV]]*10^6,0)</f>
        <v>781.25</v>
      </c>
      <c r="AH73" s="553">
        <f>IFERROR(Generation_Entsoe_SFS_2017[[#This Row],[Bioenergy]]/Capacity_Entsoe_SFS_2017[[#This Row],[Bioenergy]]*10^6,0)</f>
        <v>9090.9090909090919</v>
      </c>
      <c r="AI73" s="550">
        <f>IFERROR(Generation_Entsoe_SFS_2017[[#This Row],[Other RES]]/Capacity_Entsoe_SFS_2017[[#This Row],[Other RES]]*10^6,0)</f>
        <v>0</v>
      </c>
      <c r="AJ73" s="550">
        <f>IFERROR(Generation_Entsoe_SFS_2017[[#This Row],[Renewable Hydro]]/Capacity_Entsoe_SFS_2017[[#This Row],[Renewable Hydro]]*10^6,0)</f>
        <v>3125</v>
      </c>
      <c r="AK73" s="550">
        <f>IFERROR(Generation_Entsoe_SFS_2017[[#This Row],[Pumped Hydro]]/Capacity_Entsoe_SFS_2017[[#This Row],[Pumped Hydro]]*10^6,0)</f>
        <v>1007.7519379844962</v>
      </c>
      <c r="AL73" s="550">
        <f>IFERROR(Generation_Entsoe_SFS_2017[[#This Row],[Other sources]]/Capacity_Entsoe_SFS_2017[[#This Row],[Other sources]]*10^6,0)</f>
        <v>4761.9047619047624</v>
      </c>
    </row>
    <row r="74" spans="1:38" x14ac:dyDescent="0.2">
      <c r="A74" s="425" t="str">
        <f t="shared" si="0"/>
        <v>LV</v>
      </c>
      <c r="B74" s="366">
        <f t="shared" si="20"/>
        <v>2017</v>
      </c>
      <c r="C74" s="366" t="str">
        <f t="shared" si="20"/>
        <v>TWh</v>
      </c>
      <c r="D74" s="144">
        <f t="shared" si="5"/>
        <v>0</v>
      </c>
      <c r="E74" s="144">
        <f t="shared" si="6"/>
        <v>0</v>
      </c>
      <c r="F74" s="167">
        <f t="shared" si="7"/>
        <v>0</v>
      </c>
      <c r="G74" s="167">
        <f t="shared" si="8"/>
        <v>1.4</v>
      </c>
      <c r="H74" s="422">
        <f t="shared" si="9"/>
        <v>0.6</v>
      </c>
      <c r="I74" s="167">
        <f t="shared" si="10"/>
        <v>0.1</v>
      </c>
      <c r="J74" s="144">
        <f t="shared" si="11"/>
        <v>0</v>
      </c>
      <c r="K74" s="422">
        <f t="shared" si="12"/>
        <v>0</v>
      </c>
      <c r="L74" s="422">
        <f t="shared" si="13"/>
        <v>0.9</v>
      </c>
      <c r="M74" s="422">
        <f t="shared" si="14"/>
        <v>0</v>
      </c>
      <c r="N74" s="167">
        <f t="shared" si="15"/>
        <v>4.4000000000000004</v>
      </c>
      <c r="O74" s="167">
        <f t="shared" si="16"/>
        <v>0</v>
      </c>
      <c r="P74" s="422">
        <f t="shared" si="17"/>
        <v>0</v>
      </c>
      <c r="Q74" s="167">
        <f t="shared" si="1"/>
        <v>7.4</v>
      </c>
      <c r="R74" s="167">
        <f t="shared" si="18"/>
        <v>7.3</v>
      </c>
      <c r="S74" s="424">
        <f t="shared" si="2"/>
        <v>1.0136986301369864</v>
      </c>
      <c r="T74" s="517">
        <f>IFERROR(INDEX($A$3:$AL$40,MATCH(Generation_Entsoe_SFS_2017[[#This Row],[Country]],$A$3:$A$40,0),MATCH(Generation_Entsoe_SFS_2017[[#Headers],[Consumption]],$A$1:$AL$1,0)),"")</f>
        <v>7.3</v>
      </c>
      <c r="U74" s="517">
        <f>IFERROR(INDEX($A$3:$AL$40,MATCH(Generation_Entsoe_SFS_2017[[#This Row],[Country]],$A$3:$A$40,0),MATCH(Generation_Entsoe_SFS_2017[[#Headers],[Pumping]],$A$1:$AL$1,0)),"")</f>
        <v>0</v>
      </c>
      <c r="W74" s="425" t="str">
        <f t="shared" si="3"/>
        <v>LV</v>
      </c>
      <c r="X74" s="366">
        <v>2017</v>
      </c>
      <c r="Y74" s="366" t="s">
        <v>648</v>
      </c>
      <c r="Z74" s="550">
        <f>IFERROR(Generation_Entsoe_SFS_2017[[#This Row],[Nuclear]]/Capacity_Entsoe_SFS_2017[[#This Row],[Nuclear]]*10^6,0)</f>
        <v>0</v>
      </c>
      <c r="AA74" s="550">
        <f>IFERROR(Generation_Entsoe_SFS_2017[[#This Row],[Lignite]]/Capacity_Entsoe_SFS_2017[[#This Row],[Lignite]]*10^6,0)</f>
        <v>0</v>
      </c>
      <c r="AB74" s="550">
        <f>IFERROR(Generation_Entsoe_SFS_2017[[#This Row],[Hard coal]]/Capacity_Entsoe_SFS_2017[[#This Row],[Hard coal]]*10^6,0)</f>
        <v>0</v>
      </c>
      <c r="AC74" s="550">
        <f>IFERROR(Generation_Entsoe_SFS_2017[[#This Row],[Fossil gases]]/Capacity_Entsoe_SFS_2017[[#This Row],[Fossil gases]]*10^6,0)</f>
        <v>1357.9049466537342</v>
      </c>
      <c r="AD74" s="550">
        <f>IFERROR(Generation_Entsoe_SFS_2017[[#This Row],[Other fossil fuels]]/Capacity_Entsoe_SFS_2017[[#This Row],[Other fossil fuels]]*10^6,0)</f>
        <v>5504.5871559633024</v>
      </c>
      <c r="AE74" s="550">
        <f>IFERROR(Generation_Entsoe_SFS_2017[[#This Row],[Wind onshore]]/Capacity_Entsoe_SFS_2017[[#This Row],[Wind onshore]]*10^6,0)</f>
        <v>1351.3513513513515</v>
      </c>
      <c r="AF74" s="550">
        <f>IFERROR(Generation_Entsoe_SFS_2017[[#This Row],[Wind offshore]]/Capacity_Entsoe_SFS_2017[[#This Row],[Wind offshore]]*10^6,0)</f>
        <v>0</v>
      </c>
      <c r="AG74" s="550">
        <f>IFERROR(Generation_Entsoe_SFS_2017[[#This Row],[Solar PV]]/Capacity_Entsoe_SFS_2017[[#This Row],[Solar PV]]*10^6,0)</f>
        <v>0</v>
      </c>
      <c r="AH74" s="550">
        <f>IFERROR(Generation_Entsoe_SFS_2017[[#This Row],[Bioenergy]]/Capacity_Entsoe_SFS_2017[[#This Row],[Bioenergy]]*10^6,0)</f>
        <v>6293.7062937062938</v>
      </c>
      <c r="AI74" s="550">
        <f>IFERROR(Generation_Entsoe_SFS_2017[[#This Row],[Other RES]]/Capacity_Entsoe_SFS_2017[[#This Row],[Other RES]]*10^6,0)</f>
        <v>0</v>
      </c>
      <c r="AJ74" s="550">
        <f>IFERROR(Generation_Entsoe_SFS_2017[[#This Row],[Renewable Hydro]]/Capacity_Entsoe_SFS_2017[[#This Row],[Renewable Hydro]]*10^6,0)</f>
        <v>2798.9821882951655</v>
      </c>
      <c r="AK74" s="550">
        <f>IFERROR(Generation_Entsoe_SFS_2017[[#This Row],[Pumped Hydro]]/Capacity_Entsoe_SFS_2017[[#This Row],[Pumped Hydro]]*10^6,0)</f>
        <v>0</v>
      </c>
      <c r="AL74" s="550">
        <f>IFERROR(Generation_Entsoe_SFS_2017[[#This Row],[Other sources]]/Capacity_Entsoe_SFS_2017[[#This Row],[Other sources]]*10^6,0)</f>
        <v>0</v>
      </c>
    </row>
    <row r="75" spans="1:38" x14ac:dyDescent="0.2">
      <c r="A75" s="425" t="str">
        <f t="shared" si="0"/>
        <v>ME</v>
      </c>
      <c r="B75" s="366">
        <f t="shared" si="20"/>
        <v>2017</v>
      </c>
      <c r="C75" s="366" t="str">
        <f t="shared" si="20"/>
        <v>TWh</v>
      </c>
      <c r="D75" s="144">
        <f t="shared" si="5"/>
        <v>0</v>
      </c>
      <c r="E75" s="144">
        <f t="shared" si="6"/>
        <v>1.3</v>
      </c>
      <c r="F75" s="167">
        <f t="shared" si="7"/>
        <v>0</v>
      </c>
      <c r="G75" s="167">
        <f t="shared" si="8"/>
        <v>0</v>
      </c>
      <c r="H75" s="422">
        <f t="shared" si="9"/>
        <v>0</v>
      </c>
      <c r="I75" s="167">
        <f t="shared" si="10"/>
        <v>0.1</v>
      </c>
      <c r="J75" s="144">
        <f t="shared" si="11"/>
        <v>0</v>
      </c>
      <c r="K75" s="422">
        <f t="shared" si="12"/>
        <v>0</v>
      </c>
      <c r="L75" s="422">
        <f t="shared" si="13"/>
        <v>0</v>
      </c>
      <c r="M75" s="422">
        <f t="shared" si="14"/>
        <v>0</v>
      </c>
      <c r="N75" s="167">
        <f t="shared" si="15"/>
        <v>0.2</v>
      </c>
      <c r="O75" s="167">
        <f t="shared" si="16"/>
        <v>0.7</v>
      </c>
      <c r="P75" s="422">
        <f t="shared" si="17"/>
        <v>0</v>
      </c>
      <c r="Q75" s="513">
        <f t="shared" si="1"/>
        <v>2.2999999999999998</v>
      </c>
      <c r="R75" s="167">
        <f t="shared" si="18"/>
        <v>2.2999999999999998</v>
      </c>
      <c r="S75" s="424">
        <f t="shared" si="2"/>
        <v>1</v>
      </c>
      <c r="T75" s="517">
        <f>IFERROR(INDEX($A$3:$AL$40,MATCH(Generation_Entsoe_SFS_2017[[#This Row],[Country]],$A$3:$A$40,0),MATCH(Generation_Entsoe_SFS_2017[[#Headers],[Consumption]],$A$1:$AL$1,0)),"")</f>
        <v>3.4</v>
      </c>
      <c r="U75" s="517">
        <f>IFERROR(INDEX($A$3:$AL$40,MATCH(Generation_Entsoe_SFS_2017[[#This Row],[Country]],$A$3:$A$40,0),MATCH(Generation_Entsoe_SFS_2017[[#Headers],[Pumping]],$A$1:$AL$1,0)),"")</f>
        <v>0</v>
      </c>
      <c r="W75" s="425" t="str">
        <f t="shared" si="3"/>
        <v>ME</v>
      </c>
      <c r="X75" s="366">
        <v>2017</v>
      </c>
      <c r="Y75" s="366" t="s">
        <v>648</v>
      </c>
      <c r="Z75" s="550">
        <f>IFERROR(Generation_Entsoe_SFS_2017[[#This Row],[Nuclear]]/Capacity_Entsoe_SFS_2017[[#This Row],[Nuclear]]*10^6,0)</f>
        <v>0</v>
      </c>
      <c r="AA75" s="550">
        <f>IFERROR(Generation_Entsoe_SFS_2017[[#This Row],[Lignite]]/Capacity_Entsoe_SFS_2017[[#This Row],[Lignite]]*10^6,0)</f>
        <v>5909.090909090909</v>
      </c>
      <c r="AB75" s="550">
        <f>IFERROR(Generation_Entsoe_SFS_2017[[#This Row],[Hard coal]]/Capacity_Entsoe_SFS_2017[[#This Row],[Hard coal]]*10^6,0)</f>
        <v>0</v>
      </c>
      <c r="AC75" s="550">
        <f>IFERROR(Generation_Entsoe_SFS_2017[[#This Row],[Fossil gases]]/Capacity_Entsoe_SFS_2017[[#This Row],[Fossil gases]]*10^6,0)</f>
        <v>0</v>
      </c>
      <c r="AD75" s="550">
        <f>IFERROR(Generation_Entsoe_SFS_2017[[#This Row],[Other fossil fuels]]/Capacity_Entsoe_SFS_2017[[#This Row],[Other fossil fuels]]*10^6,0)</f>
        <v>0</v>
      </c>
      <c r="AE75" s="550">
        <f>IFERROR(Generation_Entsoe_SFS_2017[[#This Row],[Wind onshore]]/Capacity_Entsoe_SFS_2017[[#This Row],[Wind onshore]]*10^6,0)</f>
        <v>1388.8888888888889</v>
      </c>
      <c r="AF75" s="550">
        <f>IFERROR(Generation_Entsoe_SFS_2017[[#This Row],[Wind offshore]]/Capacity_Entsoe_SFS_2017[[#This Row],[Wind offshore]]*10^6,0)</f>
        <v>0</v>
      </c>
      <c r="AG75" s="550">
        <f>IFERROR(Generation_Entsoe_SFS_2017[[#This Row],[Solar PV]]/Capacity_Entsoe_SFS_2017[[#This Row],[Solar PV]]*10^6,0)</f>
        <v>0</v>
      </c>
      <c r="AH75" s="550">
        <f>IFERROR(Generation_Entsoe_SFS_2017[[#This Row],[Bioenergy]]/Capacity_Entsoe_SFS_2017[[#This Row],[Bioenergy]]*10^6,0)</f>
        <v>0</v>
      </c>
      <c r="AI75" s="550">
        <f>IFERROR(Generation_Entsoe_SFS_2017[[#This Row],[Other RES]]/Capacity_Entsoe_SFS_2017[[#This Row],[Other RES]]*10^6,0)</f>
        <v>0</v>
      </c>
      <c r="AJ75" s="550">
        <f>IFERROR(Generation_Entsoe_SFS_2017[[#This Row],[Renewable Hydro]]/Capacity_Entsoe_SFS_2017[[#This Row],[Renewable Hydro]]*10^6,0)</f>
        <v>0</v>
      </c>
      <c r="AK75" s="550">
        <f>IFERROR(Generation_Entsoe_SFS_2017[[#This Row],[Pumped Hydro]]/Capacity_Entsoe_SFS_2017[[#This Row],[Pumped Hydro]]*10^6,0)</f>
        <v>1060.6060606060605</v>
      </c>
      <c r="AL75" s="550">
        <f>IFERROR(Generation_Entsoe_SFS_2017[[#This Row],[Other sources]]/Capacity_Entsoe_SFS_2017[[#This Row],[Other sources]]*10^6,0)</f>
        <v>0</v>
      </c>
    </row>
    <row r="76" spans="1:38" x14ac:dyDescent="0.2">
      <c r="A76" s="425" t="str">
        <f t="shared" si="0"/>
        <v>MK</v>
      </c>
      <c r="B76" s="366">
        <f t="shared" si="20"/>
        <v>2017</v>
      </c>
      <c r="C76" s="366" t="str">
        <f t="shared" si="20"/>
        <v>TWh</v>
      </c>
      <c r="D76" s="144">
        <f t="shared" si="5"/>
        <v>0</v>
      </c>
      <c r="E76" s="144">
        <f t="shared" si="6"/>
        <v>3.3</v>
      </c>
      <c r="F76" s="167">
        <f t="shared" si="7"/>
        <v>0</v>
      </c>
      <c r="G76" s="167">
        <f t="shared" si="8"/>
        <v>0.8</v>
      </c>
      <c r="H76" s="422">
        <f t="shared" si="9"/>
        <v>0</v>
      </c>
      <c r="I76" s="167">
        <f t="shared" si="10"/>
        <v>0.1</v>
      </c>
      <c r="J76" s="144">
        <f t="shared" si="11"/>
        <v>0</v>
      </c>
      <c r="K76" s="422">
        <f t="shared" si="12"/>
        <v>0</v>
      </c>
      <c r="L76" s="422">
        <f t="shared" si="13"/>
        <v>0.1</v>
      </c>
      <c r="M76" s="422">
        <f t="shared" si="14"/>
        <v>0</v>
      </c>
      <c r="N76" s="167">
        <f t="shared" si="15"/>
        <v>0.9</v>
      </c>
      <c r="O76" s="167">
        <f t="shared" si="16"/>
        <v>0</v>
      </c>
      <c r="P76" s="422">
        <f t="shared" si="17"/>
        <v>0</v>
      </c>
      <c r="Q76" s="513">
        <f t="shared" si="1"/>
        <v>5.1999999999999993</v>
      </c>
      <c r="R76" s="167">
        <f t="shared" si="18"/>
        <v>5.2</v>
      </c>
      <c r="S76" s="424">
        <f t="shared" si="2"/>
        <v>0.99999999999999978</v>
      </c>
      <c r="T76" s="517">
        <f>IFERROR(INDEX($A$3:$AL$40,MATCH(Generation_Entsoe_SFS_2017[[#This Row],[Country]],$A$3:$A$40,0),MATCH(Generation_Entsoe_SFS_2017[[#Headers],[Consumption]],$A$1:$AL$1,0)),"")</f>
        <v>7.2</v>
      </c>
      <c r="U76" s="517">
        <f>IFERROR(INDEX($A$3:$AL$40,MATCH(Generation_Entsoe_SFS_2017[[#This Row],[Country]],$A$3:$A$40,0),MATCH(Generation_Entsoe_SFS_2017[[#Headers],[Pumping]],$A$1:$AL$1,0)),"")</f>
        <v>0</v>
      </c>
      <c r="W76" s="425" t="str">
        <f t="shared" si="3"/>
        <v>MK</v>
      </c>
      <c r="X76" s="366">
        <v>2017</v>
      </c>
      <c r="Y76" s="366" t="s">
        <v>648</v>
      </c>
      <c r="Z76" s="550">
        <f>IFERROR(Generation_Entsoe_SFS_2017[[#This Row],[Nuclear]]/Capacity_Entsoe_SFS_2017[[#This Row],[Nuclear]]*10^6,0)</f>
        <v>0</v>
      </c>
      <c r="AA76" s="550">
        <f>IFERROR(Generation_Entsoe_SFS_2017[[#This Row],[Lignite]]/Capacity_Entsoe_SFS_2017[[#This Row],[Lignite]]*10^6,0)</f>
        <v>4596.100278551532</v>
      </c>
      <c r="AB76" s="550">
        <f>IFERROR(Generation_Entsoe_SFS_2017[[#This Row],[Hard coal]]/Capacity_Entsoe_SFS_2017[[#This Row],[Hard coal]]*10^6,0)</f>
        <v>0</v>
      </c>
      <c r="AC76" s="550">
        <f>IFERROR(Generation_Entsoe_SFS_2017[[#This Row],[Fossil gases]]/Capacity_Entsoe_SFS_2017[[#This Row],[Fossil gases]]*10^6,0)</f>
        <v>3200</v>
      </c>
      <c r="AD76" s="550">
        <f>IFERROR(Generation_Entsoe_SFS_2017[[#This Row],[Other fossil fuels]]/Capacity_Entsoe_SFS_2017[[#This Row],[Other fossil fuels]]*10^6,0)</f>
        <v>0</v>
      </c>
      <c r="AE76" s="550">
        <f>IFERROR(Generation_Entsoe_SFS_2017[[#This Row],[Wind onshore]]/Capacity_Entsoe_SFS_2017[[#This Row],[Wind onshore]]*10^6,0)</f>
        <v>2777.7777777777778</v>
      </c>
      <c r="AF76" s="550">
        <f>IFERROR(Generation_Entsoe_SFS_2017[[#This Row],[Wind offshore]]/Capacity_Entsoe_SFS_2017[[#This Row],[Wind offshore]]*10^6,0)</f>
        <v>0</v>
      </c>
      <c r="AG76" s="550">
        <f>IFERROR(Generation_Entsoe_SFS_2017[[#This Row],[Solar PV]]/Capacity_Entsoe_SFS_2017[[#This Row],[Solar PV]]*10^6,0)</f>
        <v>0</v>
      </c>
      <c r="AH76" s="553">
        <f>IFERROR(Generation_Entsoe_SFS_2017[[#This Row],[Bioenergy]]/Capacity_Entsoe_SFS_2017[[#This Row],[Bioenergy]]*10^6,0)</f>
        <v>25000</v>
      </c>
      <c r="AI76" s="550">
        <f>IFERROR(Generation_Entsoe_SFS_2017[[#This Row],[Other RES]]/Capacity_Entsoe_SFS_2017[[#This Row],[Other RES]]*10^6,0)</f>
        <v>0</v>
      </c>
      <c r="AJ76" s="550">
        <f>IFERROR(Generation_Entsoe_SFS_2017[[#This Row],[Renewable Hydro]]/Capacity_Entsoe_SFS_2017[[#This Row],[Renewable Hydro]]*10^6,0)</f>
        <v>1331.3609467455622</v>
      </c>
      <c r="AK76" s="550">
        <f>IFERROR(Generation_Entsoe_SFS_2017[[#This Row],[Pumped Hydro]]/Capacity_Entsoe_SFS_2017[[#This Row],[Pumped Hydro]]*10^6,0)</f>
        <v>0</v>
      </c>
      <c r="AL76" s="550">
        <f>IFERROR(Generation_Entsoe_SFS_2017[[#This Row],[Other sources]]/Capacity_Entsoe_SFS_2017[[#This Row],[Other sources]]*10^6,0)</f>
        <v>0</v>
      </c>
    </row>
    <row r="77" spans="1:38" x14ac:dyDescent="0.2">
      <c r="A77" s="425" t="str">
        <f t="shared" si="0"/>
        <v>NL</v>
      </c>
      <c r="B77" s="366">
        <f t="shared" si="20"/>
        <v>2017</v>
      </c>
      <c r="C77" s="366" t="str">
        <f t="shared" si="20"/>
        <v>TWh</v>
      </c>
      <c r="D77" s="144">
        <f t="shared" si="5"/>
        <v>4.2</v>
      </c>
      <c r="E77" s="144">
        <f t="shared" si="6"/>
        <v>0</v>
      </c>
      <c r="F77" s="167">
        <f t="shared" si="7"/>
        <v>17.3</v>
      </c>
      <c r="G77" s="167">
        <f t="shared" si="8"/>
        <v>73.599999999999994</v>
      </c>
      <c r="H77" s="422">
        <f t="shared" si="9"/>
        <v>0</v>
      </c>
      <c r="I77" s="167">
        <f t="shared" si="10"/>
        <v>7.3</v>
      </c>
      <c r="J77" s="144">
        <f t="shared" si="11"/>
        <v>3.6</v>
      </c>
      <c r="K77" s="422">
        <f t="shared" si="12"/>
        <v>1.9</v>
      </c>
      <c r="L77" s="422">
        <f t="shared" si="13"/>
        <v>3.6</v>
      </c>
      <c r="M77" s="422">
        <f t="shared" si="14"/>
        <v>0</v>
      </c>
      <c r="N77" s="167">
        <f t="shared" si="15"/>
        <v>0.1</v>
      </c>
      <c r="O77" s="167">
        <f t="shared" si="16"/>
        <v>0</v>
      </c>
      <c r="P77" s="422">
        <f t="shared" si="17"/>
        <v>0</v>
      </c>
      <c r="Q77" s="513">
        <f t="shared" si="1"/>
        <v>111.59999999999998</v>
      </c>
      <c r="R77" s="167">
        <f t="shared" si="18"/>
        <v>111.5</v>
      </c>
      <c r="S77" s="424">
        <f t="shared" si="2"/>
        <v>1.000896860986547</v>
      </c>
      <c r="T77" s="517">
        <f>IFERROR(INDEX($A$3:$AL$40,MATCH(Generation_Entsoe_SFS_2017[[#This Row],[Country]],$A$3:$A$40,0),MATCH(Generation_Entsoe_SFS_2017[[#Headers],[Consumption]],$A$1:$AL$1,0)),"")</f>
        <v>115.4</v>
      </c>
      <c r="U77" s="517">
        <f>IFERROR(INDEX($A$3:$AL$40,MATCH(Generation_Entsoe_SFS_2017[[#This Row],[Country]],$A$3:$A$40,0),MATCH(Generation_Entsoe_SFS_2017[[#Headers],[Pumping]],$A$1:$AL$1,0)),"")</f>
        <v>0</v>
      </c>
      <c r="W77" s="425" t="str">
        <f t="shared" si="3"/>
        <v>NL</v>
      </c>
      <c r="X77" s="366">
        <v>2017</v>
      </c>
      <c r="Y77" s="366" t="s">
        <v>648</v>
      </c>
      <c r="Z77" s="550">
        <f>IFERROR(Generation_Entsoe_SFS_2017[[#This Row],[Nuclear]]/Capacity_Entsoe_SFS_2017[[#This Row],[Nuclear]]*10^6,0)</f>
        <v>8641.9753086419769</v>
      </c>
      <c r="AA77" s="550">
        <f>IFERROR(Generation_Entsoe_SFS_2017[[#This Row],[Lignite]]/Capacity_Entsoe_SFS_2017[[#This Row],[Lignite]]*10^6,0)</f>
        <v>0</v>
      </c>
      <c r="AB77" s="550">
        <f>IFERROR(Generation_Entsoe_SFS_2017[[#This Row],[Hard coal]]/Capacity_Entsoe_SFS_2017[[#This Row],[Hard coal]]*10^6,0)</f>
        <v>3735.6942345065863</v>
      </c>
      <c r="AC77" s="550">
        <f>IFERROR(Generation_Entsoe_SFS_2017[[#This Row],[Fossil gases]]/Capacity_Entsoe_SFS_2017[[#This Row],[Fossil gases]]*10^6,0)</f>
        <v>3992.8389301795692</v>
      </c>
      <c r="AD77" s="550">
        <f>IFERROR(Generation_Entsoe_SFS_2017[[#This Row],[Other fossil fuels]]/Capacity_Entsoe_SFS_2017[[#This Row],[Other fossil fuels]]*10^6,0)</f>
        <v>0</v>
      </c>
      <c r="AE77" s="550">
        <f>IFERROR(Generation_Entsoe_SFS_2017[[#This Row],[Wind onshore]]/Capacity_Entsoe_SFS_2017[[#This Row],[Wind onshore]]*10^6,0)</f>
        <v>1986.3945578231292</v>
      </c>
      <c r="AF77" s="550">
        <f>IFERROR(Generation_Entsoe_SFS_2017[[#This Row],[Wind offshore]]/Capacity_Entsoe_SFS_2017[[#This Row],[Wind offshore]]*10^6,0)</f>
        <v>3761.7554858934168</v>
      </c>
      <c r="AG77" s="550">
        <f>IFERROR(Generation_Entsoe_SFS_2017[[#This Row],[Solar PV]]/Capacity_Entsoe_SFS_2017[[#This Row],[Solar PV]]*10^6,0)</f>
        <v>735.29411764705878</v>
      </c>
      <c r="AH77" s="550">
        <f>IFERROR(Generation_Entsoe_SFS_2017[[#This Row],[Bioenergy]]/Capacity_Entsoe_SFS_2017[[#This Row],[Bioenergy]]*10^6,0)</f>
        <v>7361.9631901840494</v>
      </c>
      <c r="AI77" s="550">
        <f>IFERROR(Generation_Entsoe_SFS_2017[[#This Row],[Other RES]]/Capacity_Entsoe_SFS_2017[[#This Row],[Other RES]]*10^6,0)</f>
        <v>0</v>
      </c>
      <c r="AJ77" s="550">
        <f>IFERROR(Generation_Entsoe_SFS_2017[[#This Row],[Renewable Hydro]]/Capacity_Entsoe_SFS_2017[[#This Row],[Renewable Hydro]]*10^6,0)</f>
        <v>2631.5789473684208</v>
      </c>
      <c r="AK77" s="550">
        <f>IFERROR(Generation_Entsoe_SFS_2017[[#This Row],[Pumped Hydro]]/Capacity_Entsoe_SFS_2017[[#This Row],[Pumped Hydro]]*10^6,0)</f>
        <v>0</v>
      </c>
      <c r="AL77" s="550">
        <f>IFERROR(Generation_Entsoe_SFS_2017[[#This Row],[Other sources]]/Capacity_Entsoe_SFS_2017[[#This Row],[Other sources]]*10^6,0)</f>
        <v>0</v>
      </c>
    </row>
    <row r="78" spans="1:38" x14ac:dyDescent="0.2">
      <c r="A78" s="425" t="str">
        <f t="shared" si="0"/>
        <v>NO</v>
      </c>
      <c r="B78" s="366">
        <f>B35</f>
        <v>2017</v>
      </c>
      <c r="C78" s="366" t="str">
        <f>C35</f>
        <v>TWh</v>
      </c>
      <c r="D78" s="144">
        <f t="shared" si="5"/>
        <v>0</v>
      </c>
      <c r="E78" s="144">
        <f t="shared" si="6"/>
        <v>0</v>
      </c>
      <c r="F78" s="167">
        <f t="shared" si="7"/>
        <v>0</v>
      </c>
      <c r="G78" s="167">
        <f t="shared" si="8"/>
        <v>3.1</v>
      </c>
      <c r="H78" s="422">
        <f t="shared" si="9"/>
        <v>0</v>
      </c>
      <c r="I78" s="167">
        <f t="shared" si="10"/>
        <v>2.7</v>
      </c>
      <c r="J78" s="144">
        <f t="shared" si="11"/>
        <v>0</v>
      </c>
      <c r="K78" s="422">
        <f t="shared" si="12"/>
        <v>0</v>
      </c>
      <c r="L78" s="422">
        <f t="shared" si="13"/>
        <v>0</v>
      </c>
      <c r="M78" s="422">
        <f t="shared" si="14"/>
        <v>0.7</v>
      </c>
      <c r="N78" s="167">
        <f t="shared" si="15"/>
        <v>142.1</v>
      </c>
      <c r="O78" s="167">
        <f t="shared" si="16"/>
        <v>0</v>
      </c>
      <c r="P78" s="422">
        <f t="shared" si="17"/>
        <v>0</v>
      </c>
      <c r="Q78" s="513">
        <f t="shared" si="1"/>
        <v>148.6</v>
      </c>
      <c r="R78" s="167">
        <f t="shared" si="18"/>
        <v>148.6</v>
      </c>
      <c r="S78" s="424">
        <f t="shared" si="2"/>
        <v>1</v>
      </c>
      <c r="T78" s="517">
        <f>IFERROR(INDEX($A$3:$AL$40,MATCH(Generation_Entsoe_SFS_2017[[#This Row],[Country]],$A$3:$A$40,0),MATCH(Generation_Entsoe_SFS_2017[[#Headers],[Consumption]],$A$1:$AL$1,0)),"")</f>
        <v>133.69999999999999</v>
      </c>
      <c r="U78" s="517">
        <f>IFERROR(INDEX($A$3:$AL$40,MATCH(Generation_Entsoe_SFS_2017[[#This Row],[Country]],$A$3:$A$40,0),MATCH(Generation_Entsoe_SFS_2017[[#Headers],[Pumping]],$A$1:$AL$1,0)),"")</f>
        <v>0</v>
      </c>
      <c r="W78" s="425" t="str">
        <f t="shared" si="3"/>
        <v>NO</v>
      </c>
      <c r="X78" s="366">
        <v>2017</v>
      </c>
      <c r="Y78" s="366" t="s">
        <v>648</v>
      </c>
      <c r="Z78" s="550">
        <f>IFERROR(Generation_Entsoe_SFS_2017[[#This Row],[Nuclear]]/Capacity_Entsoe_SFS_2017[[#This Row],[Nuclear]]*10^6,0)</f>
        <v>0</v>
      </c>
      <c r="AA78" s="550">
        <f>IFERROR(Generation_Entsoe_SFS_2017[[#This Row],[Lignite]]/Capacity_Entsoe_SFS_2017[[#This Row],[Lignite]]*10^6,0)</f>
        <v>0</v>
      </c>
      <c r="AB78" s="550">
        <f>IFERROR(Generation_Entsoe_SFS_2017[[#This Row],[Hard coal]]/Capacity_Entsoe_SFS_2017[[#This Row],[Hard coal]]*10^6,0)</f>
        <v>0</v>
      </c>
      <c r="AC78" s="550">
        <f>IFERROR(Generation_Entsoe_SFS_2017[[#This Row],[Fossil gases]]/Capacity_Entsoe_SFS_2017[[#This Row],[Fossil gases]]*10^6,0)</f>
        <v>6919.6428571428578</v>
      </c>
      <c r="AD78" s="550">
        <f>IFERROR(Generation_Entsoe_SFS_2017[[#This Row],[Other fossil fuels]]/Capacity_Entsoe_SFS_2017[[#This Row],[Other fossil fuels]]*10^6,0)</f>
        <v>0</v>
      </c>
      <c r="AE78" s="550">
        <f>IFERROR(Generation_Entsoe_SFS_2017[[#This Row],[Wind onshore]]/Capacity_Entsoe_SFS_2017[[#This Row],[Wind onshore]]*10^6,0)</f>
        <v>2493.0747922437677</v>
      </c>
      <c r="AF78" s="550">
        <f>IFERROR(Generation_Entsoe_SFS_2017[[#This Row],[Wind offshore]]/Capacity_Entsoe_SFS_2017[[#This Row],[Wind offshore]]*10^6,0)</f>
        <v>0</v>
      </c>
      <c r="AG78" s="550">
        <f>IFERROR(Generation_Entsoe_SFS_2017[[#This Row],[Solar PV]]/Capacity_Entsoe_SFS_2017[[#This Row],[Solar PV]]*10^6,0)</f>
        <v>0</v>
      </c>
      <c r="AH78" s="550">
        <f>IFERROR(Generation_Entsoe_SFS_2017[[#This Row],[Bioenergy]]/Capacity_Entsoe_SFS_2017[[#This Row],[Bioenergy]]*10^6,0)</f>
        <v>0</v>
      </c>
      <c r="AI78" s="550">
        <f>IFERROR(Generation_Entsoe_SFS_2017[[#This Row],[Other RES]]/Capacity_Entsoe_SFS_2017[[#This Row],[Other RES]]*10^6,0)</f>
        <v>5600</v>
      </c>
      <c r="AJ78" s="550">
        <f>IFERROR(Generation_Entsoe_SFS_2017[[#This Row],[Renewable Hydro]]/Capacity_Entsoe_SFS_2017[[#This Row],[Renewable Hydro]]*10^6,0)</f>
        <v>4488.3133291219201</v>
      </c>
      <c r="AK78" s="550">
        <f>IFERROR(Generation_Entsoe_SFS_2017[[#This Row],[Pumped Hydro]]/Capacity_Entsoe_SFS_2017[[#This Row],[Pumped Hydro]]*10^6,0)</f>
        <v>0</v>
      </c>
      <c r="AL78" s="550">
        <f>IFERROR(Generation_Entsoe_SFS_2017[[#This Row],[Other sources]]/Capacity_Entsoe_SFS_2017[[#This Row],[Other sources]]*10^6,0)</f>
        <v>0</v>
      </c>
    </row>
    <row r="79" spans="1:38" x14ac:dyDescent="0.2">
      <c r="A79" s="425" t="str">
        <f t="shared" si="0"/>
        <v>PL</v>
      </c>
      <c r="B79" s="366">
        <f t="shared" ref="B79:C80" si="21">B36</f>
        <v>2017</v>
      </c>
      <c r="C79" s="366" t="str">
        <f t="shared" si="21"/>
        <v>TWh</v>
      </c>
      <c r="D79" s="144">
        <f t="shared" si="5"/>
        <v>0</v>
      </c>
      <c r="E79" s="144">
        <f t="shared" si="6"/>
        <v>46.4</v>
      </c>
      <c r="F79" s="167">
        <f t="shared" si="7"/>
        <v>73.599999999999994</v>
      </c>
      <c r="G79" s="167">
        <f t="shared" si="8"/>
        <v>9.6999999999999993</v>
      </c>
      <c r="H79" s="422">
        <f t="shared" si="9"/>
        <v>2.2000000000000002</v>
      </c>
      <c r="I79" s="167">
        <f t="shared" si="10"/>
        <v>14.4</v>
      </c>
      <c r="J79" s="144">
        <f t="shared" si="11"/>
        <v>0</v>
      </c>
      <c r="K79" s="422">
        <f t="shared" si="12"/>
        <v>0.2</v>
      </c>
      <c r="L79" s="422">
        <f t="shared" si="13"/>
        <v>7.4</v>
      </c>
      <c r="M79" s="422">
        <f t="shared" si="14"/>
        <v>0</v>
      </c>
      <c r="N79" s="167">
        <f t="shared" si="15"/>
        <v>2.5</v>
      </c>
      <c r="O79" s="167">
        <f t="shared" si="16"/>
        <v>0.5</v>
      </c>
      <c r="P79" s="422">
        <f t="shared" si="17"/>
        <v>0.7</v>
      </c>
      <c r="Q79" s="513">
        <f t="shared" si="1"/>
        <v>157.59999999999997</v>
      </c>
      <c r="R79" s="167">
        <f t="shared" si="18"/>
        <v>157.69999999999999</v>
      </c>
      <c r="S79" s="424">
        <f t="shared" si="2"/>
        <v>0.9993658845909954</v>
      </c>
      <c r="T79" s="517">
        <f>IFERROR(INDEX($A$3:$AL$40,MATCH(Generation_Entsoe_SFS_2017[[#This Row],[Country]],$A$3:$A$40,0),MATCH(Generation_Entsoe_SFS_2017[[#Headers],[Consumption]],$A$1:$AL$1,0)),"")</f>
        <v>159.30000000000001</v>
      </c>
      <c r="U79" s="517">
        <f>IFERROR(INDEX($A$3:$AL$40,MATCH(Generation_Entsoe_SFS_2017[[#This Row],[Country]],$A$3:$A$40,0),MATCH(Generation_Entsoe_SFS_2017[[#Headers],[Pumping]],$A$1:$AL$1,0)),"")</f>
        <v>0.7</v>
      </c>
      <c r="W79" s="425" t="str">
        <f t="shared" si="3"/>
        <v>PL</v>
      </c>
      <c r="X79" s="366">
        <v>2017</v>
      </c>
      <c r="Y79" s="366" t="s">
        <v>648</v>
      </c>
      <c r="Z79" s="550">
        <f>IFERROR(Generation_Entsoe_SFS_2017[[#This Row],[Nuclear]]/Capacity_Entsoe_SFS_2017[[#This Row],[Nuclear]]*10^6,0)</f>
        <v>0</v>
      </c>
      <c r="AA79" s="550">
        <f>IFERROR(Generation_Entsoe_SFS_2017[[#This Row],[Lignite]]/Capacity_Entsoe_SFS_2017[[#This Row],[Lignite]]*10^6,0)</f>
        <v>5401.6298020954591</v>
      </c>
      <c r="AB79" s="550">
        <f>IFERROR(Generation_Entsoe_SFS_2017[[#This Row],[Hard coal]]/Capacity_Entsoe_SFS_2017[[#This Row],[Hard coal]]*10^6,0)</f>
        <v>4052.6402731127137</v>
      </c>
      <c r="AC79" s="550">
        <f>IFERROR(Generation_Entsoe_SFS_2017[[#This Row],[Fossil gases]]/Capacity_Entsoe_SFS_2017[[#This Row],[Fossil gases]]*10^6,0)</f>
        <v>3847.6794922649742</v>
      </c>
      <c r="AD79" s="550">
        <f>IFERROR(Generation_Entsoe_SFS_2017[[#This Row],[Other fossil fuels]]/Capacity_Entsoe_SFS_2017[[#This Row],[Other fossil fuels]]*10^6,0)</f>
        <v>7096.7741935483873</v>
      </c>
      <c r="AE79" s="550">
        <f>IFERROR(Generation_Entsoe_SFS_2017[[#This Row],[Wind onshore]]/Capacity_Entsoe_SFS_2017[[#This Row],[Wind onshore]]*10^6,0)</f>
        <v>2547.7707006369424</v>
      </c>
      <c r="AF79" s="550">
        <f>IFERROR(Generation_Entsoe_SFS_2017[[#This Row],[Wind offshore]]/Capacity_Entsoe_SFS_2017[[#This Row],[Wind offshore]]*10^6,0)</f>
        <v>0</v>
      </c>
      <c r="AG79" s="550">
        <f>IFERROR(Generation_Entsoe_SFS_2017[[#This Row],[Solar PV]]/Capacity_Entsoe_SFS_2017[[#This Row],[Solar PV]]*10^6,0)</f>
        <v>701.75438596491233</v>
      </c>
      <c r="AH79" s="550">
        <f>IFERROR(Generation_Entsoe_SFS_2017[[#This Row],[Bioenergy]]/Capacity_Entsoe_SFS_2017[[#This Row],[Bioenergy]]*10^6,0)</f>
        <v>6297.8723404255315</v>
      </c>
      <c r="AI79" s="550">
        <f>IFERROR(Generation_Entsoe_SFS_2017[[#This Row],[Other RES]]/Capacity_Entsoe_SFS_2017[[#This Row],[Other RES]]*10^6,0)</f>
        <v>0</v>
      </c>
      <c r="AJ79" s="550">
        <f>IFERROR(Generation_Entsoe_SFS_2017[[#This Row],[Renewable Hydro]]/Capacity_Entsoe_SFS_2017[[#This Row],[Renewable Hydro]]*10^6,0)</f>
        <v>2574.6652935118436</v>
      </c>
      <c r="AK79" s="550">
        <f>IFERROR(Generation_Entsoe_SFS_2017[[#This Row],[Pumped Hydro]]/Capacity_Entsoe_SFS_2017[[#This Row],[Pumped Hydro]]*10^6,0)</f>
        <v>357.65379113018599</v>
      </c>
      <c r="AL79" s="550">
        <f>IFERROR(Generation_Entsoe_SFS_2017[[#This Row],[Other sources]]/Capacity_Entsoe_SFS_2017[[#This Row],[Other sources]]*10^6,0)</f>
        <v>2147.2392638036808</v>
      </c>
    </row>
    <row r="80" spans="1:38" x14ac:dyDescent="0.2">
      <c r="A80" s="425" t="str">
        <f t="shared" si="0"/>
        <v>PT</v>
      </c>
      <c r="B80" s="366">
        <f t="shared" si="21"/>
        <v>2017</v>
      </c>
      <c r="C80" s="366" t="str">
        <f t="shared" si="21"/>
        <v>TWh</v>
      </c>
      <c r="D80" s="144">
        <f t="shared" si="5"/>
        <v>0</v>
      </c>
      <c r="E80" s="144">
        <f t="shared" si="6"/>
        <v>0</v>
      </c>
      <c r="F80" s="167">
        <f t="shared" si="7"/>
        <v>13.6</v>
      </c>
      <c r="G80" s="167">
        <f t="shared" si="8"/>
        <v>17.600000000000001</v>
      </c>
      <c r="H80" s="422">
        <f t="shared" si="9"/>
        <v>0.4</v>
      </c>
      <c r="I80" s="167">
        <f t="shared" si="10"/>
        <v>12</v>
      </c>
      <c r="J80" s="144">
        <f t="shared" si="11"/>
        <v>0</v>
      </c>
      <c r="K80" s="422">
        <f t="shared" si="12"/>
        <v>0.9</v>
      </c>
      <c r="L80" s="422">
        <f t="shared" si="13"/>
        <v>2.8</v>
      </c>
      <c r="M80" s="422">
        <f t="shared" si="14"/>
        <v>0</v>
      </c>
      <c r="N80" s="167">
        <f t="shared" si="15"/>
        <v>5.5</v>
      </c>
      <c r="O80" s="167">
        <f t="shared" si="16"/>
        <v>1.8</v>
      </c>
      <c r="P80" s="422">
        <f t="shared" si="17"/>
        <v>0</v>
      </c>
      <c r="Q80" s="513">
        <f t="shared" si="1"/>
        <v>54.599999999999994</v>
      </c>
      <c r="R80" s="167">
        <f t="shared" si="18"/>
        <v>54.5</v>
      </c>
      <c r="S80" s="424">
        <f t="shared" si="2"/>
        <v>1.001834862385321</v>
      </c>
      <c r="T80" s="517">
        <f>IFERROR(INDEX($A$3:$AL$40,MATCH(Generation_Entsoe_SFS_2017[[#This Row],[Country]],$A$3:$A$40,0),MATCH(Generation_Entsoe_SFS_2017[[#Headers],[Consumption]],$A$1:$AL$1,0)),"")</f>
        <v>49.6</v>
      </c>
      <c r="U80" s="517">
        <f>IFERROR(INDEX($A$3:$AL$40,MATCH(Generation_Entsoe_SFS_2017[[#This Row],[Country]],$A$3:$A$40,0),MATCH(Generation_Entsoe_SFS_2017[[#Headers],[Pumping]],$A$1:$AL$1,0)),"")</f>
        <v>2.2000000000000002</v>
      </c>
      <c r="W80" s="425" t="str">
        <f t="shared" si="3"/>
        <v>PT</v>
      </c>
      <c r="X80" s="366">
        <v>2017</v>
      </c>
      <c r="Y80" s="366" t="s">
        <v>648</v>
      </c>
      <c r="Z80" s="550">
        <f>IFERROR(Generation_Entsoe_SFS_2017[[#This Row],[Nuclear]]/Capacity_Entsoe_SFS_2017[[#This Row],[Nuclear]]*10^6,0)</f>
        <v>0</v>
      </c>
      <c r="AA80" s="550">
        <f>IFERROR(Generation_Entsoe_SFS_2017[[#This Row],[Lignite]]/Capacity_Entsoe_SFS_2017[[#This Row],[Lignite]]*10^6,0)</f>
        <v>0</v>
      </c>
      <c r="AB80" s="553">
        <f>IFERROR(Generation_Entsoe_SFS_2017[[#This Row],[Hard coal]]/Capacity_Entsoe_SFS_2017[[#This Row],[Hard coal]]*10^6,0)</f>
        <v>7744.874715261959</v>
      </c>
      <c r="AC80" s="550">
        <f>IFERROR(Generation_Entsoe_SFS_2017[[#This Row],[Fossil gases]]/Capacity_Entsoe_SFS_2017[[#This Row],[Fossil gases]]*10^6,0)</f>
        <v>3820.2734968526156</v>
      </c>
      <c r="AD80" s="553">
        <f>IFERROR(Generation_Entsoe_SFS_2017[[#This Row],[Other fossil fuels]]/Capacity_Entsoe_SFS_2017[[#This Row],[Other fossil fuels]]*10^6,0)</f>
        <v>10000</v>
      </c>
      <c r="AE80" s="550">
        <f>IFERROR(Generation_Entsoe_SFS_2017[[#This Row],[Wind onshore]]/Capacity_Entsoe_SFS_2017[[#This Row],[Wind onshore]]*10^6,0)</f>
        <v>2357.563850687623</v>
      </c>
      <c r="AF80" s="550">
        <f>IFERROR(Generation_Entsoe_SFS_2017[[#This Row],[Wind offshore]]/Capacity_Entsoe_SFS_2017[[#This Row],[Wind offshore]]*10^6,0)</f>
        <v>0</v>
      </c>
      <c r="AG80" s="550">
        <f>IFERROR(Generation_Entsoe_SFS_2017[[#This Row],[Solar PV]]/Capacity_Entsoe_SFS_2017[[#This Row],[Solar PV]]*10^6,0)</f>
        <v>1836.7346938775511</v>
      </c>
      <c r="AH80" s="550">
        <f>IFERROR(Generation_Entsoe_SFS_2017[[#This Row],[Bioenergy]]/Capacity_Entsoe_SFS_2017[[#This Row],[Bioenergy]]*10^6,0)</f>
        <v>4487.1794871794873</v>
      </c>
      <c r="AI80" s="550">
        <f>IFERROR(Generation_Entsoe_SFS_2017[[#This Row],[Other RES]]/Capacity_Entsoe_SFS_2017[[#This Row],[Other RES]]*10^6,0)</f>
        <v>0</v>
      </c>
      <c r="AJ80" s="550">
        <f>IFERROR(Generation_Entsoe_SFS_2017[[#This Row],[Renewable Hydro]]/Capacity_Entsoe_SFS_2017[[#This Row],[Renewable Hydro]]*10^6,0)</f>
        <v>764.63228138467957</v>
      </c>
      <c r="AK80" s="550">
        <f>IFERROR(Generation_Entsoe_SFS_2017[[#This Row],[Pumped Hydro]]/Capacity_Entsoe_SFS_2017[[#This Row],[Pumped Hydro]]*10^6,0)</f>
        <v>0</v>
      </c>
      <c r="AL80" s="550">
        <f>IFERROR(Generation_Entsoe_SFS_2017[[#This Row],[Other sources]]/Capacity_Entsoe_SFS_2017[[#This Row],[Other sources]]*10^6,0)</f>
        <v>0</v>
      </c>
    </row>
    <row r="81" spans="1:38" x14ac:dyDescent="0.2">
      <c r="A81" s="425" t="str">
        <f t="shared" si="0"/>
        <v>RO</v>
      </c>
      <c r="B81" s="366">
        <f>B3</f>
        <v>2017</v>
      </c>
      <c r="C81" s="366" t="str">
        <f>C3</f>
        <v>TWh</v>
      </c>
      <c r="D81" s="144">
        <f t="shared" si="5"/>
        <v>10.6</v>
      </c>
      <c r="E81" s="144">
        <f t="shared" si="6"/>
        <v>14</v>
      </c>
      <c r="F81" s="167">
        <f t="shared" si="7"/>
        <v>1.1000000000000001</v>
      </c>
      <c r="G81" s="167">
        <f t="shared" si="8"/>
        <v>4.5</v>
      </c>
      <c r="H81" s="422">
        <f t="shared" si="9"/>
        <v>5.5</v>
      </c>
      <c r="I81" s="167">
        <f t="shared" si="10"/>
        <v>7.3</v>
      </c>
      <c r="J81" s="144">
        <f t="shared" si="11"/>
        <v>0</v>
      </c>
      <c r="K81" s="422">
        <f t="shared" si="12"/>
        <v>1.9</v>
      </c>
      <c r="L81" s="422">
        <f t="shared" si="13"/>
        <v>0.4</v>
      </c>
      <c r="M81" s="422">
        <f t="shared" si="14"/>
        <v>0</v>
      </c>
      <c r="N81" s="167">
        <f t="shared" si="15"/>
        <v>14.6</v>
      </c>
      <c r="O81" s="167">
        <f t="shared" si="16"/>
        <v>0</v>
      </c>
      <c r="P81" s="422">
        <f t="shared" si="17"/>
        <v>0</v>
      </c>
      <c r="Q81" s="513">
        <f t="shared" si="1"/>
        <v>59.9</v>
      </c>
      <c r="R81" s="167">
        <f t="shared" si="18"/>
        <v>59.8</v>
      </c>
      <c r="S81" s="424">
        <f t="shared" ref="S81:S87" si="22">Q81/R81</f>
        <v>1.0016722408026757</v>
      </c>
      <c r="T81" s="517">
        <f>IFERROR(INDEX($A$3:$AL$40,MATCH(Generation_Entsoe_SFS_2017[[#This Row],[Country]],$A$3:$A$40,0),MATCH(Generation_Entsoe_SFS_2017[[#Headers],[Consumption]],$A$1:$AL$1,0)),"")</f>
        <v>56.8</v>
      </c>
      <c r="U81" s="517">
        <f>IFERROR(INDEX($A$3:$AL$40,MATCH(Generation_Entsoe_SFS_2017[[#This Row],[Country]],$A$3:$A$40,0),MATCH(Generation_Entsoe_SFS_2017[[#Headers],[Pumping]],$A$1:$AL$1,0)),"")</f>
        <v>0.2</v>
      </c>
      <c r="W81" s="425" t="str">
        <f t="shared" si="3"/>
        <v>RO</v>
      </c>
      <c r="X81" s="366">
        <v>2017</v>
      </c>
      <c r="Y81" s="366" t="s">
        <v>648</v>
      </c>
      <c r="Z81" s="550">
        <f>IFERROR(Generation_Entsoe_SFS_2017[[#This Row],[Nuclear]]/Capacity_Entsoe_SFS_2017[[#This Row],[Nuclear]]*10^6,0)</f>
        <v>8153.8461538461543</v>
      </c>
      <c r="AA81" s="550">
        <f>IFERROR(Generation_Entsoe_SFS_2017[[#This Row],[Lignite]]/Capacity_Entsoe_SFS_2017[[#This Row],[Lignite]]*10^6,0)</f>
        <v>4227.0531400966183</v>
      </c>
      <c r="AB81" s="550">
        <f>IFERROR(Generation_Entsoe_SFS_2017[[#This Row],[Hard coal]]/Capacity_Entsoe_SFS_2017[[#This Row],[Hard coal]]*10^6,0)</f>
        <v>952.38095238095252</v>
      </c>
      <c r="AC81" s="550">
        <f>IFERROR(Generation_Entsoe_SFS_2017[[#This Row],[Fossil gases]]/Capacity_Entsoe_SFS_2017[[#This Row],[Fossil gases]]*10^6,0)</f>
        <v>2460.3608529250955</v>
      </c>
      <c r="AD81" s="550">
        <f>IFERROR(Generation_Entsoe_SFS_2017[[#This Row],[Other fossil fuels]]/Capacity_Entsoe_SFS_2017[[#This Row],[Other fossil fuels]]*10^6,0)</f>
        <v>3426.7912772585669</v>
      </c>
      <c r="AE81" s="550">
        <f>IFERROR(Generation_Entsoe_SFS_2017[[#This Row],[Wind onshore]]/Capacity_Entsoe_SFS_2017[[#This Row],[Wind onshore]]*10^6,0)</f>
        <v>2453.7815126050423</v>
      </c>
      <c r="AF81" s="550">
        <f>IFERROR(Generation_Entsoe_SFS_2017[[#This Row],[Wind offshore]]/Capacity_Entsoe_SFS_2017[[#This Row],[Wind offshore]]*10^6,0)</f>
        <v>0</v>
      </c>
      <c r="AG81" s="550">
        <f>IFERROR(Generation_Entsoe_SFS_2017[[#This Row],[Solar PV]]/Capacity_Entsoe_SFS_2017[[#This Row],[Solar PV]]*10^6,0)</f>
        <v>1478.5992217898834</v>
      </c>
      <c r="AH81" s="550">
        <f>IFERROR(Generation_Entsoe_SFS_2017[[#This Row],[Bioenergy]]/Capacity_Entsoe_SFS_2017[[#This Row],[Bioenergy]]*10^6,0)</f>
        <v>3305.7851239669426</v>
      </c>
      <c r="AI81" s="550">
        <f>IFERROR(Generation_Entsoe_SFS_2017[[#This Row],[Other RES]]/Capacity_Entsoe_SFS_2017[[#This Row],[Other RES]]*10^6,0)</f>
        <v>0</v>
      </c>
      <c r="AJ81" s="550">
        <f>IFERROR(Generation_Entsoe_SFS_2017[[#This Row],[Renewable Hydro]]/Capacity_Entsoe_SFS_2017[[#This Row],[Renewable Hydro]]*10^6,0)</f>
        <v>2290.1960784313724</v>
      </c>
      <c r="AK81" s="550">
        <f>IFERROR(Generation_Entsoe_SFS_2017[[#This Row],[Pumped Hydro]]/Capacity_Entsoe_SFS_2017[[#This Row],[Pumped Hydro]]*10^6,0)</f>
        <v>0</v>
      </c>
      <c r="AL81" s="550">
        <f>IFERROR(Generation_Entsoe_SFS_2017[[#This Row],[Other sources]]/Capacity_Entsoe_SFS_2017[[#This Row],[Other sources]]*10^6,0)</f>
        <v>0</v>
      </c>
    </row>
    <row r="82" spans="1:38" x14ac:dyDescent="0.2">
      <c r="A82" s="425" t="str">
        <f t="shared" si="0"/>
        <v>RS</v>
      </c>
      <c r="B82" s="366">
        <f>B5</f>
        <v>2017</v>
      </c>
      <c r="C82" s="366" t="str">
        <f>C5</f>
        <v>TWh</v>
      </c>
      <c r="D82" s="144">
        <f t="shared" si="5"/>
        <v>0</v>
      </c>
      <c r="E82" s="144">
        <f t="shared" si="6"/>
        <v>29.5</v>
      </c>
      <c r="F82" s="167">
        <f t="shared" si="7"/>
        <v>0</v>
      </c>
      <c r="G82" s="167">
        <f t="shared" si="8"/>
        <v>0.2</v>
      </c>
      <c r="H82" s="422">
        <f t="shared" si="9"/>
        <v>0</v>
      </c>
      <c r="I82" s="167">
        <f t="shared" si="10"/>
        <v>0</v>
      </c>
      <c r="J82" s="144">
        <f t="shared" si="11"/>
        <v>0</v>
      </c>
      <c r="K82" s="422">
        <f t="shared" si="12"/>
        <v>0</v>
      </c>
      <c r="L82" s="422">
        <f t="shared" si="13"/>
        <v>0</v>
      </c>
      <c r="M82" s="422">
        <f t="shared" si="14"/>
        <v>0</v>
      </c>
      <c r="N82" s="167">
        <f t="shared" si="15"/>
        <v>8.9</v>
      </c>
      <c r="O82" s="167">
        <f t="shared" si="16"/>
        <v>0.6</v>
      </c>
      <c r="P82" s="422">
        <f t="shared" si="17"/>
        <v>0</v>
      </c>
      <c r="Q82" s="513">
        <f t="shared" si="1"/>
        <v>39.200000000000003</v>
      </c>
      <c r="R82" s="167">
        <f t="shared" si="18"/>
        <v>39.200000000000003</v>
      </c>
      <c r="S82" s="424">
        <f t="shared" si="22"/>
        <v>1</v>
      </c>
      <c r="T82" s="517">
        <f>IFERROR(INDEX($A$3:$AL$40,MATCH(Generation_Entsoe_SFS_2017[[#This Row],[Country]],$A$3:$A$40,0),MATCH(Generation_Entsoe_SFS_2017[[#Headers],[Consumption]],$A$1:$AL$1,0)),"")</f>
        <v>39.6</v>
      </c>
      <c r="U82" s="517">
        <f>IFERROR(INDEX($A$3:$AL$40,MATCH(Generation_Entsoe_SFS_2017[[#This Row],[Country]],$A$3:$A$40,0),MATCH(Generation_Entsoe_SFS_2017[[#Headers],[Pumping]],$A$1:$AL$1,0)),"")</f>
        <v>0.9</v>
      </c>
      <c r="W82" s="425" t="str">
        <f t="shared" si="3"/>
        <v>RS</v>
      </c>
      <c r="X82" s="366">
        <v>2017</v>
      </c>
      <c r="Y82" s="366" t="s">
        <v>648</v>
      </c>
      <c r="Z82" s="550">
        <f>IFERROR(Generation_Entsoe_SFS_2017[[#This Row],[Nuclear]]/Capacity_Entsoe_SFS_2017[[#This Row],[Nuclear]]*10^6,0)</f>
        <v>0</v>
      </c>
      <c r="AA82" s="550">
        <f>IFERROR(Generation_Entsoe_SFS_2017[[#This Row],[Lignite]]/Capacity_Entsoe_SFS_2017[[#This Row],[Lignite]]*10^6,0)</f>
        <v>5577.6139156740401</v>
      </c>
      <c r="AB82" s="550">
        <f>IFERROR(Generation_Entsoe_SFS_2017[[#This Row],[Hard coal]]/Capacity_Entsoe_SFS_2017[[#This Row],[Hard coal]]*10^6,0)</f>
        <v>0</v>
      </c>
      <c r="AC82" s="550">
        <f>IFERROR(Generation_Entsoe_SFS_2017[[#This Row],[Fossil gases]]/Capacity_Entsoe_SFS_2017[[#This Row],[Fossil gases]]*10^6,0)</f>
        <v>961.53846153846155</v>
      </c>
      <c r="AD82" s="550">
        <f>IFERROR(Generation_Entsoe_SFS_2017[[#This Row],[Other fossil fuels]]/Capacity_Entsoe_SFS_2017[[#This Row],[Other fossil fuels]]*10^6,0)</f>
        <v>0</v>
      </c>
      <c r="AE82" s="550">
        <f>IFERROR(Generation_Entsoe_SFS_2017[[#This Row],[Wind onshore]]/Capacity_Entsoe_SFS_2017[[#This Row],[Wind onshore]]*10^6,0)</f>
        <v>0</v>
      </c>
      <c r="AF82" s="550">
        <f>IFERROR(Generation_Entsoe_SFS_2017[[#This Row],[Wind offshore]]/Capacity_Entsoe_SFS_2017[[#This Row],[Wind offshore]]*10^6,0)</f>
        <v>0</v>
      </c>
      <c r="AG82" s="550">
        <f>IFERROR(Generation_Entsoe_SFS_2017[[#This Row],[Solar PV]]/Capacity_Entsoe_SFS_2017[[#This Row],[Solar PV]]*10^6,0)</f>
        <v>0</v>
      </c>
      <c r="AH82" s="550">
        <f>IFERROR(Generation_Entsoe_SFS_2017[[#This Row],[Bioenergy]]/Capacity_Entsoe_SFS_2017[[#This Row],[Bioenergy]]*10^6,0)</f>
        <v>0</v>
      </c>
      <c r="AI82" s="550">
        <f>IFERROR(Generation_Entsoe_SFS_2017[[#This Row],[Other RES]]/Capacity_Entsoe_SFS_2017[[#This Row],[Other RES]]*10^6,0)</f>
        <v>0</v>
      </c>
      <c r="AJ82" s="550">
        <f>IFERROR(Generation_Entsoe_SFS_2017[[#This Row],[Renewable Hydro]]/Capacity_Entsoe_SFS_2017[[#This Row],[Renewable Hydro]]*10^6,0)</f>
        <v>3734.7880822492657</v>
      </c>
      <c r="AK82" s="550">
        <f>IFERROR(Generation_Entsoe_SFS_2017[[#This Row],[Pumped Hydro]]/Capacity_Entsoe_SFS_2017[[#This Row],[Pumped Hydro]]*10^6,0)</f>
        <v>977.19869706840393</v>
      </c>
      <c r="AL82" s="550">
        <f>IFERROR(Generation_Entsoe_SFS_2017[[#This Row],[Other sources]]/Capacity_Entsoe_SFS_2017[[#This Row],[Other sources]]*10^6,0)</f>
        <v>0</v>
      </c>
    </row>
    <row r="83" spans="1:38" x14ac:dyDescent="0.2">
      <c r="A83" s="425" t="str">
        <f t="shared" si="0"/>
        <v>SE</v>
      </c>
      <c r="B83" s="366">
        <f t="shared" ref="B83:C84" si="23">B27</f>
        <v>2017</v>
      </c>
      <c r="C83" s="366" t="str">
        <f t="shared" si="23"/>
        <v>TWh</v>
      </c>
      <c r="D83" s="144">
        <f t="shared" si="5"/>
        <v>63</v>
      </c>
      <c r="E83" s="144">
        <f t="shared" si="6"/>
        <v>0</v>
      </c>
      <c r="F83" s="167">
        <f t="shared" si="7"/>
        <v>0.5</v>
      </c>
      <c r="G83" s="167">
        <f t="shared" si="8"/>
        <v>0.4</v>
      </c>
      <c r="H83" s="422">
        <f t="shared" si="9"/>
        <v>1.8</v>
      </c>
      <c r="I83" s="167">
        <f t="shared" si="10"/>
        <v>17.3</v>
      </c>
      <c r="J83" s="144">
        <f t="shared" si="11"/>
        <v>0</v>
      </c>
      <c r="K83" s="422">
        <f t="shared" si="12"/>
        <v>0</v>
      </c>
      <c r="L83" s="422">
        <f t="shared" si="13"/>
        <v>10.1</v>
      </c>
      <c r="M83" s="422">
        <f t="shared" si="14"/>
        <v>1.3</v>
      </c>
      <c r="N83" s="167">
        <f t="shared" si="15"/>
        <v>63.9</v>
      </c>
      <c r="O83" s="167">
        <f t="shared" si="16"/>
        <v>0</v>
      </c>
      <c r="P83" s="422">
        <f t="shared" si="17"/>
        <v>0.9</v>
      </c>
      <c r="Q83" s="513">
        <f t="shared" si="1"/>
        <v>159.19999999999999</v>
      </c>
      <c r="R83" s="167">
        <f t="shared" si="18"/>
        <v>159.1</v>
      </c>
      <c r="S83" s="424">
        <f t="shared" si="22"/>
        <v>1.0006285355122564</v>
      </c>
      <c r="T83" s="517">
        <f>IFERROR(INDEX($A$3:$AL$40,MATCH(Generation_Entsoe_SFS_2017[[#This Row],[Country]],$A$3:$A$40,0),MATCH(Generation_Entsoe_SFS_2017[[#Headers],[Consumption]],$A$1:$AL$1,0)),"")</f>
        <v>139.9</v>
      </c>
      <c r="U83" s="517">
        <f>IFERROR(INDEX($A$3:$AL$40,MATCH(Generation_Entsoe_SFS_2017[[#This Row],[Country]],$A$3:$A$40,0),MATCH(Generation_Entsoe_SFS_2017[[#Headers],[Pumping]],$A$1:$AL$1,0)),"")</f>
        <v>0</v>
      </c>
      <c r="W83" s="425" t="str">
        <f t="shared" si="3"/>
        <v>SE</v>
      </c>
      <c r="X83" s="366">
        <v>2017</v>
      </c>
      <c r="Y83" s="366" t="s">
        <v>648</v>
      </c>
      <c r="Z83" s="550">
        <f>IFERROR(Generation_Entsoe_SFS_2017[[#This Row],[Nuclear]]/Capacity_Entsoe_SFS_2017[[#This Row],[Nuclear]]*10^6,0)</f>
        <v>7337.5262054507339</v>
      </c>
      <c r="AA83" s="550">
        <f>IFERROR(Generation_Entsoe_SFS_2017[[#This Row],[Lignite]]/Capacity_Entsoe_SFS_2017[[#This Row],[Lignite]]*10^6,0)</f>
        <v>0</v>
      </c>
      <c r="AB83" s="550">
        <f>IFERROR(Generation_Entsoe_SFS_2017[[#This Row],[Hard coal]]/Capacity_Entsoe_SFS_2017[[#This Row],[Hard coal]]*10^6,0)</f>
        <v>2439.0243902439024</v>
      </c>
      <c r="AC83" s="550">
        <f>IFERROR(Generation_Entsoe_SFS_2017[[#This Row],[Fossil gases]]/Capacity_Entsoe_SFS_2017[[#This Row],[Fossil gases]]*10^6,0)</f>
        <v>471.14252061248533</v>
      </c>
      <c r="AD83" s="550">
        <f>IFERROR(Generation_Entsoe_SFS_2017[[#This Row],[Other fossil fuels]]/Capacity_Entsoe_SFS_2017[[#This Row],[Other fossil fuels]]*10^6,0)</f>
        <v>639.43161634103012</v>
      </c>
      <c r="AE83" s="550">
        <f>IFERROR(Generation_Entsoe_SFS_2017[[#This Row],[Wind onshore]]/Capacity_Entsoe_SFS_2017[[#This Row],[Wind onshore]]*10^6,0)</f>
        <v>2585.5626961590197</v>
      </c>
      <c r="AF83" s="550">
        <f>IFERROR(Generation_Entsoe_SFS_2017[[#This Row],[Wind offshore]]/Capacity_Entsoe_SFS_2017[[#This Row],[Wind offshore]]*10^6,0)</f>
        <v>0</v>
      </c>
      <c r="AG83" s="550">
        <f>IFERROR(Generation_Entsoe_SFS_2017[[#This Row],[Solar PV]]/Capacity_Entsoe_SFS_2017[[#This Row],[Solar PV]]*10^6,0)</f>
        <v>0</v>
      </c>
      <c r="AH83" s="550">
        <f>IFERROR(Generation_Entsoe_SFS_2017[[#This Row],[Bioenergy]]/Capacity_Entsoe_SFS_2017[[#This Row],[Bioenergy]]*10^6,0)</f>
        <v>3211.4467408585056</v>
      </c>
      <c r="AI83" s="550">
        <f>IFERROR(Generation_Entsoe_SFS_2017[[#This Row],[Other RES]]/Capacity_Entsoe_SFS_2017[[#This Row],[Other RES]]*10^6,0)</f>
        <v>0</v>
      </c>
      <c r="AJ83" s="550">
        <f>IFERROR(Generation_Entsoe_SFS_2017[[#This Row],[Renewable Hydro]]/Capacity_Entsoe_SFS_2017[[#This Row],[Renewable Hydro]]*10^6,0)</f>
        <v>3920.0049076743762</v>
      </c>
      <c r="AK83" s="550">
        <f>IFERROR(Generation_Entsoe_SFS_2017[[#This Row],[Pumped Hydro]]/Capacity_Entsoe_SFS_2017[[#This Row],[Pumped Hydro]]*10^6,0)</f>
        <v>0</v>
      </c>
      <c r="AL83" s="550">
        <f>IFERROR(Generation_Entsoe_SFS_2017[[#This Row],[Other sources]]/Capacity_Entsoe_SFS_2017[[#This Row],[Other sources]]*10^6,0)</f>
        <v>2022.4719101123596</v>
      </c>
    </row>
    <row r="84" spans="1:38" x14ac:dyDescent="0.2">
      <c r="A84" s="425" t="str">
        <f t="shared" si="0"/>
        <v>SI</v>
      </c>
      <c r="B84" s="366">
        <f t="shared" si="23"/>
        <v>2017</v>
      </c>
      <c r="C84" s="366" t="str">
        <f t="shared" si="23"/>
        <v>TWh</v>
      </c>
      <c r="D84" s="144">
        <f t="shared" si="5"/>
        <v>6</v>
      </c>
      <c r="E84" s="144">
        <f t="shared" si="6"/>
        <v>4.3</v>
      </c>
      <c r="F84" s="167">
        <f t="shared" si="7"/>
        <v>0</v>
      </c>
      <c r="G84" s="167">
        <f t="shared" si="8"/>
        <v>0</v>
      </c>
      <c r="H84" s="422">
        <f t="shared" si="9"/>
        <v>0</v>
      </c>
      <c r="I84" s="167">
        <f t="shared" si="10"/>
        <v>0</v>
      </c>
      <c r="J84" s="144">
        <f t="shared" si="11"/>
        <v>0</v>
      </c>
      <c r="K84" s="422">
        <f t="shared" si="12"/>
        <v>0.3</v>
      </c>
      <c r="L84" s="422">
        <f t="shared" si="13"/>
        <v>0.2</v>
      </c>
      <c r="M84" s="422">
        <f t="shared" si="14"/>
        <v>0.1</v>
      </c>
      <c r="N84" s="167">
        <f t="shared" si="15"/>
        <v>3.8</v>
      </c>
      <c r="O84" s="167">
        <f t="shared" si="16"/>
        <v>0.3</v>
      </c>
      <c r="P84" s="422">
        <f t="shared" si="17"/>
        <v>0.2</v>
      </c>
      <c r="Q84" s="513">
        <f t="shared" si="1"/>
        <v>15.2</v>
      </c>
      <c r="R84" s="167">
        <f t="shared" si="18"/>
        <v>15</v>
      </c>
      <c r="S84" s="424">
        <f t="shared" si="22"/>
        <v>1.0133333333333332</v>
      </c>
      <c r="T84" s="517">
        <f>IFERROR(INDEX($A$3:$AL$40,MATCH(Generation_Entsoe_SFS_2017[[#This Row],[Country]],$A$3:$A$40,0),MATCH(Generation_Entsoe_SFS_2017[[#Headers],[Consumption]],$A$1:$AL$1,0)),"")</f>
        <v>14.2</v>
      </c>
      <c r="U84" s="517">
        <f>IFERROR(INDEX($A$3:$AL$40,MATCH(Generation_Entsoe_SFS_2017[[#This Row],[Country]],$A$3:$A$40,0),MATCH(Generation_Entsoe_SFS_2017[[#Headers],[Pumping]],$A$1:$AL$1,0)),"")</f>
        <v>0.4</v>
      </c>
      <c r="W84" s="425" t="str">
        <f t="shared" si="3"/>
        <v>SI</v>
      </c>
      <c r="X84" s="366">
        <v>2017</v>
      </c>
      <c r="Y84" s="366" t="s">
        <v>648</v>
      </c>
      <c r="Z84" s="550">
        <f>IFERROR(Generation_Entsoe_SFS_2017[[#This Row],[Nuclear]]/Capacity_Entsoe_SFS_2017[[#This Row],[Nuclear]]*10^6,0)</f>
        <v>8620.689655172413</v>
      </c>
      <c r="AA84" s="550">
        <f>IFERROR(Generation_Entsoe_SFS_2017[[#This Row],[Lignite]]/Capacity_Entsoe_SFS_2017[[#This Row],[Lignite]]*10^6,0)</f>
        <v>4653.6796536796537</v>
      </c>
      <c r="AB84" s="550">
        <f>IFERROR(Generation_Entsoe_SFS_2017[[#This Row],[Hard coal]]/Capacity_Entsoe_SFS_2017[[#This Row],[Hard coal]]*10^6,0)</f>
        <v>0</v>
      </c>
      <c r="AC84" s="550">
        <f>IFERROR(Generation_Entsoe_SFS_2017[[#This Row],[Fossil gases]]/Capacity_Entsoe_SFS_2017[[#This Row],[Fossil gases]]*10^6,0)</f>
        <v>0</v>
      </c>
      <c r="AD84" s="550">
        <f>IFERROR(Generation_Entsoe_SFS_2017[[#This Row],[Other fossil fuels]]/Capacity_Entsoe_SFS_2017[[#This Row],[Other fossil fuels]]*10^6,0)</f>
        <v>0</v>
      </c>
      <c r="AE84" s="550">
        <f>IFERROR(Generation_Entsoe_SFS_2017[[#This Row],[Wind onshore]]/Capacity_Entsoe_SFS_2017[[#This Row],[Wind onshore]]*10^6,0)</f>
        <v>0</v>
      </c>
      <c r="AF84" s="550">
        <f>IFERROR(Generation_Entsoe_SFS_2017[[#This Row],[Wind offshore]]/Capacity_Entsoe_SFS_2017[[#This Row],[Wind offshore]]*10^6,0)</f>
        <v>0</v>
      </c>
      <c r="AG84" s="550">
        <f>IFERROR(Generation_Entsoe_SFS_2017[[#This Row],[Solar PV]]/Capacity_Entsoe_SFS_2017[[#This Row],[Solar PV]]*10^6,0)</f>
        <v>1107.011070110701</v>
      </c>
      <c r="AH84" s="550">
        <f>IFERROR(Generation_Entsoe_SFS_2017[[#This Row],[Bioenergy]]/Capacity_Entsoe_SFS_2017[[#This Row],[Bioenergy]]*10^6,0)</f>
        <v>4878.0487804878048</v>
      </c>
      <c r="AI84" s="550">
        <f>IFERROR(Generation_Entsoe_SFS_2017[[#This Row],[Other RES]]/Capacity_Entsoe_SFS_2017[[#This Row],[Other RES]]*10^6,0)</f>
        <v>7142.8571428571431</v>
      </c>
      <c r="AJ84" s="550">
        <f>IFERROR(Generation_Entsoe_SFS_2017[[#This Row],[Renewable Hydro]]/Capacity_Entsoe_SFS_2017[[#This Row],[Renewable Hydro]]*10^6,0)</f>
        <v>3401.9695613249773</v>
      </c>
      <c r="AK84" s="550">
        <f>IFERROR(Generation_Entsoe_SFS_2017[[#This Row],[Pumped Hydro]]/Capacity_Entsoe_SFS_2017[[#This Row],[Pumped Hydro]]*10^6,0)</f>
        <v>1666.6666666666665</v>
      </c>
      <c r="AL84" s="550">
        <f>IFERROR(Generation_Entsoe_SFS_2017[[#This Row],[Other sources]]/Capacity_Entsoe_SFS_2017[[#This Row],[Other sources]]*10^6,0)</f>
        <v>1739.1304347826087</v>
      </c>
    </row>
    <row r="85" spans="1:38" x14ac:dyDescent="0.2">
      <c r="A85" s="425" t="str">
        <f t="shared" si="0"/>
        <v>SK</v>
      </c>
      <c r="B85" s="366">
        <f>B34</f>
        <v>2017</v>
      </c>
      <c r="C85" s="366" t="str">
        <f>C34</f>
        <v>TWh</v>
      </c>
      <c r="D85" s="144">
        <f t="shared" si="5"/>
        <v>14</v>
      </c>
      <c r="E85" s="144">
        <f t="shared" si="6"/>
        <v>1.5</v>
      </c>
      <c r="F85" s="167">
        <f t="shared" si="7"/>
        <v>1</v>
      </c>
      <c r="G85" s="167">
        <f t="shared" si="8"/>
        <v>2.2000000000000002</v>
      </c>
      <c r="H85" s="422">
        <f t="shared" si="9"/>
        <v>0.3</v>
      </c>
      <c r="I85" s="167">
        <f t="shared" si="10"/>
        <v>0</v>
      </c>
      <c r="J85" s="144">
        <f t="shared" si="11"/>
        <v>0</v>
      </c>
      <c r="K85" s="422">
        <f t="shared" si="12"/>
        <v>0.6</v>
      </c>
      <c r="L85" s="422">
        <f t="shared" si="13"/>
        <v>1.7000000000000002</v>
      </c>
      <c r="M85" s="422">
        <f t="shared" si="14"/>
        <v>0</v>
      </c>
      <c r="N85" s="167">
        <f t="shared" si="15"/>
        <v>4.3</v>
      </c>
      <c r="O85" s="167">
        <f t="shared" si="16"/>
        <v>0.3</v>
      </c>
      <c r="P85" s="422">
        <f t="shared" si="17"/>
        <v>0.1</v>
      </c>
      <c r="Q85" s="513">
        <f t="shared" si="1"/>
        <v>26.000000000000004</v>
      </c>
      <c r="R85" s="167">
        <f t="shared" si="18"/>
        <v>26</v>
      </c>
      <c r="S85" s="424">
        <f t="shared" si="22"/>
        <v>1.0000000000000002</v>
      </c>
      <c r="T85" s="517">
        <f>IFERROR(INDEX($A$3:$AL$40,MATCH(Generation_Entsoe_SFS_2017[[#This Row],[Country]],$A$3:$A$40,0),MATCH(Generation_Entsoe_SFS_2017[[#Headers],[Consumption]],$A$1:$AL$1,0)),"")</f>
        <v>28.6</v>
      </c>
      <c r="U85" s="517">
        <f>IFERROR(INDEX($A$3:$AL$40,MATCH(Generation_Entsoe_SFS_2017[[#This Row],[Country]],$A$3:$A$40,0),MATCH(Generation_Entsoe_SFS_2017[[#Headers],[Pumping]],$A$1:$AL$1,0)),"")</f>
        <v>0.4</v>
      </c>
      <c r="W85" s="425" t="str">
        <f t="shared" si="3"/>
        <v>SK</v>
      </c>
      <c r="X85" s="366">
        <v>2017</v>
      </c>
      <c r="Y85" s="366" t="s">
        <v>648</v>
      </c>
      <c r="Z85" s="550">
        <f>IFERROR(Generation_Entsoe_SFS_2017[[#This Row],[Nuclear]]/Capacity_Entsoe_SFS_2017[[#This Row],[Nuclear]]*10^6,0)</f>
        <v>7216.4948453608249</v>
      </c>
      <c r="AA85" s="550">
        <f>IFERROR(Generation_Entsoe_SFS_2017[[#This Row],[Lignite]]/Capacity_Entsoe_SFS_2017[[#This Row],[Lignite]]*10^6,0)</f>
        <v>4504.5045045045044</v>
      </c>
      <c r="AB85" s="550">
        <f>IFERROR(Generation_Entsoe_SFS_2017[[#This Row],[Hard coal]]/Capacity_Entsoe_SFS_2017[[#This Row],[Hard coal]]*10^6,0)</f>
        <v>4524.8868778280548</v>
      </c>
      <c r="AC85" s="550">
        <f>IFERROR(Generation_Entsoe_SFS_2017[[#This Row],[Fossil gases]]/Capacity_Entsoe_SFS_2017[[#This Row],[Fossil gases]]*10^6,0)</f>
        <v>1989.1500904159134</v>
      </c>
      <c r="AD85" s="550">
        <f>IFERROR(Generation_Entsoe_SFS_2017[[#This Row],[Other fossil fuels]]/Capacity_Entsoe_SFS_2017[[#This Row],[Other fossil fuels]]*10^6,0)</f>
        <v>436.04651162790697</v>
      </c>
      <c r="AE85" s="550">
        <f>IFERROR(Generation_Entsoe_SFS_2017[[#This Row],[Wind onshore]]/Capacity_Entsoe_SFS_2017[[#This Row],[Wind onshore]]*10^6,0)</f>
        <v>0</v>
      </c>
      <c r="AF85" s="550">
        <f>IFERROR(Generation_Entsoe_SFS_2017[[#This Row],[Wind offshore]]/Capacity_Entsoe_SFS_2017[[#This Row],[Wind offshore]]*10^6,0)</f>
        <v>0</v>
      </c>
      <c r="AG85" s="550">
        <f>IFERROR(Generation_Entsoe_SFS_2017[[#This Row],[Solar PV]]/Capacity_Entsoe_SFS_2017[[#This Row],[Solar PV]]*10^6,0)</f>
        <v>1132.0754716981132</v>
      </c>
      <c r="AH85" s="550">
        <f>IFERROR(Generation_Entsoe_SFS_2017[[#This Row],[Bioenergy]]/Capacity_Entsoe_SFS_2017[[#This Row],[Bioenergy]]*10^6,0)</f>
        <v>5151.515151515152</v>
      </c>
      <c r="AI85" s="550">
        <f>IFERROR(Generation_Entsoe_SFS_2017[[#This Row],[Other RES]]/Capacity_Entsoe_SFS_2017[[#This Row],[Other RES]]*10^6,0)</f>
        <v>0</v>
      </c>
      <c r="AJ85" s="550">
        <f>IFERROR(Generation_Entsoe_SFS_2017[[#This Row],[Renewable Hydro]]/Capacity_Entsoe_SFS_2017[[#This Row],[Renewable Hydro]]*10^6,0)</f>
        <v>2382.2714681440443</v>
      </c>
      <c r="AK85" s="550">
        <f>IFERROR(Generation_Entsoe_SFS_2017[[#This Row],[Pumped Hydro]]/Capacity_Entsoe_SFS_2017[[#This Row],[Pumped Hydro]]*10^6,0)</f>
        <v>408.71934604904629</v>
      </c>
      <c r="AL85" s="550">
        <f>IFERROR(Generation_Entsoe_SFS_2017[[#This Row],[Other sources]]/Capacity_Entsoe_SFS_2017[[#This Row],[Other sources]]*10^6,0)</f>
        <v>5263.1578947368416</v>
      </c>
    </row>
    <row r="86" spans="1:38" x14ac:dyDescent="0.2">
      <c r="A86" s="425" t="str">
        <f t="shared" si="0"/>
        <v>Entso-E</v>
      </c>
      <c r="B86" s="520">
        <f t="shared" ref="B86:C88" si="24">B38</f>
        <v>2017</v>
      </c>
      <c r="C86" s="520" t="str">
        <f t="shared" si="24"/>
        <v>TWh</v>
      </c>
      <c r="D86" s="144">
        <f t="shared" si="5"/>
        <v>808</v>
      </c>
      <c r="E86" s="144">
        <f t="shared" si="6"/>
        <v>365.7</v>
      </c>
      <c r="F86" s="167">
        <f t="shared" si="7"/>
        <v>381.5</v>
      </c>
      <c r="G86" s="167">
        <f t="shared" si="8"/>
        <v>766.9</v>
      </c>
      <c r="H86" s="422">
        <f t="shared" si="9"/>
        <v>64</v>
      </c>
      <c r="I86" s="167">
        <f t="shared" si="10"/>
        <v>325.7</v>
      </c>
      <c r="J86" s="144">
        <f t="shared" si="11"/>
        <v>45.1</v>
      </c>
      <c r="K86" s="422">
        <f t="shared" si="12"/>
        <v>109</v>
      </c>
      <c r="L86" s="422">
        <f t="shared" si="13"/>
        <v>141.19999999999999</v>
      </c>
      <c r="M86" s="422">
        <f t="shared" si="14"/>
        <v>51.1</v>
      </c>
      <c r="N86" s="167">
        <f t="shared" si="15"/>
        <v>562.80000000000007</v>
      </c>
      <c r="O86" s="167">
        <f t="shared" si="16"/>
        <v>28.5</v>
      </c>
      <c r="P86" s="422">
        <f t="shared" si="17"/>
        <v>26.9</v>
      </c>
      <c r="Q86" s="521">
        <f t="shared" si="1"/>
        <v>3676.3999999999996</v>
      </c>
      <c r="R86" s="167">
        <f t="shared" si="18"/>
        <v>3676.3</v>
      </c>
      <c r="S86" s="519">
        <f t="shared" si="22"/>
        <v>1.0000272012621385</v>
      </c>
      <c r="T86" s="517">
        <f>IFERROR(INDEX($A$3:$AL$40,MATCH(Generation_Entsoe_SFS_2017[[#This Row],[Country]],$A$3:$A$40,0),MATCH(Generation_Entsoe_SFS_2017[[#Headers],[Consumption]],$A$1:$AL$1,0)),"")</f>
        <v>3634.2</v>
      </c>
      <c r="U86" s="517">
        <f>IFERROR(INDEX($A$3:$AL$40,MATCH(Generation_Entsoe_SFS_2017[[#This Row],[Country]],$A$3:$A$40,0),MATCH(Generation_Entsoe_SFS_2017[[#Headers],[Pumping]],$A$1:$AL$1,0)),"")</f>
        <v>47.6</v>
      </c>
      <c r="W86" s="425" t="str">
        <f t="shared" si="3"/>
        <v>Entso-E</v>
      </c>
      <c r="X86" s="366">
        <v>2017</v>
      </c>
      <c r="Y86" s="366" t="s">
        <v>648</v>
      </c>
      <c r="Z86" s="550">
        <f>IFERROR(Generation_Entsoe_SFS_2017[[#This Row],[Nuclear]]/'Capacity_Entsoe_SFS_2017'!D87*10^6,0)</f>
        <v>6624.416879145384</v>
      </c>
      <c r="AA86" s="550">
        <f>IFERROR(Generation_Entsoe_SFS_2017[[#This Row],[Lignite]]/'Capacity_Entsoe_SFS_2017'!E87*10^6,0)</f>
        <v>5189.3686764768481</v>
      </c>
      <c r="AB86" s="550">
        <f>IFERROR(Generation_Entsoe_SFS_2017[[#This Row],[Hard coal]]/'Capacity_Entsoe_SFS_2017'!F87*10^6,0)</f>
        <v>3655.2649228705563</v>
      </c>
      <c r="AC86" s="550">
        <f>IFERROR(Generation_Entsoe_SFS_2017[[#This Row],[Fossil gases]]/'Capacity_Entsoe_SFS_2017'!G87*10^6,0)</f>
        <v>3162.5263921879123</v>
      </c>
      <c r="AD86" s="550">
        <f>IFERROR(Generation_Entsoe_SFS_2017[[#This Row],[Other fossil fuels]]/'Capacity_Entsoe_SFS_2017'!H87*10^6,0)</f>
        <v>1353.0083294575284</v>
      </c>
      <c r="AE86" s="550">
        <f>IFERROR(Generation_Entsoe_SFS_2017[[#This Row],[Wind onshore]]/'Capacity_Entsoe_SFS_2017'!I87*10^6,0)</f>
        <v>2037.229318087994</v>
      </c>
      <c r="AF86" s="550">
        <f>IFERROR(Generation_Entsoe_SFS_2017[[#This Row],[Wind offshore]]/'Capacity_Entsoe_SFS_2017'!J87*10^6,0)</f>
        <v>3251.6222062004326</v>
      </c>
      <c r="AG86" s="550">
        <f>IFERROR(Generation_Entsoe_SFS_2017[[#This Row],[Solar PV]]/'Capacity_Entsoe_SFS_2017'!K87*10^6,0)</f>
        <v>1005.5072276597512</v>
      </c>
      <c r="AH86" s="550">
        <f>IFERROR(Generation_Entsoe_SFS_2017[[#This Row],[Bioenergy]]/'Capacity_Entsoe_SFS_2017'!L87*10^6,0)</f>
        <v>5201.1197878296734</v>
      </c>
      <c r="AI86" s="550">
        <f>IFERROR(Generation_Entsoe_SFS_2017[[#This Row],[Other RES]]/'Capacity_Entsoe_SFS_2017'!M87*10^6,0)</f>
        <v>4127.9586396316345</v>
      </c>
      <c r="AJ86" s="550">
        <f>IFERROR(Generation_Entsoe_SFS_2017[[#This Row],[Renewable Hydro]]/'Capacity_Entsoe_SFS_2017'!N87*10^6,0)</f>
        <v>2649.181192131537</v>
      </c>
      <c r="AK86" s="550">
        <f>IFERROR(Generation_Entsoe_SFS_2017[[#This Row],[Pumped Hydro]]/'Capacity_Entsoe_SFS_2017'!O87*10^6,0)</f>
        <v>1170.4792804632634</v>
      </c>
      <c r="AL86" s="550">
        <f>IFERROR(Generation_Entsoe_SFS_2017[[#This Row],[Other sources]]/'Capacity_Entsoe_SFS_2017'!P87*10^6,0)</f>
        <v>3878.3160322952708</v>
      </c>
    </row>
    <row r="87" spans="1:38" x14ac:dyDescent="0.2">
      <c r="A87" s="560" t="str">
        <f>$A39</f>
        <v>EU</v>
      </c>
      <c r="B87" s="561">
        <f t="shared" si="24"/>
        <v>2017</v>
      </c>
      <c r="C87" s="561" t="str">
        <f t="shared" si="24"/>
        <v>TWh</v>
      </c>
      <c r="D87" s="144">
        <f>E39</f>
        <v>788.5</v>
      </c>
      <c r="E87" s="144">
        <f>G39</f>
        <v>280.3</v>
      </c>
      <c r="F87" s="167">
        <f>J39</f>
        <v>324.5</v>
      </c>
      <c r="G87" s="167">
        <f>H39+I39</f>
        <v>653.9</v>
      </c>
      <c r="H87" s="422">
        <f>M39+N39+O39+L39+K39</f>
        <v>62</v>
      </c>
      <c r="I87" s="167">
        <f>V39</f>
        <v>304.7</v>
      </c>
      <c r="J87" s="144">
        <f>U39</f>
        <v>45.1</v>
      </c>
      <c r="K87" s="422">
        <f>W39</f>
        <v>105.2</v>
      </c>
      <c r="L87" s="422">
        <f>Y39+Z39</f>
        <v>137.70000000000002</v>
      </c>
      <c r="M87" s="422">
        <f>X39+AA39+AB39+AG39+AH39</f>
        <v>38.200000000000003</v>
      </c>
      <c r="N87" s="167">
        <f>SUM(AC39,AD39,AE39,AF39)</f>
        <v>297.90000000000003</v>
      </c>
      <c r="O87" s="167">
        <f>SUM(P39,Q39)</f>
        <v>27</v>
      </c>
      <c r="P87" s="422">
        <f>SUM(R39:S39)</f>
        <v>25.5</v>
      </c>
      <c r="Q87" s="167">
        <f t="shared" si="1"/>
        <v>3090.4999999999991</v>
      </c>
      <c r="R87" s="167">
        <f>AI39</f>
        <v>3090.6</v>
      </c>
      <c r="S87" s="424">
        <f t="shared" si="22"/>
        <v>0.99996764382320558</v>
      </c>
      <c r="T87" s="517">
        <f>IFERROR(INDEX($A$3:$AL$40,MATCH(Generation_Entsoe_SFS_2017[[#This Row],[Country]],$A$3:$A$40,0),MATCH(Generation_Entsoe_SFS_2017[[#Headers],[Consumption]],$A$1:$AL$1,0)),"")</f>
        <v>3061.1</v>
      </c>
      <c r="U87" s="517">
        <f>IFERROR(INDEX($A$3:$AL$40,MATCH(Generation_Entsoe_SFS_2017[[#This Row],[Country]],$A$3:$A$40,0),MATCH(Generation_Entsoe_SFS_2017[[#Headers],[Pumping]],$A$1:$AL$1,0)),"")</f>
        <v>42.3</v>
      </c>
      <c r="W87" s="425" t="str">
        <f t="shared" si="3"/>
        <v>EU</v>
      </c>
      <c r="X87" s="366">
        <v>2017</v>
      </c>
      <c r="Y87" s="366" t="s">
        <v>648</v>
      </c>
      <c r="Z87" s="550">
        <f>IFERROR(D87/'Capacity_Entsoe_SFS_2017'!D88*10^6,0)</f>
        <v>6646.1564396493595</v>
      </c>
      <c r="AA87" s="550">
        <f>IFERROR(E87/'Capacity_Entsoe_SFS_2017'!E88*10^6,0)</f>
        <v>5330.6201624099049</v>
      </c>
      <c r="AB87" s="550">
        <f>IFERROR(F87/'Capacity_Entsoe_SFS_2017'!F88*10^6,0)</f>
        <v>3423.2124396058821</v>
      </c>
      <c r="AC87" s="550">
        <f>IFERROR(G87/'Capacity_Entsoe_SFS_2017'!G88*10^6,0)</f>
        <v>3042.0603573804506</v>
      </c>
      <c r="AD87" s="550">
        <f>IFERROR(H87/'Capacity_Entsoe_SFS_2017'!H88*10^6,0)</f>
        <v>1327.6231263383297</v>
      </c>
      <c r="AE87" s="550">
        <f>IFERROR(I87/'Capacity_Entsoe_SFS_2017'!I88*10^6,0)</f>
        <v>2003.2346289380948</v>
      </c>
      <c r="AF87" s="550">
        <f>IFERROR(J87/'Capacity_Entsoe_SFS_2017'!J88*10^6,0)</f>
        <v>3251.6222062004326</v>
      </c>
      <c r="AG87" s="550">
        <f>IFERROR(K87/'Capacity_Entsoe_SFS_2017'!K88*10^6,0)</f>
        <v>1015.7773786763995</v>
      </c>
      <c r="AH87" s="550">
        <f>IFERROR(L87/'Capacity_Entsoe_SFS_2017'!L88*10^6,0)</f>
        <v>5244.5155393053028</v>
      </c>
      <c r="AI87" s="550">
        <f>IFERROR(M87/'Capacity_Entsoe_SFS_2017'!M88*10^6,0)</f>
        <v>3718.1234183375514</v>
      </c>
      <c r="AJ87" s="550">
        <f>IFERROR(N87/'Capacity_Entsoe_SFS_2017'!N88*10^6,0)</f>
        <v>2242.7669073305879</v>
      </c>
      <c r="AK87" s="550">
        <f>IFERROR(O87/'Capacity_Entsoe_SFS_2017'!O88*10^6,0)</f>
        <v>1192.8429423459245</v>
      </c>
      <c r="AL87" s="550">
        <f>IFERROR(P87/'Capacity_Entsoe_SFS_2017'!P88*10^6,0)</f>
        <v>3791.8215613382899</v>
      </c>
    </row>
    <row r="88" spans="1:38" x14ac:dyDescent="0.2">
      <c r="A88" s="560" t="str">
        <f>$A40</f>
        <v>TR</v>
      </c>
      <c r="B88" s="541">
        <f t="shared" si="24"/>
        <v>2017</v>
      </c>
      <c r="C88" s="541" t="str">
        <f t="shared" si="24"/>
        <v>TWh</v>
      </c>
      <c r="D88" s="508">
        <f>E40</f>
        <v>0</v>
      </c>
      <c r="E88" s="508">
        <f>G40</f>
        <v>40.5</v>
      </c>
      <c r="F88" s="509">
        <f>J40</f>
        <v>57</v>
      </c>
      <c r="G88" s="509">
        <f>H40+I40</f>
        <v>108.2</v>
      </c>
      <c r="H88" s="559">
        <f>M40+N40+O40+L40+K40</f>
        <v>2</v>
      </c>
      <c r="I88" s="509">
        <f>V40</f>
        <v>17.899999999999999</v>
      </c>
      <c r="J88" s="508">
        <f>U40</f>
        <v>0</v>
      </c>
      <c r="K88" s="559">
        <f>W40</f>
        <v>2.7</v>
      </c>
      <c r="L88" s="559">
        <f>Y40+Z40</f>
        <v>2.8</v>
      </c>
      <c r="M88" s="559">
        <f>X40+AA40+AB40+AG40+AH40</f>
        <v>6</v>
      </c>
      <c r="N88" s="509">
        <f>SUM(AC40,AD40,AE40,AF40)</f>
        <v>58.5</v>
      </c>
      <c r="O88" s="509">
        <f>SUM(P40,Q40)</f>
        <v>0</v>
      </c>
      <c r="P88" s="559">
        <f>SUM(R40:S40)</f>
        <v>0</v>
      </c>
      <c r="Q88" s="509">
        <f>SUM(D88:P88)</f>
        <v>295.60000000000002</v>
      </c>
      <c r="R88" s="509">
        <f>AI40</f>
        <v>295.5</v>
      </c>
      <c r="S88" s="562">
        <f>Q88/R88</f>
        <v>1.0003384094754655</v>
      </c>
      <c r="T88" s="517">
        <f>IFERROR(INDEX($A$3:$AL$40,MATCH(Generation_Entsoe_SFS_2017[[#This Row],[Country]],$A$3:$A$40,0),MATCH(Generation_Entsoe_SFS_2017[[#Headers],[Consumption]],$A$1:$AL$1,0)),"")</f>
        <v>294.5</v>
      </c>
      <c r="U88" s="517">
        <f>IFERROR(INDEX($A$3:$AL$40,MATCH(Generation_Entsoe_SFS_2017[[#This Row],[Country]],$A$3:$A$40,0),MATCH(Generation_Entsoe_SFS_2017[[#Headers],[Pumping]],$A$1:$AL$1,0)),"")</f>
        <v>0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b 2 e 3 8 7 - e 0 9 4 - 4 c d f - 9 c 0 a - b 4 9 6 a f c 1 7 a d 2 "   x m l n s = " h t t p : / / s c h e m a s . m i c r o s o f t . c o m / D a t a M a s h u p " > A A A A A M I G A A B Q S w M E F A A C A A g A G 5 X Y U C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G 5 X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V 2 F B C L m 7 2 u Q M A A C 8 Y A A A T A B w A R m 9 y b X V s Y X M v U 2 V j d G l v b j E u b S C i G A A o o B Q A A A A A A A A A A A A A A A A A A A A A A A A A A A D t W F 9 v 0 z A Q f 5 + 0 7 2 A Z C b W i m i i C t h L a w 6 g 2 9 j C N Q T c m N E 2 T m 1 5 b a 4 l d O T b Q V f 0 m f A 6 e e N s X 4 5 y k a Z r F X f p H C N D 6 k v g c 3 / 3 u / L v z u S F 4 m k t B O v G z / n Z 3 Z 3 c n H D I F P d J m I + Z x P b 4 5 F D q U c N M 5 6 t y 8 e l l / T f a J D 3 p 3 h + D v o w H f B 5 Q c f v f A 3 2 s b p U D o S 6 l u u 1 L e V q q T q 1 M W w D 5 1 6 a L X 0 6 u 2 F B o X X e / u c J H V W g L L m y 1 i e b M h l s Y W s T Q 2 x N L c I p b m h l h a W 8 T S K o v l P Q h Q z F J 6 G + x 1 a 9 s Y z 1 o M d m s r i + d Z L s I 3 B 7 5 P x s B U S A s B n b O u D 3 t t G X S 5 g M r E l c 4 1 Z 6 I 6 Z x r O m a Z z p j W t 1 m K A z + g x F 3 d m A P 3 7 X w M N p A v C 6 D t Q P e h z w U G h q D N i v g a a O n H Q 6 7 W l b w J R i b 2 r E f p B D w E 9 r x F g 3 p B c R U M S S q M 8 C K 9 f J O N P h 5 3 r u V k E 1 A c l U v 1 i b u A T B P I r x D b C S n m E t Q l N L d E Z q h k M K z i X m v k o w K 2 q R A G p W u n 9 j y 4 o 4 C L U P A i M G N D p E p R 1 N 8 y H H i G g 2 G T F W v C G A n Q 1 p 3 3 E v 0 q d 9 S I T h w s R z U Z u L D F T R y c m t C 2 N 0 G p s H f q C N L T P C 8 E 1 n e L L g d a K d 4 2 2 w k u 0 R e c Q L g K M J x O O f R C Y L Q u W C + D W J p M F A + f W U e n L w Z h O p 9 V 5 D h X a K p d S G D / m 3 R I z q j 4 l 1 7 + f X F l K P A R a q u i v 1 S q 4 t W 1 8 C K 3 V L r i 1 b Y x n r Z b B r a 3 8 o Z j X s X Y O u z u G 2 p J e Y M l c Y 8 l c a 8 l c M 0 v Y 1 V x O H P 1 n / K w l S d k x Q W B z n 9 C k 9 h D Q H q X k z q Q S S l c v W b Z E v c i V r 9 T m K g d t O X w l C 1 b 2 a F 6 p R U i A n 4 I h T A x A q h 7 q K C y 4 O P X Y A e 4 + v / F 5 a j w / E R 0 z 1 S O e Z L 4 d n P A B f g H 2 9 U i G I f f J g I W x b 7 G z / V j a x 2 2 J p J d c 9 I g U 4 V A q m I / 7 / V T Q k T 5 T 5 O y z f c f T H 7 5 Z D 8 j x u K e k F Z 2 Z Y I S c T 8 f v u L R 0 G o x p d s / R F R H i l 5 Z k s 1 V 8 s a 1 K d z D z 6 f P k O 7 u N A g z C j 8 O T / a a I d O 4 t W I S y V 0 / 5 m J E i I x O 7 h c d n 5 k t S i d D E y q s l 2 L m q b x E J 5 s N M u N 5 h l L F t i p b O V n J R H J i C p u 1 R X 2 w L l 4 / U I p a C l p j M f M q 3 M P m A l E C P r h e w 5 F C F G g t K s j J M 4 p r q o D Q m Y m E p c u O 0 W Z Q Q O G Z D j u g J I 2 Y 8 z 9 D i 5 P 5 n 6 A 1 t 2 Y m W 7 C W J Q I n B N K K L 2 U G X 3 B P K u o V R e S w J M 9 F y Z E F 9 S S V a z a G / s U i t U o o 2 v X g 5 A 7 z G 9 S u X 2 P O s o N n 7 E 9 3 u X Q z b m L J 2 y 9 7 L X j 3 d y P 6 D G 9 n T 3 x 1 / 6 u + O 3 1 B L A Q I t A B Q A A g A I A B u V 2 F A p y Y E z p w A A A P k A A A A S A A A A A A A A A A A A A A A A A A A A A A B D b 2 5 m a W c v U G F j a 2 F n Z S 5 4 b W x Q S w E C L Q A U A A I A C A A b l d h Q D 8 r p q 6 Q A A A D p A A A A E w A A A A A A A A A A A A A A A A D z A A A A W 0 N v b n R l b n R f V H l w Z X N d L n h t b F B L A Q I t A B Q A A g A I A B u V 2 F B C L m 7 2 u Q M A A C 8 Y A A A T A A A A A A A A A A A A A A A A A O Q B A A B G b 3 J t d W x h c y 9 T Z W N 0 a W 9 u M S 5 t U E s F B g A A A A A D A A M A w g A A A O o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q N j A A A A A A A A g W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j a X R 5 X 0 V u d H N v Z V 9 T R l N f M j A x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Y 6 M T M u M z Y 0 N j Q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l X 1 N G U 1 8 y M D E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Z V 9 T R l N f M j A x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Y 6 M z Y u N j I 5 M z M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l X 1 N G U 1 8 y M D E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Z V 9 T R l N f M j A x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Y 6 N D c u M z c y N T Q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l X 1 N G U 1 8 y M D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Z V 9 T R l N f M j A x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Y 6 N T c u O T A z M z c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l X 1 N G U 1 8 y M D E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Z V 9 T R l N f M j A x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c 6 M D c u M T A 0 O D E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l X 1 N G U 1 8 y M D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R W 5 0 c 2 9 l X 1 N G U 1 8 y M D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G F z d F V w Z G F 0 Z W Q i I F Z h b H V l P S J k M j A y M C 0 w M i 0 y O F Q x M D o 0 N z o x N S 4 2 O T g y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W 5 l c m F 0 a W 9 u X 0 V u d H N v Z V 9 T R l N f M j A x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0 V u d H N v Z V 9 T R l N f M j A x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D c 6 M j k u M j E 4 N D c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u Z X J h d G l v b l 9 F b n R z b 2 V f U 0 Z T X z I w M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H l f R W 5 0 c 2 9 f Q W x s J T I w e W V h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i 0 y N F Q x N T o 1 M T o 1 M y 4 x M j M 0 M T I x W i I g L z 4 8 R W 5 0 c n k g V H l w Z T 0 i R m l s b E V y c m 9 y Q 2 9 1 b n Q i I F Z h b H V l P S J s M C I g L z 4 8 R W 5 0 c n k g V H l w Z T 0 i U X V l c n l J R C I g V m F s d W U 9 I n M z Z W F m N T U 2 Z S 0 5 M z I y L T Q 0 M m Y t O T Q w M C 0 0 Z T N k N D V m N z E 0 Y m I i I C 8 + P E V u d H J 5 I F R 5 c G U 9 I k x v Y W R l Z F R v Q W 5 h b H l z a X N T Z X J 2 a W N l c y I g V m F s d W U 9 I m w w I i A v P j x F b n R y e S B U e X B l P S J G a W x s Q 2 9 s d W 1 u V H l w Z X M i I F Z h b H V l P S J z Q U F B Q U J n Q T 0 i I C 8 + P E V u d H J 5 I F R 5 c G U 9 I k Z p b G x D b 2 x 1 b W 5 O Y W 1 l c y I g V m F s d W U 9 I n N b J n F 1 b 3 Q 7 Q 2 9 1 b n R y e S Z x d W 9 0 O y w m c X V v d D t Z Z W F y J n F 1 b 3 Q 7 L C Z x d W 9 0 O 1 V u a X Q m c X V v d D s s J n F 1 b 3 Q 7 V G V j a G 5 v b G 9 n e S Z x d W 9 0 O y w m c X V v d D t X Z X J 0 J n F 1 b 3 Q 7 X S I g L z 4 8 R W 5 0 c n k g V H l w Z T 0 i R m l s b F N 0 Y X R 1 c y I g V m F s d W U 9 I n N D b 2 1 w b G V 0 Z S I g L z 4 8 R W 5 0 c n k g V H l w Z T 0 i U G l 2 b 3 R P Y m p l Y 3 R O Y W 1 l I i B W Y W x 1 Z T 0 i c 0 t v a G x l X 0 t l c m 5 l b m V y Z 2 l l Y X V z c 3 R p Z W d l X 0 F k d m E h U G l 2 b 3 R U Y W J s Z T E i I C 8 + P E V u d H J 5 I F R 5 c G U 9 I k Z p b G x F c n J v c k N v Z G U i I F Z h b H V l P S J z V W 5 r b m 9 3 b i I g L z 4 8 R W 5 0 c n k g V H l w Z T 0 i R m l s b E N v d W 5 0 I i B W Y W x 1 Z T 0 i b D I 1 O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j a X R 5 X 0 V u d H N v X 0 F s b C B 5 Z W F y c y 9 F b n R w a X Z v d G l l c n R l I F N w Y W x 0 Z W 4 u e 0 N v d W 5 0 c n k s M H 0 m c X V v d D s s J n F 1 b 3 Q 7 U 2 V j d G l v b j E v Q 2 F w Y W N p d H l f R W 5 0 c 2 9 f Q W x s I H l l Y X J z L 0 V u d H B p d m 9 0 a W V y d G U g U 3 B h b H R l b i 5 7 W W V h c i w x f S Z x d W 9 0 O y w m c X V v d D t T Z W N 0 a W 9 u M S 9 D Y X B h Y 2 l 0 e V 9 F b n R z b 1 9 B b G w g e W V h c n M v R W 5 0 c G l 2 b 3 R p Z X J 0 Z S B T c G F s d G V u L n t V b m l 0 L D J 9 J n F 1 b 3 Q 7 L C Z x d W 9 0 O 1 N l Y 3 R p b 2 4 x L 0 N h c G F j a X R 5 X 0 V u d H N v X 0 F s b C B 5 Z W F y c y 9 F b n R w a X Z v d G l l c n R l I F N w Y W x 0 Z W 4 u e 0 F 0 d H J p Y n V 0 L D N 9 J n F 1 b 3 Q 7 L C Z x d W 9 0 O 1 N l Y 3 R p b 2 4 x L 0 N h c G F j a X R 5 X 0 V u d H N v X 0 F s b C B 5 Z W F y c y 9 F b n R w a X Z v d G l l c n R l I F N w Y W x 0 Z W 4 u e 1 d l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W N p d H l f R W 5 0 c 2 9 f Q W x s I H l l Y X J z L 0 V u d H B p d m 9 0 a W V y d G U g U 3 B h b H R l b i 5 7 Q 2 9 1 b n R y e S w w f S Z x d W 9 0 O y w m c X V v d D t T Z W N 0 a W 9 u M S 9 D Y X B h Y 2 l 0 e V 9 F b n R z b 1 9 B b G w g e W V h c n M v R W 5 0 c G l 2 b 3 R p Z X J 0 Z S B T c G F s d G V u L n t Z Z W F y L D F 9 J n F 1 b 3 Q 7 L C Z x d W 9 0 O 1 N l Y 3 R p b 2 4 x L 0 N h c G F j a X R 5 X 0 V u d H N v X 0 F s b C B 5 Z W F y c y 9 F b n R w a X Z v d G l l c n R l I F N w Y W x 0 Z W 4 u e 1 V u a X Q s M n 0 m c X V v d D s s J n F 1 b 3 Q 7 U 2 V j d G l v b j E v Q 2 F w Y W N p d H l f R W 5 0 c 2 9 f Q W x s I H l l Y X J z L 0 V u d H B p d m 9 0 a W V y d G U g U 3 B h b H R l b i 5 7 Q X R 0 c m l i d X Q s M 3 0 m c X V v d D s s J n F 1 b 3 Q 7 U 2 V j d G l v b j E v Q 2 F w Y W N p d H l f R W 5 0 c 2 9 f Q W x s I H l l Y X J z L 0 V u d H B p d m 9 0 a W V y d G U g U 3 B h b H R l b i 5 7 V 2 V y d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Y 2 l 0 e V 9 F b n R z b 1 9 B b G w l M j B 5 Z W F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X 0 F s b C U y M H l l Y X J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X 0 F s b C U y M H l l Y X J z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Y m F j a y U y M H V w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w L T A y L T I 4 V D E w O j U 2 O j Q 5 L j U 0 O T c y O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d H l f R W 5 0 c 2 9 f Q W x s I H l l Y X J z L 1 F 1 Z W x s Z S 5 7 Q 2 9 1 b n R y e S w w f S Z x d W 9 0 O y w m c X V v d D t T Z W N 0 a W 9 u M S 9 D Y X B h Y 2 l 0 e V 9 F b n R z b 1 9 B b G w g e W V h c n M v U X V l b G x l L n t Z Z W F y L D F 9 J n F 1 b 3 Q 7 L C Z x d W 9 0 O 1 N l Y 3 R p b 2 4 x L 0 N h c G F j a X R 5 X 0 V u d H N v X 0 F s b C B 5 Z W F y c y 9 R d W V s b G U u e 1 V u a X Q s M n 0 m c X V v d D s s J n F 1 b 3 Q 7 U 2 V j d G l v b j E v Q 2 F w Y W N p d H l f R W 5 0 c 2 9 f Q W x s I H l l Y X J z L 1 F 1 Z W x s Z S 5 7 T n V j b G V h c i w z f S Z x d W 9 0 O y w m c X V v d D t T Z W N 0 a W 9 u M S 9 D Y X B h Y 2 l 0 e V 9 F b n R z b 1 9 B b G w g e W V h c n M v U X V l b G x l L n t I Y X J k I E N v Y W w s N X 0 m c X V v d D s s J n F 1 b 3 Q 7 U 2 V j d G l v b j E v Q 2 F w Y W N p d H l f R W 5 0 c 2 9 f Q W x s I H l l Y X J z L 1 F 1 Z W x s Z S 5 7 T G l n b m l 0 Z S w 0 f S Z x d W 9 0 O y w m c X V v d D t T Z W N 0 a W 9 u M S 9 D Y X B h Y 2 l 0 e V 9 F b n R z b 1 9 B b G w g e W V h c n M v U X V l b G x l L n t G b 3 N z a W w g R 2 F z Z X M s N n 0 m c X V v d D s s J n F 1 b 3 Q 7 U 2 V j d G l v b j E v Q 2 F w Y W N p d H l f R W 5 0 c 2 9 f Q W x s I H l l Y X J z L 1 F 1 Z W x s Z S 5 7 T 3 R o Z X I g Z m 9 z c 2 l s I G Z 1 Z W x z L D d 9 J n F 1 b 3 Q 7 L C Z x d W 9 0 O 1 N l Y 3 R p b 2 4 x L 0 N h c G F j a X R 5 X 0 V u d H N v X 0 F s b C B 5 Z W F y c y 9 R d W V s b G U u e 1 d p b m Q g b 2 5 z a G 9 y Z S w 4 f S Z x d W 9 0 O y w m c X V v d D t T Z W N 0 a W 9 u M S 9 D Y X B h Y 2 l 0 e V 9 F b n R z b 1 9 B b G w g e W V h c n M v U X V l b G x l L n t X a W 5 k I G 9 m Z n N o b 3 J l L D l 9 J n F 1 b 3 Q 7 L C Z x d W 9 0 O 1 N l Y 3 R p b 2 4 x L 0 N h c G F j a X R 5 X 0 V u d H N v X 0 F s b C B 5 Z W F y c y 9 R d W V s b G U u e 1 N v b G F y I F B W L D E w f S Z x d W 9 0 O y w m c X V v d D t T Z W N 0 a W 9 u M S 9 D Y X B h Y 2 l 0 e V 9 F b n R z b 1 9 B b G w g e W V h c n M v U X V l b G x l L n t C a W 9 l b m V y Z 3 k s M T F 9 J n F 1 b 3 Q 7 L C Z x d W 9 0 O 1 N l Y 3 R p b 2 4 x L 0 N h c G F j a X R 5 X 0 V u d H N v X 0 F s b C B 5 Z W F y c y 9 R d W V s b G U u e 0 h 5 Z H J v L D E z f S Z x d W 9 0 O y w m c X V v d D t T Z W N 0 a W 9 u M S 9 D Y X B h Y 2 l 0 e V 9 F b n R z b 1 9 B b G w g e W V h c n M v S G l u e n V n Z W b D v G d 0 Z S B i Z W 5 1 d H p l c m R l Z m l u a W V y d G U g U 3 B h b H R l L n t P d G h l c n M s M T h 9 J n F 1 b 3 Q 7 L C Z x d W 9 0 O 1 N l Y 3 R p b 2 4 x L 0 N h c G F j a X R 5 X 0 V u d H N v X 0 F s b C B 5 Z W F y c y 9 R d W V s b G U u e 1 R v d G F s I C h i Z X J l Y 2 h u Z X Q p L D E 1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F w Y W N p d H l f R W 5 0 c 2 9 f Q W x s I H l l Y X J z L 1 F 1 Z W x s Z S 5 7 Q 2 9 1 b n R y e S w w f S Z x d W 9 0 O y w m c X V v d D t T Z W N 0 a W 9 u M S 9 D Y X B h Y 2 l 0 e V 9 F b n R z b 1 9 B b G w g e W V h c n M v U X V l b G x l L n t Z Z W F y L D F 9 J n F 1 b 3 Q 7 L C Z x d W 9 0 O 1 N l Y 3 R p b 2 4 x L 0 N h c G F j a X R 5 X 0 V u d H N v X 0 F s b C B 5 Z W F y c y 9 R d W V s b G U u e 1 V u a X Q s M n 0 m c X V v d D s s J n F 1 b 3 Q 7 U 2 V j d G l v b j E v Q 2 F w Y W N p d H l f R W 5 0 c 2 9 f Q W x s I H l l Y X J z L 1 F 1 Z W x s Z S 5 7 T n V j b G V h c i w z f S Z x d W 9 0 O y w m c X V v d D t T Z W N 0 a W 9 u M S 9 D Y X B h Y 2 l 0 e V 9 F b n R z b 1 9 B b G w g e W V h c n M v U X V l b G x l L n t I Y X J k I E N v Y W w s N X 0 m c X V v d D s s J n F 1 b 3 Q 7 U 2 V j d G l v b j E v Q 2 F w Y W N p d H l f R W 5 0 c 2 9 f Q W x s I H l l Y X J z L 1 F 1 Z W x s Z S 5 7 T G l n b m l 0 Z S w 0 f S Z x d W 9 0 O y w m c X V v d D t T Z W N 0 a W 9 u M S 9 D Y X B h Y 2 l 0 e V 9 F b n R z b 1 9 B b G w g e W V h c n M v U X V l b G x l L n t G b 3 N z a W w g R 2 F z Z X M s N n 0 m c X V v d D s s J n F 1 b 3 Q 7 U 2 V j d G l v b j E v Q 2 F w Y W N p d H l f R W 5 0 c 2 9 f Q W x s I H l l Y X J z L 1 F 1 Z W x s Z S 5 7 T 3 R o Z X I g Z m 9 z c 2 l s I G Z 1 Z W x z L D d 9 J n F 1 b 3 Q 7 L C Z x d W 9 0 O 1 N l Y 3 R p b 2 4 x L 0 N h c G F j a X R 5 X 0 V u d H N v X 0 F s b C B 5 Z W F y c y 9 R d W V s b G U u e 1 d p b m Q g b 2 5 z a G 9 y Z S w 4 f S Z x d W 9 0 O y w m c X V v d D t T Z W N 0 a W 9 u M S 9 D Y X B h Y 2 l 0 e V 9 F b n R z b 1 9 B b G w g e W V h c n M v U X V l b G x l L n t X a W 5 k I G 9 m Z n N o b 3 J l L D l 9 J n F 1 b 3 Q 7 L C Z x d W 9 0 O 1 N l Y 3 R p b 2 4 x L 0 N h c G F j a X R 5 X 0 V u d H N v X 0 F s b C B 5 Z W F y c y 9 R d W V s b G U u e 1 N v b G F y I F B W L D E w f S Z x d W 9 0 O y w m c X V v d D t T Z W N 0 a W 9 u M S 9 D Y X B h Y 2 l 0 e V 9 F b n R z b 1 9 B b G w g e W V h c n M v U X V l b G x l L n t C a W 9 l b m V y Z 3 k s M T F 9 J n F 1 b 3 Q 7 L C Z x d W 9 0 O 1 N l Y 3 R p b 2 4 x L 0 N h c G F j a X R 5 X 0 V u d H N v X 0 F s b C B 5 Z W F y c y 9 R d W V s b G U u e 0 h 5 Z H J v L D E z f S Z x d W 9 0 O y w m c X V v d D t T Z W N 0 a W 9 u M S 9 D Y X B h Y 2 l 0 e V 9 F b n R z b 1 9 B b G w g e W V h c n M v S G l u e n V n Z W b D v G d 0 Z S B i Z W 5 1 d H p l c m R l Z m l u a W V y d G U g U 3 B h b H R l L n t P d G h l c n M s M T h 9 J n F 1 b 3 Q 7 L C Z x d W 9 0 O 1 N l Y 3 R p b 2 4 x L 0 N h c G F j a X R 5 X 0 V u d H N v X 0 F s b C B 5 Z W F y c y 9 R d W V s b G U u e 1 R v d G F s I C h i Z X J l Y 2 h u Z X Q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Y m F j a y U y M H V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U y M C h i Y W N r J T I w d X A p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Y m F j a y U y M H V w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2 V f U 0 Z T X z I w M T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I w L T A y L T I 4 V D E w O j U 2 O j U 4 L j E 0 N z Q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b m V y Y X R p b 2 5 f R W 5 0 c 2 9 l X 1 N G U 1 8 y M D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R W 5 0 c 2 9 l X 1 N G U 1 8 y M D E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G F z d F V w Z G F 0 Z W Q i I F Z h b H V l P S J k M j A y M C 0 w M i 0 y O F Q x M D o 1 N z o w O C 4 5 O D c 4 N D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W 5 l c m F 0 a W 9 u X 0 V u d H N v Z V 9 T R l N f M j A x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0 V u d H N v Z V 9 T R l N f M j A x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I t M j h U M T A 6 N T c 6 M T Y u N T E 4 O D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u Z X J h d G l v b l 9 F b n R z b 2 V f U 0 Z T X z I w M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U y M C h i Y W N r J T I w d X A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i 0 y O F Q x M D o 1 N z o y N S 4 x M j I y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W 5 l c m F 0 a W 9 u X 0 V u d H N v X 0 F s b C U y M H l l Y X J z J T I w K G J h Y 2 s l M j B 1 c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J R C I g V m F s d W U 9 I n N h M z J h N T N i Y i 0 z Y T c z L T Q 0 N m Q t Y j E 5 Z C 0 5 M W I 4 Z G I 3 Z T A w N j Y i I C 8 + P E V u d H J 5 I F R 5 c G U 9 I k x v Y W R l Z F R v Q W 5 h b H l z a X N T Z X J 2 a W N l c y I g V m F s d W U 9 I m w w I i A v P j x F b n R y e S B U e X B l P S J G a W x s Q 2 9 s d W 1 u V H l w Z X M i I F Z h b H V l P S J z Q U F B Q U J n Q T 0 i I C 8 + P E V u d H J 5 I F R 5 c G U 9 I k Z p b G x M Y X N 0 V X B k Y X R l Z C I g V m F s d W U 9 I m Q y M D I w L T A 2 L T I 0 V D E 2 O j M 1 O j M 2 L j M y N j A y N D R a I i A v P j x F b n R y e S B U e X B l P S J G a W x s Q 2 9 s d W 1 u T m F t Z X M i I F Z h b H V l P S J z W y Z x d W 9 0 O 0 N v d W 5 0 c n k m c X V v d D s s J n F 1 b 3 Q 7 W W V h c i Z x d W 9 0 O y w m c X V v d D t V b m l 0 J n F 1 b 3 Q 7 L C Z x d W 9 0 O 1 R l Y 2 h u b 2 x v Z 3 k m c X V v d D s s J n F 1 b 3 Q 7 V 2 V y d C Z x d W 9 0 O 1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j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X 0 V u d H N v X 0 F s b C B 5 Z W F y c y 9 F b n R w a X Z v d G l l c n R l I F N w Y W x 0 Z W 4 u e 0 N v d W 5 0 c n k s M H 0 m c X V v d D s s J n F 1 b 3 Q 7 U 2 V j d G l v b j E v R 2 V u Z X J h d G l v b l 9 F b n R z b 1 9 B b G w g e W V h c n M v R W 5 0 c G l 2 b 3 R p Z X J 0 Z S B T c G F s d G V u L n t Z Z W F y L D F 9 J n F 1 b 3 Q 7 L C Z x d W 9 0 O 1 N l Y 3 R p b 2 4 x L 0 d l b m V y Y X R p b 2 5 f R W 5 0 c 2 9 f Q W x s I H l l Y X J z L 0 V u d H B p d m 9 0 a W V y d G U g U 3 B h b H R l b i 5 7 V W 5 p d C w y f S Z x d W 9 0 O y w m c X V v d D t T Z W N 0 a W 9 u M S 9 H Z W 5 l c m F 0 a W 9 u X 0 V u d H N v X 0 F s b C B 5 Z W F y c y 9 F b n R w a X Z v d G l l c n R l I F N w Y W x 0 Z W 4 u e 0 F 0 d H J p Y n V 0 L D N 9 J n F 1 b 3 Q 7 L C Z x d W 9 0 O 1 N l Y 3 R p b 2 4 x L 0 d l b m V y Y X R p b 2 5 f R W 5 0 c 2 9 f Q W x s I H l l Y X J z L 0 V u d H B p d m 9 0 a W V y d G U g U 3 B h b H R l b i 5 7 V 2 V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5 l c m F 0 a W 9 u X 0 V u d H N v X 0 F s b C B 5 Z W F y c y 9 F b n R w a X Z v d G l l c n R l I F N w Y W x 0 Z W 4 u e 0 N v d W 5 0 c n k s M H 0 m c X V v d D s s J n F 1 b 3 Q 7 U 2 V j d G l v b j E v R 2 V u Z X J h d G l v b l 9 F b n R z b 1 9 B b G w g e W V h c n M v R W 5 0 c G l 2 b 3 R p Z X J 0 Z S B T c G F s d G V u L n t Z Z W F y L D F 9 J n F 1 b 3 Q 7 L C Z x d W 9 0 O 1 N l Y 3 R p b 2 4 x L 0 d l b m V y Y X R p b 2 5 f R W 5 0 c 2 9 f Q W x s I H l l Y X J z L 0 V u d H B p d m 9 0 a W V y d G U g U 3 B h b H R l b i 5 7 V W 5 p d C w y f S Z x d W 9 0 O y w m c X V v d D t T Z W N 0 a W 9 u M S 9 H Z W 5 l c m F 0 a W 9 u X 0 V u d H N v X 0 F s b C B 5 Z W F y c y 9 F b n R w a X Z v d G l l c n R l I F N w Y W x 0 Z W 4 u e 0 F 0 d H J p Y n V 0 L D N 9 J n F 1 b 3 Q 7 L C Z x d W 9 0 O 1 N l Y 3 R p b 2 4 x L 0 d l b m V y Y X R p b 2 5 f R W 5 0 c 2 9 f Q W x s I H l l Y X J z L 0 V u d H B p d m 9 0 a W V y d G U g U 3 B h b H R l b i 5 7 V 2 V y d C w 0 f S Z x d W 9 0 O 1 0 s J n F 1 b 3 Q 7 U m V s Y X R p b 2 5 z a G l w S W 5 m b y Z x d W 9 0 O z p b X X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u Z X J h d G l v b l 9 F b n R z b 1 9 B b G w l M j B 5 Z W F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0 V u d H N v X 0 F s b C U y M H l l Y X J z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X 0 F s b C U y M H l l Y X J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j Q w M y I g L z 4 8 R W 5 0 c n k g V H l w Z T 0 i R m l s b E x h c 3 R V c G R h d G V k I i B W Y W x 1 Z T 0 i Z D I w M j A t M D Y t M T d U M T M 6 M D U 6 M j E u N j E w M D U x N 1 o i I C 8 + P E V u d H J 5 I F R 5 c G U 9 I k F k Z G V k V G 9 E Y X R h T W 9 k Z W w i I F Z h b H V l P S J s M C I g L z 4 8 R W 5 0 c n k g V H l w Z T 0 i R m l s b F R h c m d l d C I g V m F s d W U 9 I n N D Y X B h Y 2 l 0 e V 9 F b n R z b 1 9 B b G x f e W V h c n N f X z I i I C 8 + P E V u d H J 5 I F R 5 c G U 9 I k Z p b G x D b 2 x 1 b W 5 U e X B l c y I g V m F s d W U 9 I n N B Q U F B Q m d B P S I g L z 4 8 R W 5 0 c n k g V H l w Z T 0 i U X V l c n l J R C I g V m F s d W U 9 I n M 0 O D g 4 Z T h j Z i 0 x M z k x L T R h M z Q t O G V m N S 0 2 M G Q 3 Z D Z l O W I 3 N m Q i I C 8 + P E V u d H J 5 I F R 5 c G U 9 I k Z p b G x D b 2 x 1 b W 5 O Y W 1 l c y I g V m F s d W U 9 I n N b J n F 1 b 3 Q 7 Q 2 9 1 b n R y e S Z x d W 9 0 O y w m c X V v d D t Z Z W F y J n F 1 b 3 Q 7 L C Z x d W 9 0 O 1 V u a X Q m c X V v d D s s J n F 1 b 3 Q 7 V G V j a G 5 v b G 9 n e S Z x d W 9 0 O y w m c X V v d D t X Z X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d H l f R W 5 0 c 2 9 f Q W x s I H l l Y X J z I C g y K S 9 F b n R w a X Z v d G l l c n R l I F N w Y W x 0 Z W 4 u e 0 N v d W 5 0 c n k s M H 0 m c X V v d D s s J n F 1 b 3 Q 7 U 2 V j d G l v b j E v Q 2 F w Y W N p d H l f R W 5 0 c 2 9 f Q W x s I H l l Y X J z I C g y K S 9 F b n R w a X Z v d G l l c n R l I F N w Y W x 0 Z W 4 u e 1 l l Y X I s M X 0 m c X V v d D s s J n F 1 b 3 Q 7 U 2 V j d G l v b j E v Q 2 F w Y W N p d H l f R W 5 0 c 2 9 f Q W x s I H l l Y X J z I C g y K S 9 F b n R w a X Z v d G l l c n R l I F N w Y W x 0 Z W 4 u e 1 V u a X Q s M n 0 m c X V v d D s s J n F 1 b 3 Q 7 U 2 V j d G l v b j E v Q 2 F w Y W N p d H l f R W 5 0 c 2 9 f Q W x s I H l l Y X J z I C g y K S 9 F b n R w a X Z v d G l l c n R l I F N w Y W x 0 Z W 4 u e 0 F 0 d H J p Y n V 0 L D N 9 J n F 1 b 3 Q 7 L C Z x d W 9 0 O 1 N l Y 3 R p b 2 4 x L 0 N h c G F j a X R 5 X 0 V u d H N v X 0 F s b C B 5 Z W F y c y A o M i k v R W 5 0 c G l 2 b 3 R p Z X J 0 Z S B T c G F s d G V u L n t X Z X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j a X R 5 X 0 V u d H N v X 0 F s b C B 5 Z W F y c y A o M i k v R W 5 0 c G l 2 b 3 R p Z X J 0 Z S B T c G F s d G V u L n t D b 3 V u d H J 5 L D B 9 J n F 1 b 3 Q 7 L C Z x d W 9 0 O 1 N l Y 3 R p b 2 4 x L 0 N h c G F j a X R 5 X 0 V u d H N v X 0 F s b C B 5 Z W F y c y A o M i k v R W 5 0 c G l 2 b 3 R p Z X J 0 Z S B T c G F s d G V u L n t Z Z W F y L D F 9 J n F 1 b 3 Q 7 L C Z x d W 9 0 O 1 N l Y 3 R p b 2 4 x L 0 N h c G F j a X R 5 X 0 V u d H N v X 0 F s b C B 5 Z W F y c y A o M i k v R W 5 0 c G l 2 b 3 R p Z X J 0 Z S B T c G F s d G V u L n t V b m l 0 L D J 9 J n F 1 b 3 Q 7 L C Z x d W 9 0 O 1 N l Y 3 R p b 2 4 x L 0 N h c G F j a X R 5 X 0 V u d H N v X 0 F s b C B 5 Z W F y c y A o M i k v R W 5 0 c G l 2 b 3 R p Z X J 0 Z S B T c G F s d G V u L n t B d H R y a W J 1 d C w z f S Z x d W 9 0 O y w m c X V v d D t T Z W N 0 a W 9 u M S 9 D Y X B h Y 2 l 0 e V 9 F b n R z b 1 9 B b G w g e W V h c n M g K D I p L 0 V u d H B p d m 9 0 a W V y d G U g U 3 B h b H R l b i 5 7 V 2 V y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M i k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H l f R W 5 0 c 2 9 f Q W x s J T I w e W V h c n M l M j A o M i k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e V 9 F b n R z b 1 9 B b G w l M j B 5 Z W F y c y U y M C g y K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5 X 0 V u d H N v X 0 F s b C U y M H l l Y X J z J T I w K D I p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T d W 1 t a W V y d C U y M E N v b n N 1 b X B 0 a W 9 u J T I 2 U H V t c G l u Z y U y M H p 1 J T I w b m V 1 Z X I l M j B T c G F s d G U l M j B D b 2 5 z d W 1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R W 5 0 c 2 9 f Q W x s J T I w e W V h c n M v R W 5 0 Z m V y b n R l J T I w Q 2 9 u c 3 V t c H R p b 2 4 l M j A o Y W x 0 Z S U y M F N w Y W x 0 Z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0 V u d H N v X 0 F s b C U y M H l l Y X J z L 0 J l b m V u b n Q l M j B u Z X V l J T I w U 3 B h b H R l J T I w a W 4 l M j B D b 2 5 z d W 1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R W 5 0 c 2 9 f Q W x s J T I w e W V h c n M v R W 5 0 Z m V y b n Q l M j B Q d W 1 w a W 5 n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C Z W 5 l b m 5 0 J T I w U 3 B h b H R l J T I w a W 4 l M j A l M j J U Z W N o b m 9 s b 2 d 5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T d W 1 t a W V y d C U y M C U y M k 9 0 a G V y c y U y M G V 0 Y y U y M i U y M H p 1 J T I w J T I y T 3 R o Z X J z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F c n N 0 Z W x s d C U y M G 5 l d W U l M j B z d W 1 t a W V y d G U l M j B T c G F s d G U l M j A l M j J I e W R y b y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R W 5 0 c 2 9 f Q W x s J T I w e W V h c n M v T C V D M y V C N n N j a H Q l M j A l M j J S Z W 5 l d y 4 l M j B I e W R y b y U y M i U y M H V u Z C U y M C U y M l B 1 b X B l Z C U y M E h 5 Z H J v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F b n R z b 1 9 B b G w l M j B 5 Z W F y c y 9 O Z X U l M j B h b m d l b 3 J k b m V 0 Z S U y M F N w Y W x 0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r F q f g O g J 5 B l f s D 9 3 8 w k b k A A A A A A g A A A A A A A 2 Y A A M A A A A A Q A A A A 0 J w m S w 1 k I t M 5 i g f Y j q W b K g A A A A A E g A A A o A A A A B A A A A A a f u Q 2 a j 9 7 c P H X Q E d O C 8 W e U A A A A I y F S C 3 5 l k + 4 g / K h w R 1 Y N x O A k 7 E 9 + g L y N F A Q H D e o 2 f q 4 T p 9 J W k t 2 G h w 5 D F s a j h u 2 d E W 9 U D M D n B X p 9 c V b j v O o D O f c D g D v P f K B j O H z 3 o y w 9 E B U F A A A A G k Q Y 9 K T W n p j u 7 S E G o S F c 0 c u O Q a 0 < / D a t a M a s h u p > 
</file>

<file path=customXml/itemProps1.xml><?xml version="1.0" encoding="utf-8"?>
<ds:datastoreItem xmlns:ds="http://schemas.openxmlformats.org/officeDocument/2006/customXml" ds:itemID="{C4570A3D-03CC-494C-BF80-28B944C94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Capacity_Entsoe_SFS_2014</vt:lpstr>
      <vt:lpstr>Capacity_Entsoe_SFS_2015</vt:lpstr>
      <vt:lpstr>Capacity_Entsoe_SFS_2016</vt:lpstr>
      <vt:lpstr>Capacity_Entsoe_SFS_2017</vt:lpstr>
      <vt:lpstr>Capacity_Entsoe_SFS_2018</vt:lpstr>
      <vt:lpstr>Generation_Entsoe_SFS_2014</vt:lpstr>
      <vt:lpstr>Generation_Entsoe_SFS_2015</vt:lpstr>
      <vt:lpstr>Generation_Entsoe_SFS_2016</vt:lpstr>
      <vt:lpstr>Generation_Entsoe_SFS_2017</vt:lpstr>
      <vt:lpstr>Generation_Entsoe_SFS_2018</vt:lpstr>
      <vt:lpstr>Capacity_Gener_Entsoe_all years</vt:lpstr>
      <vt:lpstr>Capacity für Balkanabfrage</vt:lpstr>
      <vt:lpstr>Kohle_Kernenergieausstiege_Adva</vt:lpstr>
      <vt:lpstr>alte tabs --&gt;</vt:lpstr>
      <vt:lpstr>Tabelle1</vt:lpstr>
      <vt:lpstr>Tabelle2</vt:lpstr>
      <vt:lpstr>Abgleich Generation</vt:lpstr>
      <vt:lpstr>Abgleich Kapazität</vt:lpstr>
      <vt:lpstr>Modell Erzeugung</vt:lpstr>
      <vt:lpstr>Modell Kapazität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strommarkt</dc:creator>
  <cp:lastModifiedBy>Steffen Rumpf</cp:lastModifiedBy>
  <dcterms:created xsi:type="dcterms:W3CDTF">2018-11-14T12:32:34Z</dcterms:created>
  <dcterms:modified xsi:type="dcterms:W3CDTF">2020-06-25T08:57:08Z</dcterms:modified>
</cp:coreProperties>
</file>